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512" documentId="8_{C163843C-1CA0-4E60-819C-50D3721F69F8}" xr6:coauthVersionLast="47" xr6:coauthVersionMax="47" xr10:uidLastSave="{EFA21D3A-293C-4B3E-931C-725181B47289}"/>
  <bookViews>
    <workbookView xWindow="-28920" yWindow="-120" windowWidth="29040" windowHeight="17520" firstSheet="18" activeTab="22" xr2:uid="{00000000-000D-0000-FFFF-FFFF00000000}"/>
  </bookViews>
  <sheets>
    <sheet name="Example" sheetId="50" r:id="rId1"/>
    <sheet name="LittlePigs_up_to_31_1_conv " sheetId="36" r:id="rId2"/>
    <sheet name="Slpig1_conv" sheetId="35" r:id="rId3"/>
    <sheet name="Sow1_conv" sheetId="30" r:id="rId4"/>
    <sheet name="LittlePigs_up_to_31_org" sheetId="48" r:id="rId5"/>
    <sheet name="Slpig1_org" sheetId="49" r:id="rId6"/>
    <sheet name="Sow1_org" sheetId="47" r:id="rId7"/>
    <sheet name="Dairy_bull1_conv" sheetId="34" r:id="rId8"/>
    <sheet name="Dairy_heifer1_conv" sheetId="33" r:id="rId9"/>
    <sheet name="Dairy_cow1_conv" sheetId="24" r:id="rId10"/>
    <sheet name="Dairy_cow2_conv" sheetId="27" r:id="rId11"/>
    <sheet name="Dairy_bull1_org" sheetId="39" r:id="rId12"/>
    <sheet name="Dairy_heifer1_org" sheetId="38" r:id="rId13"/>
    <sheet name="Dairy_cow1_org" sheetId="37" r:id="rId14"/>
    <sheet name="Stable systems" sheetId="28" r:id="rId15"/>
    <sheet name="Converted_feedstuff" sheetId="26" r:id="rId16"/>
    <sheet name="Respiration and enteric gas los" sheetId="29" r:id="rId17"/>
    <sheet name="Biomass_pool_output_Tech1_modul" sheetId="15" r:id="rId18"/>
    <sheet name="Crop definitions" sheetId="1" r:id="rId19"/>
    <sheet name="Imported products" sheetId="3" r:id="rId20"/>
    <sheet name="Diesel consumption for field op" sheetId="20" r:id="rId21"/>
    <sheet name="Other_tables" sheetId="5" r:id="rId22"/>
    <sheet name="Processed products" sheetId="4" r:id="rId23"/>
  </sheets>
  <definedNames>
    <definedName name="solver_adj" localSheetId="7" hidden="1">Dairy_bull1_conv!#REF!,Dairy_bull1_conv!$D$15</definedName>
    <definedName name="solver_adj" localSheetId="11" hidden="1">Dairy_bull1_org!#REF!,Dairy_bull1_org!$D$15</definedName>
    <definedName name="solver_adj" localSheetId="9" hidden="1">Dairy_cow1_conv!#REF!,Dairy_cow1_conv!$D$15</definedName>
    <definedName name="solver_adj" localSheetId="8" hidden="1">Dairy_heifer1_conv!#REF!,Dairy_heifer1_conv!$D$15</definedName>
    <definedName name="solver_adj" localSheetId="12" hidden="1">Dairy_heifer1_org!#REF!,Dairy_heifer1_org!$D$15</definedName>
    <definedName name="solver_cvg" localSheetId="7" hidden="1">0.0001</definedName>
    <definedName name="solver_cvg" localSheetId="11" hidden="1">0.0001</definedName>
    <definedName name="solver_cvg" localSheetId="9" hidden="1">0.0001</definedName>
    <definedName name="solver_cvg" localSheetId="8" hidden="1">0.0001</definedName>
    <definedName name="solver_cvg" localSheetId="12" hidden="1">0.0001</definedName>
    <definedName name="solver_drv" localSheetId="7" hidden="1">1</definedName>
    <definedName name="solver_drv" localSheetId="11" hidden="1">1</definedName>
    <definedName name="solver_drv" localSheetId="9" hidden="1">1</definedName>
    <definedName name="solver_drv" localSheetId="8" hidden="1">1</definedName>
    <definedName name="solver_drv" localSheetId="12" hidden="1">1</definedName>
    <definedName name="solver_eng" localSheetId="7" hidden="1">1</definedName>
    <definedName name="solver_eng" localSheetId="11" hidden="1">1</definedName>
    <definedName name="solver_eng" localSheetId="9" hidden="1">1</definedName>
    <definedName name="solver_eng" localSheetId="8" hidden="1">1</definedName>
    <definedName name="solver_eng" localSheetId="12" hidden="1">1</definedName>
    <definedName name="solver_est" localSheetId="7" hidden="1">1</definedName>
    <definedName name="solver_est" localSheetId="11" hidden="1">1</definedName>
    <definedName name="solver_est" localSheetId="9" hidden="1">1</definedName>
    <definedName name="solver_est" localSheetId="8" hidden="1">1</definedName>
    <definedName name="solver_est" localSheetId="12" hidden="1">1</definedName>
    <definedName name="solver_itr" localSheetId="7" hidden="1">2147483647</definedName>
    <definedName name="solver_itr" localSheetId="11" hidden="1">2147483647</definedName>
    <definedName name="solver_itr" localSheetId="9" hidden="1">2147483647</definedName>
    <definedName name="solver_itr" localSheetId="8" hidden="1">2147483647</definedName>
    <definedName name="solver_itr" localSheetId="12" hidden="1">2147483647</definedName>
    <definedName name="solver_lhs1" localSheetId="7" hidden="1">Dairy_bull1_conv!$E$15</definedName>
    <definedName name="solver_lhs1" localSheetId="11" hidden="1">Dairy_bull1_org!$E$15</definedName>
    <definedName name="solver_lhs1" localSheetId="9" hidden="1">Dairy_cow1_conv!$E$15</definedName>
    <definedName name="solver_lhs1" localSheetId="8" hidden="1">Dairy_heifer1_conv!$E$15</definedName>
    <definedName name="solver_lhs1" localSheetId="12" hidden="1">Dairy_heifer1_org!$E$15</definedName>
    <definedName name="solver_mip" localSheetId="7" hidden="1">2147483647</definedName>
    <definedName name="solver_mip" localSheetId="11" hidden="1">2147483647</definedName>
    <definedName name="solver_mip" localSheetId="9" hidden="1">2147483647</definedName>
    <definedName name="solver_mip" localSheetId="8" hidden="1">2147483647</definedName>
    <definedName name="solver_mip" localSheetId="12" hidden="1">2147483647</definedName>
    <definedName name="solver_mni" localSheetId="7" hidden="1">30</definedName>
    <definedName name="solver_mni" localSheetId="11" hidden="1">30</definedName>
    <definedName name="solver_mni" localSheetId="9" hidden="1">30</definedName>
    <definedName name="solver_mni" localSheetId="8" hidden="1">30</definedName>
    <definedName name="solver_mni" localSheetId="12" hidden="1">30</definedName>
    <definedName name="solver_mrt" localSheetId="7" hidden="1">0.075</definedName>
    <definedName name="solver_mrt" localSheetId="11" hidden="1">0.075</definedName>
    <definedName name="solver_mrt" localSheetId="9" hidden="1">0.075</definedName>
    <definedName name="solver_mrt" localSheetId="8" hidden="1">0.075</definedName>
    <definedName name="solver_mrt" localSheetId="12" hidden="1">0.075</definedName>
    <definedName name="solver_msl" localSheetId="7" hidden="1">2</definedName>
    <definedName name="solver_msl" localSheetId="11" hidden="1">2</definedName>
    <definedName name="solver_msl" localSheetId="9" hidden="1">2</definedName>
    <definedName name="solver_msl" localSheetId="8" hidden="1">2</definedName>
    <definedName name="solver_msl" localSheetId="12" hidden="1">2</definedName>
    <definedName name="solver_neg" localSheetId="7" hidden="1">1</definedName>
    <definedName name="solver_neg" localSheetId="11" hidden="1">1</definedName>
    <definedName name="solver_neg" localSheetId="9" hidden="1">1</definedName>
    <definedName name="solver_neg" localSheetId="8" hidden="1">1</definedName>
    <definedName name="solver_neg" localSheetId="12" hidden="1">1</definedName>
    <definedName name="solver_nod" localSheetId="7" hidden="1">2147483647</definedName>
    <definedName name="solver_nod" localSheetId="11" hidden="1">2147483647</definedName>
    <definedName name="solver_nod" localSheetId="9" hidden="1">2147483647</definedName>
    <definedName name="solver_nod" localSheetId="8" hidden="1">2147483647</definedName>
    <definedName name="solver_nod" localSheetId="12" hidden="1">2147483647</definedName>
    <definedName name="solver_num" localSheetId="7" hidden="1">1</definedName>
    <definedName name="solver_num" localSheetId="11" hidden="1">1</definedName>
    <definedName name="solver_num" localSheetId="9" hidden="1">1</definedName>
    <definedName name="solver_num" localSheetId="8" hidden="1">1</definedName>
    <definedName name="solver_num" localSheetId="12" hidden="1">1</definedName>
    <definedName name="solver_nwt" localSheetId="7" hidden="1">1</definedName>
    <definedName name="solver_nwt" localSheetId="11" hidden="1">1</definedName>
    <definedName name="solver_nwt" localSheetId="9" hidden="1">1</definedName>
    <definedName name="solver_nwt" localSheetId="8" hidden="1">1</definedName>
    <definedName name="solver_nwt" localSheetId="12" hidden="1">1</definedName>
    <definedName name="solver_opt" localSheetId="7" hidden="1">Dairy_bull1_conv!#REF!</definedName>
    <definedName name="solver_opt" localSheetId="11" hidden="1">Dairy_bull1_org!#REF!</definedName>
    <definedName name="solver_opt" localSheetId="9" hidden="1">Dairy_cow1_conv!#REF!</definedName>
    <definedName name="solver_opt" localSheetId="8" hidden="1">Dairy_heifer1_conv!#REF!</definedName>
    <definedName name="solver_opt" localSheetId="12" hidden="1">Dairy_heifer1_org!#REF!</definedName>
    <definedName name="solver_pre" localSheetId="7" hidden="1">0.000001</definedName>
    <definedName name="solver_pre" localSheetId="11" hidden="1">0.000001</definedName>
    <definedName name="solver_pre" localSheetId="9" hidden="1">0.000001</definedName>
    <definedName name="solver_pre" localSheetId="8" hidden="1">0.000001</definedName>
    <definedName name="solver_pre" localSheetId="12" hidden="1">0.000001</definedName>
    <definedName name="solver_rbv" localSheetId="7" hidden="1">1</definedName>
    <definedName name="solver_rbv" localSheetId="11" hidden="1">1</definedName>
    <definedName name="solver_rbv" localSheetId="9" hidden="1">1</definedName>
    <definedName name="solver_rbv" localSheetId="8" hidden="1">1</definedName>
    <definedName name="solver_rbv" localSheetId="12" hidden="1">1</definedName>
    <definedName name="solver_rel1" localSheetId="7" hidden="1">2</definedName>
    <definedName name="solver_rel1" localSheetId="11" hidden="1">2</definedName>
    <definedName name="solver_rel1" localSheetId="9" hidden="1">2</definedName>
    <definedName name="solver_rel1" localSheetId="8" hidden="1">2</definedName>
    <definedName name="solver_rel1" localSheetId="12" hidden="1">2</definedName>
    <definedName name="solver_rhs1" localSheetId="7" hidden="1">Dairy_bull1_conv!$G$7</definedName>
    <definedName name="solver_rhs1" localSheetId="11" hidden="1">Dairy_bull1_org!$G$7</definedName>
    <definedName name="solver_rhs1" localSheetId="9" hidden="1">Dairy_cow1_conv!$G$7</definedName>
    <definedName name="solver_rhs1" localSheetId="8" hidden="1">Dairy_heifer1_conv!$G$7</definedName>
    <definedName name="solver_rhs1" localSheetId="12" hidden="1">Dairy_heifer1_org!$G$7</definedName>
    <definedName name="solver_rlx" localSheetId="7" hidden="1">2</definedName>
    <definedName name="solver_rlx" localSheetId="11" hidden="1">2</definedName>
    <definedName name="solver_rlx" localSheetId="9" hidden="1">2</definedName>
    <definedName name="solver_rlx" localSheetId="8" hidden="1">2</definedName>
    <definedName name="solver_rlx" localSheetId="12" hidden="1">2</definedName>
    <definedName name="solver_rsd" localSheetId="7" hidden="1">0</definedName>
    <definedName name="solver_rsd" localSheetId="11" hidden="1">0</definedName>
    <definedName name="solver_rsd" localSheetId="9" hidden="1">0</definedName>
    <definedName name="solver_rsd" localSheetId="8" hidden="1">0</definedName>
    <definedName name="solver_rsd" localSheetId="12" hidden="1">0</definedName>
    <definedName name="solver_scl" localSheetId="7" hidden="1">1</definedName>
    <definedName name="solver_scl" localSheetId="11" hidden="1">1</definedName>
    <definedName name="solver_scl" localSheetId="9" hidden="1">1</definedName>
    <definedName name="solver_scl" localSheetId="8" hidden="1">1</definedName>
    <definedName name="solver_scl" localSheetId="12" hidden="1">1</definedName>
    <definedName name="solver_sho" localSheetId="7" hidden="1">2</definedName>
    <definedName name="solver_sho" localSheetId="11" hidden="1">2</definedName>
    <definedName name="solver_sho" localSheetId="9" hidden="1">2</definedName>
    <definedName name="solver_sho" localSheetId="8" hidden="1">2</definedName>
    <definedName name="solver_sho" localSheetId="12" hidden="1">2</definedName>
    <definedName name="solver_ssz" localSheetId="7" hidden="1">100</definedName>
    <definedName name="solver_ssz" localSheetId="11" hidden="1">100</definedName>
    <definedName name="solver_ssz" localSheetId="9" hidden="1">100</definedName>
    <definedName name="solver_ssz" localSheetId="8" hidden="1">100</definedName>
    <definedName name="solver_ssz" localSheetId="12" hidden="1">100</definedName>
    <definedName name="solver_tim" localSheetId="7" hidden="1">2147483647</definedName>
    <definedName name="solver_tim" localSheetId="11" hidden="1">2147483647</definedName>
    <definedName name="solver_tim" localSheetId="9" hidden="1">2147483647</definedName>
    <definedName name="solver_tim" localSheetId="8" hidden="1">2147483647</definedName>
    <definedName name="solver_tim" localSheetId="12" hidden="1">2147483647</definedName>
    <definedName name="solver_tol" localSheetId="7" hidden="1">0.01</definedName>
    <definedName name="solver_tol" localSheetId="11" hidden="1">0.01</definedName>
    <definedName name="solver_tol" localSheetId="9" hidden="1">0.01</definedName>
    <definedName name="solver_tol" localSheetId="8" hidden="1">0.01</definedName>
    <definedName name="solver_tol" localSheetId="12" hidden="1">0.01</definedName>
    <definedName name="solver_typ" localSheetId="7" hidden="1">3</definedName>
    <definedName name="solver_typ" localSheetId="11" hidden="1">3</definedName>
    <definedName name="solver_typ" localSheetId="9" hidden="1">3</definedName>
    <definedName name="solver_typ" localSheetId="8" hidden="1">3</definedName>
    <definedName name="solver_typ" localSheetId="12" hidden="1">3</definedName>
    <definedName name="solver_val" localSheetId="7" hidden="1">1</definedName>
    <definedName name="solver_val" localSheetId="11" hidden="1">1</definedName>
    <definedName name="solver_val" localSheetId="9" hidden="1">1</definedName>
    <definedName name="solver_val" localSheetId="8" hidden="1">1</definedName>
    <definedName name="solver_val" localSheetId="12" hidden="1">1</definedName>
    <definedName name="solver_ver" localSheetId="7" hidden="1">3</definedName>
    <definedName name="solver_ver" localSheetId="11" hidden="1">3</definedName>
    <definedName name="solver_ver" localSheetId="9" hidden="1">3</definedName>
    <definedName name="solver_ver" localSheetId="8" hidden="1">3</definedName>
    <definedName name="solver_ver" localSheetId="1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8" i="50" l="1"/>
  <c r="E167" i="50"/>
  <c r="E166" i="50"/>
  <c r="E165" i="50"/>
  <c r="E164" i="50"/>
  <c r="E163" i="50"/>
  <c r="E162" i="50"/>
  <c r="E156" i="50"/>
  <c r="D156" i="50"/>
  <c r="C156" i="50"/>
  <c r="L149" i="50"/>
  <c r="K149" i="50"/>
  <c r="L148" i="50"/>
  <c r="K148" i="50"/>
  <c r="L147" i="50"/>
  <c r="K147" i="50"/>
  <c r="D143" i="50"/>
  <c r="D142" i="50"/>
  <c r="D141" i="50"/>
  <c r="C137" i="50"/>
  <c r="M134" i="50"/>
  <c r="H134" i="50"/>
  <c r="G134" i="50"/>
  <c r="F134" i="50"/>
  <c r="M133" i="50"/>
  <c r="H133" i="50"/>
  <c r="G133" i="50"/>
  <c r="F133" i="50"/>
  <c r="M132" i="50"/>
  <c r="H132" i="50"/>
  <c r="G132" i="50"/>
  <c r="F132" i="50"/>
  <c r="M131" i="50"/>
  <c r="H131" i="50"/>
  <c r="G131" i="50"/>
  <c r="F131" i="50"/>
  <c r="M130" i="50"/>
  <c r="H130" i="50"/>
  <c r="G130" i="50"/>
  <c r="F130" i="50"/>
  <c r="M129" i="50"/>
  <c r="H129" i="50"/>
  <c r="G129" i="50"/>
  <c r="F129" i="50"/>
  <c r="M128" i="50"/>
  <c r="H128" i="50"/>
  <c r="G128" i="50"/>
  <c r="F128" i="50"/>
  <c r="M127" i="50"/>
  <c r="H127" i="50"/>
  <c r="G127" i="50"/>
  <c r="F127" i="50"/>
  <c r="M126" i="50"/>
  <c r="H126" i="50"/>
  <c r="G126" i="50"/>
  <c r="F126" i="50"/>
  <c r="M125" i="50"/>
  <c r="H125" i="50"/>
  <c r="G125" i="50"/>
  <c r="F125" i="50"/>
  <c r="M124" i="50"/>
  <c r="H124" i="50"/>
  <c r="G124" i="50"/>
  <c r="F124" i="50"/>
  <c r="M123" i="50"/>
  <c r="H123" i="50"/>
  <c r="G123" i="50"/>
  <c r="F123" i="50"/>
  <c r="M122" i="50"/>
  <c r="H122" i="50"/>
  <c r="G122" i="50"/>
  <c r="F122" i="50"/>
  <c r="D118" i="50"/>
  <c r="E117" i="50"/>
  <c r="E116" i="50"/>
  <c r="E115" i="50"/>
  <c r="E114" i="50"/>
  <c r="E113" i="50"/>
  <c r="E112" i="50"/>
  <c r="E111" i="50"/>
  <c r="E110" i="50"/>
  <c r="E109" i="50"/>
  <c r="T106" i="50"/>
  <c r="BO89" i="50" s="1"/>
  <c r="S106" i="50"/>
  <c r="BO88" i="50" s="1"/>
  <c r="E106" i="50"/>
  <c r="D106" i="50"/>
  <c r="C106" i="50"/>
  <c r="T105" i="50"/>
  <c r="S105" i="50"/>
  <c r="R105" i="50"/>
  <c r="P105" i="50"/>
  <c r="T104" i="50"/>
  <c r="S104" i="50"/>
  <c r="R104" i="50"/>
  <c r="P104" i="50"/>
  <c r="T103" i="50"/>
  <c r="S103" i="50"/>
  <c r="R103" i="50"/>
  <c r="P103" i="50"/>
  <c r="T102" i="50"/>
  <c r="S102" i="50"/>
  <c r="R102" i="50"/>
  <c r="P102" i="50"/>
  <c r="T101" i="50"/>
  <c r="S101" i="50"/>
  <c r="R101" i="50"/>
  <c r="P101" i="50"/>
  <c r="T100" i="50"/>
  <c r="S100" i="50"/>
  <c r="R100" i="50"/>
  <c r="P100" i="50"/>
  <c r="T99" i="50"/>
  <c r="S99" i="50"/>
  <c r="R99" i="50"/>
  <c r="P99" i="50"/>
  <c r="T98" i="50"/>
  <c r="S98" i="50"/>
  <c r="R98" i="50"/>
  <c r="P98" i="50"/>
  <c r="T97" i="50"/>
  <c r="S97" i="50"/>
  <c r="R97" i="50"/>
  <c r="R106" i="50" s="1"/>
  <c r="BO87" i="50" s="1"/>
  <c r="P97" i="50"/>
  <c r="P92" i="50"/>
  <c r="E92" i="50"/>
  <c r="S92" i="50" s="1"/>
  <c r="D92" i="50"/>
  <c r="R92" i="50" s="1"/>
  <c r="BN91" i="50"/>
  <c r="BJ91" i="50"/>
  <c r="P91" i="50"/>
  <c r="E91" i="50"/>
  <c r="S91" i="50" s="1"/>
  <c r="D91" i="50"/>
  <c r="R91" i="50" s="1"/>
  <c r="BO90" i="50"/>
  <c r="BN90" i="50"/>
  <c r="BK90" i="50"/>
  <c r="P90" i="50"/>
  <c r="E90" i="50"/>
  <c r="S90" i="50" s="1"/>
  <c r="D90" i="50"/>
  <c r="R90" i="50" s="1"/>
  <c r="BN89" i="50"/>
  <c r="P89" i="50"/>
  <c r="E89" i="50"/>
  <c r="S89" i="50" s="1"/>
  <c r="D89" i="50"/>
  <c r="R89" i="50" s="1"/>
  <c r="BN88" i="50"/>
  <c r="BJ88" i="50"/>
  <c r="P88" i="50"/>
  <c r="E88" i="50"/>
  <c r="S88" i="50" s="1"/>
  <c r="D88" i="50"/>
  <c r="R88" i="50" s="1"/>
  <c r="BN87" i="50"/>
  <c r="P87" i="50"/>
  <c r="E87" i="50"/>
  <c r="S87" i="50" s="1"/>
  <c r="D87" i="50"/>
  <c r="R87" i="50" s="1"/>
  <c r="BN86" i="50"/>
  <c r="BK86" i="50"/>
  <c r="BJ86" i="50"/>
  <c r="P86" i="50"/>
  <c r="E86" i="50"/>
  <c r="S86" i="50" s="1"/>
  <c r="D86" i="50"/>
  <c r="R86" i="50" s="1"/>
  <c r="BN85" i="50"/>
  <c r="P85" i="50"/>
  <c r="E85" i="50"/>
  <c r="S85" i="50" s="1"/>
  <c r="D85" i="50"/>
  <c r="R85" i="50" s="1"/>
  <c r="BN84" i="50"/>
  <c r="BL84" i="50"/>
  <c r="BM84" i="50" s="1"/>
  <c r="BK84" i="50"/>
  <c r="P84" i="50"/>
  <c r="BN83" i="50"/>
  <c r="BM83" i="50"/>
  <c r="BL83" i="50"/>
  <c r="BK83" i="50"/>
  <c r="BJ83" i="50"/>
  <c r="BO82" i="50"/>
  <c r="BN82" i="50"/>
  <c r="BJ82" i="50"/>
  <c r="BO81" i="50"/>
  <c r="BN81" i="50"/>
  <c r="L81" i="50"/>
  <c r="K81" i="50"/>
  <c r="BO80" i="50"/>
  <c r="BN80" i="50"/>
  <c r="BM80" i="50"/>
  <c r="BJ80" i="50"/>
  <c r="L80" i="50"/>
  <c r="K80" i="50"/>
  <c r="BO79" i="50"/>
  <c r="BN79" i="50"/>
  <c r="BM79" i="50"/>
  <c r="L79" i="50"/>
  <c r="K79" i="50"/>
  <c r="BO78" i="50"/>
  <c r="BN78" i="50"/>
  <c r="BM78" i="50"/>
  <c r="BK78" i="50"/>
  <c r="L78" i="50"/>
  <c r="K78" i="50"/>
  <c r="BO77" i="50"/>
  <c r="BN77" i="50"/>
  <c r="BM77" i="50"/>
  <c r="BK77" i="50"/>
  <c r="BJ77" i="50"/>
  <c r="L77" i="50"/>
  <c r="K77" i="50"/>
  <c r="BM76" i="50"/>
  <c r="BK76" i="50"/>
  <c r="L76" i="50"/>
  <c r="K76" i="50"/>
  <c r="BO75" i="50"/>
  <c r="BN75" i="50"/>
  <c r="BM75" i="50"/>
  <c r="L75" i="50"/>
  <c r="K75" i="50"/>
  <c r="BO74" i="50"/>
  <c r="BN74" i="50"/>
  <c r="BM74" i="50"/>
  <c r="BJ74" i="50"/>
  <c r="L74" i="50"/>
  <c r="K74" i="50"/>
  <c r="BO73" i="50"/>
  <c r="BN73" i="50"/>
  <c r="BM73" i="50"/>
  <c r="L73" i="50"/>
  <c r="BO72" i="50"/>
  <c r="BN72" i="50"/>
  <c r="BM72" i="50"/>
  <c r="BO71" i="50"/>
  <c r="BN71" i="50"/>
  <c r="BM71" i="50"/>
  <c r="BK71" i="50"/>
  <c r="BJ71" i="50"/>
  <c r="L71" i="50"/>
  <c r="BO70" i="50"/>
  <c r="BN70" i="50"/>
  <c r="BM70" i="50"/>
  <c r="BJ70" i="50"/>
  <c r="L70" i="50"/>
  <c r="K70" i="50"/>
  <c r="BO69" i="50"/>
  <c r="BN69" i="50"/>
  <c r="BM69" i="50"/>
  <c r="L69" i="50"/>
  <c r="BO68" i="50"/>
  <c r="BN68" i="50"/>
  <c r="BM68" i="50"/>
  <c r="BK68" i="50"/>
  <c r="L68" i="50"/>
  <c r="BO67" i="50"/>
  <c r="BN67" i="50"/>
  <c r="BM67" i="50"/>
  <c r="BK67" i="50"/>
  <c r="BJ67" i="50"/>
  <c r="BO66" i="50"/>
  <c r="BN66" i="50"/>
  <c r="BM66" i="50"/>
  <c r="BO65" i="50"/>
  <c r="BN65" i="50"/>
  <c r="BM65" i="50"/>
  <c r="D65" i="50"/>
  <c r="C65" i="50"/>
  <c r="B65" i="50"/>
  <c r="BM64" i="50"/>
  <c r="BL64" i="50"/>
  <c r="BI64" i="50"/>
  <c r="BN63" i="50"/>
  <c r="BM63" i="50"/>
  <c r="BL63" i="50"/>
  <c r="BN62" i="50"/>
  <c r="BM62" i="50"/>
  <c r="BL62" i="50"/>
  <c r="BJ62" i="50"/>
  <c r="BI62" i="50"/>
  <c r="BO61" i="50"/>
  <c r="BN61" i="50"/>
  <c r="BM61" i="50"/>
  <c r="BK61" i="50"/>
  <c r="BO60" i="50"/>
  <c r="BN60" i="50"/>
  <c r="BM60" i="50"/>
  <c r="BO59" i="50"/>
  <c r="BN59" i="50"/>
  <c r="BM59" i="50"/>
  <c r="BJ59" i="50"/>
  <c r="BO58" i="50"/>
  <c r="BN58" i="50"/>
  <c r="BM58" i="50"/>
  <c r="BK58" i="50"/>
  <c r="BJ58" i="50"/>
  <c r="BO57" i="50"/>
  <c r="BN57" i="50"/>
  <c r="BM57" i="50"/>
  <c r="BO56" i="50"/>
  <c r="BN56" i="50"/>
  <c r="BM56" i="50"/>
  <c r="BO55" i="50"/>
  <c r="BN55" i="50"/>
  <c r="BM55" i="50"/>
  <c r="BK55" i="50"/>
  <c r="BJ55" i="50"/>
  <c r="BO54" i="50"/>
  <c r="BM54" i="50"/>
  <c r="BK54" i="50"/>
  <c r="BJ54" i="50"/>
  <c r="BO53" i="50"/>
  <c r="BN53" i="50"/>
  <c r="BM53" i="50"/>
  <c r="BJ53" i="50"/>
  <c r="BO52" i="50"/>
  <c r="BN52" i="50"/>
  <c r="BM52" i="50"/>
  <c r="BJ52" i="50"/>
  <c r="BO51" i="50"/>
  <c r="BN51" i="50"/>
  <c r="BM51" i="50"/>
  <c r="BK51" i="50"/>
  <c r="BJ51" i="50"/>
  <c r="AF51" i="50"/>
  <c r="BO50" i="50"/>
  <c r="BN50" i="50"/>
  <c r="BM50" i="50"/>
  <c r="BK50" i="50"/>
  <c r="AF50" i="50"/>
  <c r="BO76" i="50" s="1"/>
  <c r="BM49" i="50"/>
  <c r="BK49" i="50"/>
  <c r="BJ49" i="50"/>
  <c r="AF49" i="50"/>
  <c r="I49" i="50"/>
  <c r="G49" i="50"/>
  <c r="F49" i="50"/>
  <c r="E49" i="50"/>
  <c r="BO48" i="50"/>
  <c r="BN48" i="50"/>
  <c r="BM48" i="50"/>
  <c r="BK48" i="50"/>
  <c r="AF48" i="50"/>
  <c r="BN64" i="50" s="1"/>
  <c r="I48" i="50"/>
  <c r="G48" i="50"/>
  <c r="F48" i="50"/>
  <c r="E48" i="50"/>
  <c r="BO47" i="50"/>
  <c r="BN47" i="50"/>
  <c r="BM47" i="50"/>
  <c r="BK47" i="50"/>
  <c r="BJ47" i="50"/>
  <c r="AF47" i="50"/>
  <c r="I47" i="50"/>
  <c r="G47" i="50"/>
  <c r="F47" i="50"/>
  <c r="E47" i="50"/>
  <c r="BO46" i="50"/>
  <c r="BN46" i="50"/>
  <c r="BM46" i="50"/>
  <c r="BJ46" i="50"/>
  <c r="AF46" i="50"/>
  <c r="I46" i="50"/>
  <c r="G46" i="50"/>
  <c r="F46" i="50"/>
  <c r="E46" i="50"/>
  <c r="BO45" i="50"/>
  <c r="BN45" i="50"/>
  <c r="BM45" i="50"/>
  <c r="AF45" i="50"/>
  <c r="BO49" i="50" s="1"/>
  <c r="I45" i="50"/>
  <c r="H45" i="50"/>
  <c r="N45" i="50" s="1"/>
  <c r="G45" i="50"/>
  <c r="F45" i="50"/>
  <c r="E45" i="50"/>
  <c r="D45" i="50"/>
  <c r="BO44" i="50"/>
  <c r="BN44" i="50"/>
  <c r="BM44" i="50"/>
  <c r="BJ44" i="50"/>
  <c r="AF44" i="50"/>
  <c r="BO43" i="50"/>
  <c r="BN43" i="50"/>
  <c r="BM43" i="50"/>
  <c r="BK43" i="50"/>
  <c r="BJ43" i="50"/>
  <c r="AF43" i="50"/>
  <c r="BO42" i="50"/>
  <c r="BN42" i="50"/>
  <c r="BM42" i="50"/>
  <c r="BK42" i="50"/>
  <c r="BJ42" i="50"/>
  <c r="AF42" i="50"/>
  <c r="J42" i="50"/>
  <c r="BO41" i="50"/>
  <c r="BN41" i="50"/>
  <c r="BM41" i="50"/>
  <c r="BK41" i="50"/>
  <c r="AF41" i="50"/>
  <c r="X41" i="50"/>
  <c r="W41" i="50"/>
  <c r="V41" i="50"/>
  <c r="U41" i="50"/>
  <c r="T41" i="50"/>
  <c r="R41" i="50"/>
  <c r="G41" i="50"/>
  <c r="F41" i="50"/>
  <c r="E41" i="50"/>
  <c r="BO40" i="50"/>
  <c r="BN40" i="50"/>
  <c r="BM40" i="50"/>
  <c r="BK40" i="50"/>
  <c r="BJ40" i="50"/>
  <c r="AF40" i="50"/>
  <c r="X40" i="50"/>
  <c r="W40" i="50"/>
  <c r="V40" i="50"/>
  <c r="U40" i="50"/>
  <c r="T40" i="50"/>
  <c r="R40" i="50"/>
  <c r="G40" i="50"/>
  <c r="F40" i="50"/>
  <c r="E40" i="50"/>
  <c r="BO39" i="50"/>
  <c r="BN39" i="50"/>
  <c r="BM39" i="50"/>
  <c r="BK39" i="50"/>
  <c r="BJ39" i="50"/>
  <c r="AF39" i="50"/>
  <c r="X39" i="50"/>
  <c r="W39" i="50"/>
  <c r="V39" i="50"/>
  <c r="U39" i="50"/>
  <c r="T39" i="50"/>
  <c r="R39" i="50"/>
  <c r="K39" i="50"/>
  <c r="G39" i="50"/>
  <c r="F39" i="50"/>
  <c r="E39" i="50"/>
  <c r="BO38" i="50"/>
  <c r="BN38" i="50"/>
  <c r="BM38" i="50"/>
  <c r="BK38" i="50"/>
  <c r="BJ38" i="50"/>
  <c r="AF38" i="50"/>
  <c r="X38" i="50"/>
  <c r="W38" i="50"/>
  <c r="V38" i="50"/>
  <c r="U38" i="50"/>
  <c r="T38" i="50"/>
  <c r="R38" i="50"/>
  <c r="D38" i="50" s="1"/>
  <c r="G38" i="50"/>
  <c r="F38" i="50"/>
  <c r="E38" i="50"/>
  <c r="BO37" i="50"/>
  <c r="BN37" i="50"/>
  <c r="BM37" i="50"/>
  <c r="BK37" i="50"/>
  <c r="BJ37" i="50"/>
  <c r="AF37" i="50"/>
  <c r="BO36" i="50"/>
  <c r="BN36" i="50"/>
  <c r="BM36" i="50"/>
  <c r="BK36" i="50"/>
  <c r="BJ36" i="50"/>
  <c r="AF36" i="50"/>
  <c r="X36" i="50"/>
  <c r="W36" i="50"/>
  <c r="V36" i="50"/>
  <c r="U36" i="50"/>
  <c r="T36" i="50"/>
  <c r="R36" i="50"/>
  <c r="D36" i="50" s="1"/>
  <c r="G36" i="50"/>
  <c r="F36" i="50"/>
  <c r="E36" i="50"/>
  <c r="BO35" i="50"/>
  <c r="BN35" i="50"/>
  <c r="BM35" i="50"/>
  <c r="BK35" i="50"/>
  <c r="BJ35" i="50"/>
  <c r="AF35" i="50"/>
  <c r="BO34" i="50"/>
  <c r="BN34" i="50"/>
  <c r="BM34" i="50"/>
  <c r="BK34" i="50"/>
  <c r="BJ34" i="50"/>
  <c r="AF34" i="50"/>
  <c r="BN54" i="50" s="1"/>
  <c r="BM33" i="50"/>
  <c r="BK74" i="50" s="1"/>
  <c r="BL33" i="50"/>
  <c r="AF33" i="50"/>
  <c r="D33" i="50"/>
  <c r="BM32" i="50"/>
  <c r="BJ61" i="50" s="1"/>
  <c r="BL32" i="50"/>
  <c r="AF32" i="50"/>
  <c r="D32" i="50"/>
  <c r="C136" i="50" s="1"/>
  <c r="AF31" i="50"/>
  <c r="AD31" i="50"/>
  <c r="AC31" i="50"/>
  <c r="D31" i="50"/>
  <c r="BH30" i="50"/>
  <c r="BG30" i="50"/>
  <c r="BF30" i="50"/>
  <c r="BE30" i="50"/>
  <c r="BD30" i="50"/>
  <c r="BC30" i="50"/>
  <c r="BB30" i="50"/>
  <c r="BA30" i="50"/>
  <c r="AZ30" i="50"/>
  <c r="AY30" i="50"/>
  <c r="AX30" i="50"/>
  <c r="AW30" i="50"/>
  <c r="AV30" i="50"/>
  <c r="AU30" i="50"/>
  <c r="AT30" i="50"/>
  <c r="AS30" i="50"/>
  <c r="AR30" i="50"/>
  <c r="AQ30" i="50"/>
  <c r="AP30" i="50"/>
  <c r="AO30" i="50"/>
  <c r="AF30" i="50"/>
  <c r="AB30" i="50"/>
  <c r="X30" i="50"/>
  <c r="W30" i="50"/>
  <c r="V30" i="50"/>
  <c r="U30" i="50"/>
  <c r="Y30" i="50" s="1"/>
  <c r="T30" i="50"/>
  <c r="P30" i="50"/>
  <c r="O30" i="50"/>
  <c r="N30" i="50"/>
  <c r="M30" i="50"/>
  <c r="L30" i="50"/>
  <c r="K30" i="50"/>
  <c r="R30" i="50" s="1"/>
  <c r="I30" i="50"/>
  <c r="H30" i="50"/>
  <c r="BH29" i="50"/>
  <c r="BG29" i="50"/>
  <c r="BF29" i="50"/>
  <c r="BE29" i="50"/>
  <c r="BD29" i="50"/>
  <c r="BC29" i="50"/>
  <c r="BB29" i="50"/>
  <c r="BA29" i="50"/>
  <c r="AZ29" i="50"/>
  <c r="AY29" i="50"/>
  <c r="AX29" i="50"/>
  <c r="AW29" i="50"/>
  <c r="AV29" i="50"/>
  <c r="AU29" i="50"/>
  <c r="AT29" i="50"/>
  <c r="AS29" i="50"/>
  <c r="AR29" i="50"/>
  <c r="AQ29" i="50"/>
  <c r="AP29" i="50"/>
  <c r="AP31" i="50" s="1"/>
  <c r="AO29" i="50"/>
  <c r="AF29" i="50"/>
  <c r="AB29" i="50"/>
  <c r="X29" i="50"/>
  <c r="W29" i="50"/>
  <c r="V29" i="50"/>
  <c r="U29" i="50"/>
  <c r="Y29" i="50" s="1"/>
  <c r="T29" i="50"/>
  <c r="P29" i="50"/>
  <c r="O29" i="50"/>
  <c r="N29" i="50"/>
  <c r="M29" i="50"/>
  <c r="L29" i="50"/>
  <c r="K29" i="50"/>
  <c r="R29" i="50" s="1"/>
  <c r="I29" i="50"/>
  <c r="H29" i="50"/>
  <c r="BH28" i="50"/>
  <c r="BG28" i="50"/>
  <c r="BF28" i="50"/>
  <c r="BE28" i="50"/>
  <c r="BD28" i="50"/>
  <c r="BC28" i="50"/>
  <c r="BB28" i="50"/>
  <c r="BA28" i="50"/>
  <c r="AZ28" i="50"/>
  <c r="AY28" i="50"/>
  <c r="AX28" i="50"/>
  <c r="AW28" i="50"/>
  <c r="AV28" i="50"/>
  <c r="AU28" i="50"/>
  <c r="AT28" i="50"/>
  <c r="AS28" i="50"/>
  <c r="AR28" i="50"/>
  <c r="AQ28" i="50"/>
  <c r="AP28" i="50"/>
  <c r="AO28" i="50"/>
  <c r="AF28" i="50"/>
  <c r="AB28" i="50"/>
  <c r="X28" i="50"/>
  <c r="W28" i="50"/>
  <c r="V28" i="50"/>
  <c r="U28" i="50"/>
  <c r="Y28" i="50" s="1"/>
  <c r="T28" i="50"/>
  <c r="R28" i="50"/>
  <c r="P28" i="50"/>
  <c r="O28" i="50"/>
  <c r="N28" i="50"/>
  <c r="M28" i="50"/>
  <c r="L28" i="50"/>
  <c r="K28" i="50"/>
  <c r="I28" i="50"/>
  <c r="H28" i="50"/>
  <c r="BH27" i="50"/>
  <c r="BG27" i="50"/>
  <c r="BF27" i="50"/>
  <c r="BE27" i="50"/>
  <c r="BD27" i="50"/>
  <c r="BC27" i="50"/>
  <c r="BB27" i="50"/>
  <c r="BA27" i="50"/>
  <c r="AZ27" i="50"/>
  <c r="AY27" i="50"/>
  <c r="AX27" i="50"/>
  <c r="AW27" i="50"/>
  <c r="AV27" i="50"/>
  <c r="AU27" i="50"/>
  <c r="AT27" i="50"/>
  <c r="AS27" i="50"/>
  <c r="AR27" i="50"/>
  <c r="AQ27" i="50"/>
  <c r="AP27" i="50"/>
  <c r="AO27" i="50"/>
  <c r="AF27" i="50"/>
  <c r="AB27" i="50"/>
  <c r="X27" i="50"/>
  <c r="W27" i="50"/>
  <c r="V27" i="50"/>
  <c r="U27" i="50"/>
  <c r="Y27" i="50" s="1"/>
  <c r="T27" i="50"/>
  <c r="P27" i="50"/>
  <c r="O27" i="50"/>
  <c r="N27" i="50"/>
  <c r="M27" i="50"/>
  <c r="L27" i="50"/>
  <c r="K27" i="50"/>
  <c r="R27" i="50" s="1"/>
  <c r="I27" i="50"/>
  <c r="H27" i="50"/>
  <c r="BH26" i="50"/>
  <c r="BG26" i="50"/>
  <c r="BF26" i="50"/>
  <c r="BE26" i="50"/>
  <c r="BD26" i="50"/>
  <c r="BC26" i="50"/>
  <c r="BB26" i="50"/>
  <c r="BA26" i="50"/>
  <c r="AZ26" i="50"/>
  <c r="AY26" i="50"/>
  <c r="AX26" i="50"/>
  <c r="AW26" i="50"/>
  <c r="AV26" i="50"/>
  <c r="AU26" i="50"/>
  <c r="AT26" i="50"/>
  <c r="AS26" i="50"/>
  <c r="AR26" i="50"/>
  <c r="AQ26" i="50"/>
  <c r="AP26" i="50"/>
  <c r="AO26" i="50"/>
  <c r="AO31" i="50" s="1"/>
  <c r="AF26" i="50"/>
  <c r="AB26" i="50"/>
  <c r="X26" i="50"/>
  <c r="W26" i="50"/>
  <c r="V26" i="50"/>
  <c r="U26" i="50"/>
  <c r="Y26" i="50" s="1"/>
  <c r="T26" i="50"/>
  <c r="P26" i="50"/>
  <c r="O26" i="50"/>
  <c r="N26" i="50"/>
  <c r="M26" i="50"/>
  <c r="L26" i="50"/>
  <c r="K26" i="50"/>
  <c r="R26" i="50" s="1"/>
  <c r="I26" i="50"/>
  <c r="H26" i="50"/>
  <c r="BH25" i="50"/>
  <c r="BG25" i="50"/>
  <c r="BF25" i="50"/>
  <c r="BE25" i="50"/>
  <c r="BD25" i="50"/>
  <c r="BC25" i="50"/>
  <c r="BB25" i="50"/>
  <c r="BA25" i="50"/>
  <c r="AZ25" i="50"/>
  <c r="AY25" i="50"/>
  <c r="AX25" i="50"/>
  <c r="AW25" i="50"/>
  <c r="AV25" i="50"/>
  <c r="AU25" i="50"/>
  <c r="AT25" i="50"/>
  <c r="AS25" i="50"/>
  <c r="AR25" i="50"/>
  <c r="AQ25" i="50"/>
  <c r="AP25" i="50"/>
  <c r="AO25" i="50"/>
  <c r="AF25" i="50"/>
  <c r="AB25" i="50"/>
  <c r="X25" i="50"/>
  <c r="W25" i="50"/>
  <c r="V25" i="50"/>
  <c r="U25" i="50"/>
  <c r="Y25" i="50" s="1"/>
  <c r="T25" i="50"/>
  <c r="R25" i="50"/>
  <c r="P25" i="50"/>
  <c r="O25" i="50"/>
  <c r="N25" i="50"/>
  <c r="M25" i="50"/>
  <c r="L25" i="50"/>
  <c r="K25" i="50"/>
  <c r="I25" i="50"/>
  <c r="H25" i="50"/>
  <c r="BH24" i="50"/>
  <c r="BG24" i="50"/>
  <c r="BF24" i="50"/>
  <c r="BE24" i="50"/>
  <c r="BD24" i="50"/>
  <c r="BC24" i="50"/>
  <c r="BB24" i="50"/>
  <c r="BA24" i="50"/>
  <c r="AZ24" i="50"/>
  <c r="AY24" i="50"/>
  <c r="AX24" i="50"/>
  <c r="AX31" i="50" s="1"/>
  <c r="AW24" i="50"/>
  <c r="AW31" i="50" s="1"/>
  <c r="AV24" i="50"/>
  <c r="AU24" i="50"/>
  <c r="AT24" i="50"/>
  <c r="AS24" i="50"/>
  <c r="AR24" i="50"/>
  <c r="AQ24" i="50"/>
  <c r="AP24" i="50"/>
  <c r="AO24" i="50"/>
  <c r="AF24" i="50"/>
  <c r="AB24" i="50"/>
  <c r="X24" i="50"/>
  <c r="W24" i="50"/>
  <c r="V24" i="50"/>
  <c r="U24" i="50"/>
  <c r="T24" i="50"/>
  <c r="T31" i="50" s="1"/>
  <c r="P24" i="50"/>
  <c r="O24" i="50"/>
  <c r="N24" i="50"/>
  <c r="M24" i="50"/>
  <c r="L24" i="50"/>
  <c r="K24" i="50"/>
  <c r="R24" i="50" s="1"/>
  <c r="I24" i="50"/>
  <c r="H24" i="50"/>
  <c r="AF23" i="50"/>
  <c r="AF22" i="50"/>
  <c r="AF21" i="50"/>
  <c r="AF20" i="50"/>
  <c r="D20" i="50"/>
  <c r="AF19" i="50"/>
  <c r="AF18" i="50"/>
  <c r="AF17" i="50"/>
  <c r="Y17" i="50"/>
  <c r="X17" i="50"/>
  <c r="W17" i="50"/>
  <c r="V17" i="50"/>
  <c r="U17" i="50"/>
  <c r="T17" i="50"/>
  <c r="R17" i="50"/>
  <c r="AF16" i="50"/>
  <c r="X16" i="50"/>
  <c r="W16" i="50"/>
  <c r="V16" i="50"/>
  <c r="U16" i="50"/>
  <c r="Y16" i="50" s="1"/>
  <c r="T16" i="50"/>
  <c r="AF15" i="50"/>
  <c r="AF14" i="50"/>
  <c r="AF13" i="50"/>
  <c r="AF12" i="50"/>
  <c r="AF11" i="50"/>
  <c r="AF10" i="50"/>
  <c r="AF9" i="50"/>
  <c r="AF8" i="50"/>
  <c r="J8" i="50"/>
  <c r="AF7" i="50"/>
  <c r="AF6" i="50"/>
  <c r="AF5" i="50"/>
  <c r="AF4" i="50"/>
  <c r="AF3" i="50"/>
  <c r="D201" i="33"/>
  <c r="AS31" i="50" l="1"/>
  <c r="BB31" i="50"/>
  <c r="AQ31" i="50"/>
  <c r="BH31" i="50"/>
  <c r="BD31" i="50"/>
  <c r="AR31" i="50"/>
  <c r="AT31" i="50"/>
  <c r="AV31" i="50"/>
  <c r="BE31" i="50"/>
  <c r="AU31" i="50"/>
  <c r="U31" i="50"/>
  <c r="AY31" i="50"/>
  <c r="W31" i="50"/>
  <c r="AZ31" i="50"/>
  <c r="V31" i="50"/>
  <c r="X31" i="50"/>
  <c r="AB31" i="50"/>
  <c r="Y24" i="50"/>
  <c r="Y31" i="50" s="1"/>
  <c r="BC31" i="50"/>
  <c r="BA31" i="50"/>
  <c r="BG31" i="50"/>
  <c r="BF31" i="50"/>
  <c r="E118" i="50"/>
  <c r="BO91" i="50" s="1"/>
  <c r="G177" i="50"/>
  <c r="D140" i="50"/>
  <c r="R31" i="50"/>
  <c r="K45" i="50"/>
  <c r="O45" i="50" s="1"/>
  <c r="BJ41" i="50"/>
  <c r="L45" i="50"/>
  <c r="BK46" i="50"/>
  <c r="BN49" i="50"/>
  <c r="BK52" i="50"/>
  <c r="BK70" i="50"/>
  <c r="BJ73" i="50"/>
  <c r="BK80" i="50"/>
  <c r="BK88" i="50"/>
  <c r="M45" i="50"/>
  <c r="BK73" i="50"/>
  <c r="BJ76" i="50"/>
  <c r="BJ78" i="50"/>
  <c r="BJ90" i="50"/>
  <c r="BJ48" i="50"/>
  <c r="BJ50" i="50"/>
  <c r="BJ56" i="50"/>
  <c r="BK59" i="50"/>
  <c r="BJ65" i="50"/>
  <c r="BK56" i="50"/>
  <c r="BK65" i="50"/>
  <c r="BJ69" i="50"/>
  <c r="BN76" i="50"/>
  <c r="BJ85" i="50"/>
  <c r="BK44" i="50"/>
  <c r="BJ45" i="50"/>
  <c r="BK53" i="50"/>
  <c r="BK69" i="50"/>
  <c r="BJ72" i="50"/>
  <c r="BK85" i="50"/>
  <c r="BK45" i="50"/>
  <c r="BI63" i="50"/>
  <c r="BK72" i="50"/>
  <c r="BJ75" i="50"/>
  <c r="BJ81" i="50"/>
  <c r="BJ87" i="50"/>
  <c r="BJ60" i="50"/>
  <c r="BJ63" i="50"/>
  <c r="BK75" i="50"/>
  <c r="BK81" i="50"/>
  <c r="BK87" i="50"/>
  <c r="BJ57" i="50"/>
  <c r="BK60" i="50"/>
  <c r="BJ66" i="50"/>
  <c r="BJ79" i="50"/>
  <c r="BJ89" i="50"/>
  <c r="BK57" i="50"/>
  <c r="BK66" i="50"/>
  <c r="BJ68" i="50"/>
  <c r="BK79" i="50"/>
  <c r="BJ84" i="50"/>
  <c r="BK89" i="50"/>
  <c r="BK82" i="50"/>
  <c r="BK91" i="50"/>
  <c r="BJ64" i="50"/>
  <c r="G64" i="47"/>
  <c r="N17" i="48"/>
  <c r="N16" i="48"/>
  <c r="N15" i="48"/>
  <c r="N14" i="48"/>
  <c r="N17" i="49"/>
  <c r="N16" i="49"/>
  <c r="N15" i="49"/>
  <c r="N14" i="49"/>
  <c r="N17" i="47"/>
  <c r="N16" i="47"/>
  <c r="N15" i="47"/>
  <c r="N14" i="47"/>
  <c r="K40" i="49"/>
  <c r="K39" i="49"/>
  <c r="J42" i="49"/>
  <c r="F183" i="49"/>
  <c r="F181" i="49"/>
  <c r="D183" i="49"/>
  <c r="D182" i="49"/>
  <c r="D181" i="49"/>
  <c r="D168" i="49"/>
  <c r="E167" i="49"/>
  <c r="E166" i="49"/>
  <c r="E165" i="49"/>
  <c r="E164" i="49"/>
  <c r="E163" i="49"/>
  <c r="E162" i="49"/>
  <c r="E156" i="49"/>
  <c r="D156" i="49"/>
  <c r="C156" i="49"/>
  <c r="L149" i="49"/>
  <c r="K149" i="49"/>
  <c r="L148" i="49"/>
  <c r="K148" i="49"/>
  <c r="L147" i="49"/>
  <c r="K147" i="49"/>
  <c r="D143" i="49"/>
  <c r="D142" i="49"/>
  <c r="D141" i="49"/>
  <c r="C137" i="49"/>
  <c r="M134" i="49"/>
  <c r="H134" i="49"/>
  <c r="G134" i="49"/>
  <c r="F134" i="49"/>
  <c r="M133" i="49"/>
  <c r="H133" i="49"/>
  <c r="G133" i="49"/>
  <c r="F133" i="49"/>
  <c r="M132" i="49"/>
  <c r="H132" i="49"/>
  <c r="G132" i="49"/>
  <c r="F132" i="49"/>
  <c r="M131" i="49"/>
  <c r="H131" i="49"/>
  <c r="G131" i="49"/>
  <c r="F131" i="49"/>
  <c r="M130" i="49"/>
  <c r="H130" i="49"/>
  <c r="G130" i="49"/>
  <c r="F130" i="49"/>
  <c r="M129" i="49"/>
  <c r="H129" i="49"/>
  <c r="G129" i="49"/>
  <c r="F129" i="49"/>
  <c r="M128" i="49"/>
  <c r="H128" i="49"/>
  <c r="G128" i="49"/>
  <c r="F128" i="49"/>
  <c r="M127" i="49"/>
  <c r="H127" i="49"/>
  <c r="G127" i="49"/>
  <c r="F127" i="49"/>
  <c r="M126" i="49"/>
  <c r="H126" i="49"/>
  <c r="G126" i="49"/>
  <c r="F126" i="49"/>
  <c r="M125" i="49"/>
  <c r="H125" i="49"/>
  <c r="G125" i="49"/>
  <c r="F125" i="49"/>
  <c r="M124" i="49"/>
  <c r="H124" i="49"/>
  <c r="G124" i="49"/>
  <c r="F124" i="49"/>
  <c r="M123" i="49"/>
  <c r="H123" i="49"/>
  <c r="G123" i="49"/>
  <c r="F123" i="49"/>
  <c r="M122" i="49"/>
  <c r="H122" i="49"/>
  <c r="G122" i="49"/>
  <c r="F122" i="49"/>
  <c r="D118" i="49"/>
  <c r="E117" i="49"/>
  <c r="E116" i="49"/>
  <c r="E115" i="49"/>
  <c r="E114" i="49"/>
  <c r="E113" i="49"/>
  <c r="E112" i="49"/>
  <c r="E111" i="49"/>
  <c r="E110" i="49"/>
  <c r="E109" i="49"/>
  <c r="E106" i="49"/>
  <c r="D106" i="49"/>
  <c r="C106" i="49"/>
  <c r="T105" i="49"/>
  <c r="S105" i="49"/>
  <c r="R105" i="49"/>
  <c r="P105" i="49"/>
  <c r="T104" i="49"/>
  <c r="S104" i="49"/>
  <c r="R104" i="49"/>
  <c r="P104" i="49"/>
  <c r="T103" i="49"/>
  <c r="S103" i="49"/>
  <c r="R103" i="49"/>
  <c r="P103" i="49"/>
  <c r="T102" i="49"/>
  <c r="S102" i="49"/>
  <c r="R102" i="49"/>
  <c r="P102" i="49"/>
  <c r="T101" i="49"/>
  <c r="S101" i="49"/>
  <c r="R101" i="49"/>
  <c r="P101" i="49"/>
  <c r="T100" i="49"/>
  <c r="S100" i="49"/>
  <c r="R100" i="49"/>
  <c r="P100" i="49"/>
  <c r="T99" i="49"/>
  <c r="S99" i="49"/>
  <c r="R99" i="49"/>
  <c r="P99" i="49"/>
  <c r="T98" i="49"/>
  <c r="S98" i="49"/>
  <c r="R98" i="49"/>
  <c r="P98" i="49"/>
  <c r="T97" i="49"/>
  <c r="S97" i="49"/>
  <c r="R97" i="49"/>
  <c r="P97" i="49"/>
  <c r="P92" i="49"/>
  <c r="E92" i="49"/>
  <c r="S92" i="49" s="1"/>
  <c r="D92" i="49"/>
  <c r="R92" i="49" s="1"/>
  <c r="BN91" i="49"/>
  <c r="BK91" i="49"/>
  <c r="BJ91" i="49"/>
  <c r="P91" i="49"/>
  <c r="E91" i="49"/>
  <c r="S91" i="49" s="1"/>
  <c r="D91" i="49"/>
  <c r="R91" i="49" s="1"/>
  <c r="BO90" i="49"/>
  <c r="BN90" i="49"/>
  <c r="P90" i="49"/>
  <c r="E90" i="49"/>
  <c r="S90" i="49" s="1"/>
  <c r="D90" i="49"/>
  <c r="R90" i="49" s="1"/>
  <c r="BN89" i="49"/>
  <c r="P89" i="49"/>
  <c r="E89" i="49"/>
  <c r="S89" i="49" s="1"/>
  <c r="D89" i="49"/>
  <c r="R89" i="49" s="1"/>
  <c r="BN88" i="49"/>
  <c r="P88" i="49"/>
  <c r="E88" i="49"/>
  <c r="S88" i="49" s="1"/>
  <c r="D88" i="49"/>
  <c r="R88" i="49" s="1"/>
  <c r="BN87" i="49"/>
  <c r="P87" i="49"/>
  <c r="E87" i="49"/>
  <c r="S87" i="49" s="1"/>
  <c r="D87" i="49"/>
  <c r="R87" i="49" s="1"/>
  <c r="BN86" i="49"/>
  <c r="P86" i="49"/>
  <c r="E86" i="49"/>
  <c r="S86" i="49" s="1"/>
  <c r="D86" i="49"/>
  <c r="R86" i="49" s="1"/>
  <c r="BN85" i="49"/>
  <c r="P85" i="49"/>
  <c r="E85" i="49"/>
  <c r="S85" i="49" s="1"/>
  <c r="D85" i="49"/>
  <c r="R85" i="49" s="1"/>
  <c r="BN84" i="49"/>
  <c r="BL84" i="49"/>
  <c r="BM84" i="49" s="1"/>
  <c r="BK84" i="49"/>
  <c r="P84" i="49"/>
  <c r="BN83" i="49"/>
  <c r="BL83" i="49"/>
  <c r="BM83" i="49" s="1"/>
  <c r="BO82" i="49"/>
  <c r="BN82" i="49"/>
  <c r="BK82" i="49"/>
  <c r="BJ82" i="49"/>
  <c r="BO81" i="49"/>
  <c r="BN81" i="49"/>
  <c r="L81" i="49"/>
  <c r="K81" i="49"/>
  <c r="BO80" i="49"/>
  <c r="BN80" i="49"/>
  <c r="BM80" i="49"/>
  <c r="L80" i="49"/>
  <c r="K80" i="49"/>
  <c r="BO79" i="49"/>
  <c r="BN79" i="49"/>
  <c r="BM79" i="49"/>
  <c r="L79" i="49"/>
  <c r="K79" i="49"/>
  <c r="BO78" i="49"/>
  <c r="BN78" i="49"/>
  <c r="BM78" i="49"/>
  <c r="L78" i="49"/>
  <c r="K78" i="49"/>
  <c r="BO77" i="49"/>
  <c r="BN77" i="49"/>
  <c r="BM77" i="49"/>
  <c r="BK77" i="49"/>
  <c r="BJ77" i="49"/>
  <c r="L77" i="49"/>
  <c r="K77" i="49"/>
  <c r="BN76" i="49"/>
  <c r="BM76" i="49"/>
  <c r="L76" i="49"/>
  <c r="K76" i="49"/>
  <c r="BO75" i="49"/>
  <c r="BN75" i="49"/>
  <c r="BM75" i="49"/>
  <c r="L75" i="49"/>
  <c r="K75" i="49"/>
  <c r="BO74" i="49"/>
  <c r="BN74" i="49"/>
  <c r="BM74" i="49"/>
  <c r="L74" i="49"/>
  <c r="K74" i="49"/>
  <c r="BO73" i="49"/>
  <c r="BN73" i="49"/>
  <c r="BM73" i="49"/>
  <c r="L73" i="49"/>
  <c r="K73" i="49"/>
  <c r="BO72" i="49"/>
  <c r="BN72" i="49"/>
  <c r="BM72" i="49"/>
  <c r="BO71" i="49"/>
  <c r="BN71" i="49"/>
  <c r="BM71" i="49"/>
  <c r="L71" i="49"/>
  <c r="BN70" i="49"/>
  <c r="BM70" i="49"/>
  <c r="L70" i="49"/>
  <c r="BO69" i="49"/>
  <c r="BN69" i="49"/>
  <c r="BM69" i="49"/>
  <c r="L69" i="49"/>
  <c r="K69" i="49"/>
  <c r="BO68" i="49"/>
  <c r="BN68" i="49"/>
  <c r="BM68" i="49"/>
  <c r="L68" i="49"/>
  <c r="BO67" i="49"/>
  <c r="BN67" i="49"/>
  <c r="BM67" i="49"/>
  <c r="BO66" i="49"/>
  <c r="BN66" i="49"/>
  <c r="BM66" i="49"/>
  <c r="BO65" i="49"/>
  <c r="BN65" i="49"/>
  <c r="BM65" i="49"/>
  <c r="D65" i="49"/>
  <c r="C65" i="49"/>
  <c r="B65" i="49"/>
  <c r="BM64" i="49"/>
  <c r="BL64" i="49"/>
  <c r="BJ64" i="49"/>
  <c r="BI64" i="49"/>
  <c r="BN63" i="49"/>
  <c r="BM63" i="49"/>
  <c r="BL63" i="49"/>
  <c r="BN62" i="49"/>
  <c r="BM62" i="49"/>
  <c r="BL62" i="49"/>
  <c r="BO61" i="49"/>
  <c r="BN61" i="49"/>
  <c r="BM61" i="49"/>
  <c r="BO60" i="49"/>
  <c r="BN60" i="49"/>
  <c r="BM60" i="49"/>
  <c r="BO59" i="49"/>
  <c r="BN59" i="49"/>
  <c r="BM59" i="49"/>
  <c r="BO58" i="49"/>
  <c r="BN58" i="49"/>
  <c r="BM58" i="49"/>
  <c r="BO57" i="49"/>
  <c r="BN57" i="49"/>
  <c r="BM57" i="49"/>
  <c r="BO56" i="49"/>
  <c r="BN56" i="49"/>
  <c r="BM56" i="49"/>
  <c r="BO55" i="49"/>
  <c r="BN55" i="49"/>
  <c r="BM55" i="49"/>
  <c r="BN54" i="49"/>
  <c r="BM54" i="49"/>
  <c r="BK54" i="49"/>
  <c r="BO53" i="49"/>
  <c r="BN53" i="49"/>
  <c r="BM53" i="49"/>
  <c r="BO52" i="49"/>
  <c r="BN52" i="49"/>
  <c r="BM52" i="49"/>
  <c r="BO51" i="49"/>
  <c r="BN51" i="49"/>
  <c r="BM51" i="49"/>
  <c r="BK51" i="49"/>
  <c r="AF51" i="49"/>
  <c r="BO50" i="49"/>
  <c r="BN50" i="49"/>
  <c r="BM50" i="49"/>
  <c r="AF50" i="49"/>
  <c r="BO76" i="49" s="1"/>
  <c r="BN49" i="49"/>
  <c r="BM49" i="49"/>
  <c r="AF49" i="49"/>
  <c r="BO70" i="49" s="1"/>
  <c r="I49" i="49"/>
  <c r="G49" i="49"/>
  <c r="F49" i="49"/>
  <c r="E49" i="49"/>
  <c r="BO48" i="49"/>
  <c r="BN48" i="49"/>
  <c r="BM48" i="49"/>
  <c r="AF48" i="49"/>
  <c r="BN64" i="49" s="1"/>
  <c r="I48" i="49"/>
  <c r="G48" i="49"/>
  <c r="F48" i="49"/>
  <c r="E48" i="49"/>
  <c r="BO47" i="49"/>
  <c r="BN47" i="49"/>
  <c r="BM47" i="49"/>
  <c r="BK47" i="49"/>
  <c r="AF47" i="49"/>
  <c r="I47" i="49"/>
  <c r="G47" i="49"/>
  <c r="F47" i="49"/>
  <c r="E47" i="49"/>
  <c r="BO46" i="49"/>
  <c r="BN46" i="49"/>
  <c r="BM46" i="49"/>
  <c r="AF46" i="49"/>
  <c r="BO54" i="49" s="1"/>
  <c r="I46" i="49"/>
  <c r="G46" i="49"/>
  <c r="F46" i="49"/>
  <c r="E46" i="49"/>
  <c r="BO45" i="49"/>
  <c r="BN45" i="49"/>
  <c r="BM45" i="49"/>
  <c r="AF45" i="49"/>
  <c r="BO49" i="49" s="1"/>
  <c r="I45" i="49"/>
  <c r="G45" i="49"/>
  <c r="F45" i="49"/>
  <c r="E45" i="49"/>
  <c r="D45" i="49"/>
  <c r="BO44" i="49"/>
  <c r="BN44" i="49"/>
  <c r="BM44" i="49"/>
  <c r="AF44" i="49"/>
  <c r="BO43" i="49"/>
  <c r="BN43" i="49"/>
  <c r="BM43" i="49"/>
  <c r="AF43" i="49"/>
  <c r="BO42" i="49"/>
  <c r="BN42" i="49"/>
  <c r="BM42" i="49"/>
  <c r="AF42" i="49"/>
  <c r="BO41" i="49"/>
  <c r="BN41" i="49"/>
  <c r="BM41" i="49"/>
  <c r="AF41" i="49"/>
  <c r="X41" i="49"/>
  <c r="W41" i="49"/>
  <c r="V41" i="49"/>
  <c r="U41" i="49"/>
  <c r="T41" i="49"/>
  <c r="R41" i="49"/>
  <c r="G41" i="49"/>
  <c r="F41" i="49"/>
  <c r="E41" i="49"/>
  <c r="BO40" i="49"/>
  <c r="BN40" i="49"/>
  <c r="BM40" i="49"/>
  <c r="AF40" i="49"/>
  <c r="X40" i="49"/>
  <c r="W40" i="49"/>
  <c r="V40" i="49"/>
  <c r="U40" i="49"/>
  <c r="T40" i="49"/>
  <c r="R40" i="49"/>
  <c r="G40" i="49"/>
  <c r="F40" i="49"/>
  <c r="E40" i="49"/>
  <c r="BO39" i="49"/>
  <c r="BN39" i="49"/>
  <c r="BM39" i="49"/>
  <c r="AF39" i="49"/>
  <c r="X39" i="49"/>
  <c r="W39" i="49"/>
  <c r="V39" i="49"/>
  <c r="U39" i="49"/>
  <c r="T39" i="49"/>
  <c r="R39" i="49"/>
  <c r="G39" i="49"/>
  <c r="F39" i="49"/>
  <c r="E39" i="49"/>
  <c r="BO38" i="49"/>
  <c r="BN38" i="49"/>
  <c r="BM38" i="49"/>
  <c r="AF38" i="49"/>
  <c r="X38" i="49"/>
  <c r="W38" i="49"/>
  <c r="V38" i="49"/>
  <c r="U38" i="49"/>
  <c r="T38" i="49"/>
  <c r="R38" i="49"/>
  <c r="D38" i="49" s="1"/>
  <c r="G38" i="49"/>
  <c r="F38" i="49"/>
  <c r="E38" i="49"/>
  <c r="BO37" i="49"/>
  <c r="BN37" i="49"/>
  <c r="BM37" i="49"/>
  <c r="AF37" i="49"/>
  <c r="BO36" i="49"/>
  <c r="BN36" i="49"/>
  <c r="BM36" i="49"/>
  <c r="AF36" i="49"/>
  <c r="BO35" i="49"/>
  <c r="BN35" i="49"/>
  <c r="BM35" i="49"/>
  <c r="AF35" i="49"/>
  <c r="X35" i="49"/>
  <c r="W35" i="49"/>
  <c r="V35" i="49"/>
  <c r="U35" i="49"/>
  <c r="T35" i="49"/>
  <c r="R35" i="49"/>
  <c r="D35" i="49" s="1"/>
  <c r="G35" i="49"/>
  <c r="F35" i="49"/>
  <c r="E35" i="49"/>
  <c r="BO34" i="49"/>
  <c r="BN34" i="49"/>
  <c r="BM34" i="49"/>
  <c r="AF34" i="49"/>
  <c r="BM33" i="49"/>
  <c r="BK89" i="49" s="1"/>
  <c r="BL33" i="49"/>
  <c r="AF33" i="49"/>
  <c r="D33" i="49"/>
  <c r="BM32" i="49"/>
  <c r="BJ84" i="49" s="1"/>
  <c r="BL32" i="49"/>
  <c r="AF32" i="49"/>
  <c r="AF31" i="49"/>
  <c r="AD31" i="49"/>
  <c r="AC31" i="49"/>
  <c r="D31" i="49"/>
  <c r="BH30" i="49"/>
  <c r="BG30" i="49"/>
  <c r="BF30" i="49"/>
  <c r="BE30" i="49"/>
  <c r="BD30" i="49"/>
  <c r="BC30" i="49"/>
  <c r="BB30" i="49"/>
  <c r="BA30" i="49"/>
  <c r="AZ30" i="49"/>
  <c r="AY30" i="49"/>
  <c r="AX30" i="49"/>
  <c r="AW30" i="49"/>
  <c r="AV30" i="49"/>
  <c r="AU30" i="49"/>
  <c r="AT30" i="49"/>
  <c r="AS30" i="49"/>
  <c r="AR30" i="49"/>
  <c r="AQ30" i="49"/>
  <c r="AP30" i="49"/>
  <c r="AO30" i="49"/>
  <c r="AF30" i="49"/>
  <c r="AB30" i="49"/>
  <c r="X30" i="49"/>
  <c r="W30" i="49"/>
  <c r="V30" i="49"/>
  <c r="U30" i="49"/>
  <c r="Y30" i="49" s="1"/>
  <c r="T30" i="49"/>
  <c r="P30" i="49"/>
  <c r="O30" i="49"/>
  <c r="N30" i="49"/>
  <c r="M30" i="49"/>
  <c r="L30" i="49"/>
  <c r="K30" i="49"/>
  <c r="R30" i="49" s="1"/>
  <c r="I30" i="49"/>
  <c r="H30" i="49"/>
  <c r="BH29" i="49"/>
  <c r="BG29" i="49"/>
  <c r="BF29" i="49"/>
  <c r="BE29" i="49"/>
  <c r="BD29" i="49"/>
  <c r="BC29" i="49"/>
  <c r="BB29" i="49"/>
  <c r="BA29" i="49"/>
  <c r="AZ29" i="49"/>
  <c r="AY29" i="49"/>
  <c r="AX29" i="49"/>
  <c r="AW29" i="49"/>
  <c r="AV29" i="49"/>
  <c r="AU29" i="49"/>
  <c r="AT29" i="49"/>
  <c r="AS29" i="49"/>
  <c r="AR29" i="49"/>
  <c r="AQ29" i="49"/>
  <c r="AP29" i="49"/>
  <c r="AO29" i="49"/>
  <c r="AF29" i="49"/>
  <c r="AB29" i="49"/>
  <c r="X29" i="49"/>
  <c r="W29" i="49"/>
  <c r="V29" i="49"/>
  <c r="U29" i="49"/>
  <c r="Y29" i="49" s="1"/>
  <c r="T29" i="49"/>
  <c r="P29" i="49"/>
  <c r="O29" i="49"/>
  <c r="N29" i="49"/>
  <c r="M29" i="49"/>
  <c r="L29" i="49"/>
  <c r="K29" i="49"/>
  <c r="R29" i="49" s="1"/>
  <c r="I29" i="49"/>
  <c r="H29" i="49"/>
  <c r="BH28" i="49"/>
  <c r="BG28" i="49"/>
  <c r="BF28" i="49"/>
  <c r="BE28" i="49"/>
  <c r="BD28" i="49"/>
  <c r="BC28" i="49"/>
  <c r="BB28" i="49"/>
  <c r="BA28" i="49"/>
  <c r="AZ28" i="49"/>
  <c r="AY28" i="49"/>
  <c r="AX28" i="49"/>
  <c r="AW28" i="49"/>
  <c r="AV28" i="49"/>
  <c r="AU28" i="49"/>
  <c r="AT28" i="49"/>
  <c r="AS28" i="49"/>
  <c r="AR28" i="49"/>
  <c r="AQ28" i="49"/>
  <c r="AP28" i="49"/>
  <c r="AO28" i="49"/>
  <c r="AF28" i="49"/>
  <c r="AB28" i="49"/>
  <c r="X28" i="49"/>
  <c r="W28" i="49"/>
  <c r="V28" i="49"/>
  <c r="U28" i="49"/>
  <c r="Y28" i="49" s="1"/>
  <c r="T28" i="49"/>
  <c r="P28" i="49"/>
  <c r="O28" i="49"/>
  <c r="N28" i="49"/>
  <c r="M28" i="49"/>
  <c r="L28" i="49"/>
  <c r="K28" i="49"/>
  <c r="R28" i="49" s="1"/>
  <c r="I28" i="49"/>
  <c r="H28" i="49"/>
  <c r="BH27" i="49"/>
  <c r="BG27" i="49"/>
  <c r="BF27" i="49"/>
  <c r="BE27" i="49"/>
  <c r="BD27" i="49"/>
  <c r="BC27" i="49"/>
  <c r="BB27" i="49"/>
  <c r="BA27" i="49"/>
  <c r="AZ27" i="49"/>
  <c r="AY27" i="49"/>
  <c r="AX27" i="49"/>
  <c r="AW27" i="49"/>
  <c r="AV27" i="49"/>
  <c r="AU27" i="49"/>
  <c r="AT27" i="49"/>
  <c r="AS27" i="49"/>
  <c r="AR27" i="49"/>
  <c r="AQ27" i="49"/>
  <c r="AP27" i="49"/>
  <c r="AO27" i="49"/>
  <c r="AF27" i="49"/>
  <c r="AB27" i="49"/>
  <c r="X27" i="49"/>
  <c r="W27" i="49"/>
  <c r="V27" i="49"/>
  <c r="U27" i="49"/>
  <c r="Y27" i="49" s="1"/>
  <c r="T27" i="49"/>
  <c r="P27" i="49"/>
  <c r="O27" i="49"/>
  <c r="N27" i="49"/>
  <c r="M27" i="49"/>
  <c r="L27" i="49"/>
  <c r="K27" i="49"/>
  <c r="R27" i="49" s="1"/>
  <c r="I27" i="49"/>
  <c r="H27" i="49"/>
  <c r="AF26" i="49"/>
  <c r="K26" i="49"/>
  <c r="R26" i="49" s="1"/>
  <c r="I26" i="49"/>
  <c r="H26" i="49"/>
  <c r="BH25" i="49"/>
  <c r="BG25" i="49"/>
  <c r="BF25" i="49"/>
  <c r="BE25" i="49"/>
  <c r="BD25" i="49"/>
  <c r="BC25" i="49"/>
  <c r="BB25" i="49"/>
  <c r="BA25" i="49"/>
  <c r="AZ25" i="49"/>
  <c r="AY25" i="49"/>
  <c r="AX25" i="49"/>
  <c r="AW25" i="49"/>
  <c r="AV25" i="49"/>
  <c r="AU25" i="49"/>
  <c r="AT25" i="49"/>
  <c r="AS25" i="49"/>
  <c r="AR25" i="49"/>
  <c r="AQ25" i="49"/>
  <c r="AP25" i="49"/>
  <c r="AO25" i="49"/>
  <c r="AF25" i="49"/>
  <c r="AB25" i="49"/>
  <c r="X25" i="49"/>
  <c r="W25" i="49"/>
  <c r="V25" i="49"/>
  <c r="U25" i="49"/>
  <c r="Y25" i="49" s="1"/>
  <c r="T25" i="49"/>
  <c r="P25" i="49"/>
  <c r="O25" i="49"/>
  <c r="N25" i="49"/>
  <c r="M25" i="49"/>
  <c r="L25" i="49"/>
  <c r="K25" i="49"/>
  <c r="R25" i="49" s="1"/>
  <c r="I25" i="49"/>
  <c r="H25" i="49"/>
  <c r="BH24" i="49"/>
  <c r="BG24" i="49"/>
  <c r="BF24" i="49"/>
  <c r="BE24" i="49"/>
  <c r="BD24" i="49"/>
  <c r="BC24" i="49"/>
  <c r="BB24" i="49"/>
  <c r="BA24" i="49"/>
  <c r="AZ24" i="49"/>
  <c r="AY24" i="49"/>
  <c r="AX24" i="49"/>
  <c r="AW24" i="49"/>
  <c r="AV24" i="49"/>
  <c r="AU24" i="49"/>
  <c r="AT24" i="49"/>
  <c r="AS24" i="49"/>
  <c r="AR24" i="49"/>
  <c r="AQ24" i="49"/>
  <c r="AP24" i="49"/>
  <c r="AO24" i="49"/>
  <c r="AF24" i="49"/>
  <c r="AB24" i="49"/>
  <c r="X24" i="49"/>
  <c r="W24" i="49"/>
  <c r="V24" i="49"/>
  <c r="U24" i="49"/>
  <c r="T24" i="49"/>
  <c r="P24" i="49"/>
  <c r="O24" i="49"/>
  <c r="N24" i="49"/>
  <c r="M24" i="49"/>
  <c r="L24" i="49"/>
  <c r="K24" i="49"/>
  <c r="R24" i="49" s="1"/>
  <c r="I24" i="49"/>
  <c r="H24" i="49"/>
  <c r="AF23" i="49"/>
  <c r="AF22" i="49"/>
  <c r="AF21" i="49"/>
  <c r="AF20" i="49"/>
  <c r="D20" i="49"/>
  <c r="AF19" i="49"/>
  <c r="AF18" i="49"/>
  <c r="AF17" i="49"/>
  <c r="Y17" i="49"/>
  <c r="X17" i="49"/>
  <c r="W17" i="49"/>
  <c r="V17" i="49"/>
  <c r="U17" i="49"/>
  <c r="T17" i="49"/>
  <c r="R17" i="49"/>
  <c r="AF16" i="49"/>
  <c r="X16" i="49"/>
  <c r="W16" i="49"/>
  <c r="V16" i="49"/>
  <c r="U16" i="49"/>
  <c r="Y16" i="49" s="1"/>
  <c r="T16" i="49"/>
  <c r="AF15" i="49"/>
  <c r="AF14" i="49"/>
  <c r="X14" i="49"/>
  <c r="W14" i="49"/>
  <c r="V14" i="49"/>
  <c r="U14" i="49"/>
  <c r="Y14" i="49" s="1"/>
  <c r="T14" i="49"/>
  <c r="AF13" i="49"/>
  <c r="AF12" i="49"/>
  <c r="AF11" i="49"/>
  <c r="AF10" i="49"/>
  <c r="AF9" i="49"/>
  <c r="AF8" i="49"/>
  <c r="J8" i="49"/>
  <c r="H45" i="49" s="1"/>
  <c r="AF7" i="49"/>
  <c r="AF6" i="49"/>
  <c r="AF5" i="49"/>
  <c r="AF4" i="49"/>
  <c r="AF3" i="49"/>
  <c r="K39" i="48"/>
  <c r="J42" i="48"/>
  <c r="D183" i="48"/>
  <c r="D182" i="48"/>
  <c r="D181" i="48"/>
  <c r="D185" i="48" s="1"/>
  <c r="E183" i="48" s="1"/>
  <c r="F183" i="48" s="1"/>
  <c r="D168" i="48"/>
  <c r="E167" i="48"/>
  <c r="E166" i="48"/>
  <c r="E165" i="48"/>
  <c r="E164" i="48"/>
  <c r="E163" i="48"/>
  <c r="E162" i="48"/>
  <c r="E156" i="48"/>
  <c r="D156" i="48"/>
  <c r="C156" i="48"/>
  <c r="L149" i="48"/>
  <c r="K149" i="48"/>
  <c r="L148" i="48"/>
  <c r="K148" i="48"/>
  <c r="L147" i="48"/>
  <c r="K147" i="48"/>
  <c r="D143" i="48"/>
  <c r="D142" i="48"/>
  <c r="D141" i="48"/>
  <c r="C137" i="48"/>
  <c r="M134" i="48"/>
  <c r="H134" i="48"/>
  <c r="G134" i="48"/>
  <c r="F134" i="48"/>
  <c r="M133" i="48"/>
  <c r="H133" i="48"/>
  <c r="G133" i="48"/>
  <c r="F133" i="48"/>
  <c r="M132" i="48"/>
  <c r="H132" i="48"/>
  <c r="G132" i="48"/>
  <c r="F132" i="48"/>
  <c r="M131" i="48"/>
  <c r="H131" i="48"/>
  <c r="G131" i="48"/>
  <c r="F131" i="48"/>
  <c r="M130" i="48"/>
  <c r="H130" i="48"/>
  <c r="G130" i="48"/>
  <c r="F130" i="48"/>
  <c r="M129" i="48"/>
  <c r="H129" i="48"/>
  <c r="G129" i="48"/>
  <c r="F129" i="48"/>
  <c r="M128" i="48"/>
  <c r="H128" i="48"/>
  <c r="G128" i="48"/>
  <c r="F128" i="48"/>
  <c r="M127" i="48"/>
  <c r="H127" i="48"/>
  <c r="G127" i="48"/>
  <c r="F127" i="48"/>
  <c r="M126" i="48"/>
  <c r="H126" i="48"/>
  <c r="G126" i="48"/>
  <c r="F126" i="48"/>
  <c r="M125" i="48"/>
  <c r="H125" i="48"/>
  <c r="G125" i="48"/>
  <c r="F125" i="48"/>
  <c r="M124" i="48"/>
  <c r="H124" i="48"/>
  <c r="G124" i="48"/>
  <c r="F124" i="48"/>
  <c r="M123" i="48"/>
  <c r="H123" i="48"/>
  <c r="G123" i="48"/>
  <c r="F123" i="48"/>
  <c r="M122" i="48"/>
  <c r="H122" i="48"/>
  <c r="G122" i="48"/>
  <c r="F122" i="48"/>
  <c r="D118" i="48"/>
  <c r="BO90" i="48" s="1"/>
  <c r="E117" i="48"/>
  <c r="E116" i="48"/>
  <c r="E115" i="48"/>
  <c r="E114" i="48"/>
  <c r="E113" i="48"/>
  <c r="E112" i="48"/>
  <c r="E111" i="48"/>
  <c r="E110" i="48"/>
  <c r="E109" i="48"/>
  <c r="E106" i="48"/>
  <c r="D106" i="48"/>
  <c r="C106" i="48"/>
  <c r="T105" i="48"/>
  <c r="S105" i="48"/>
  <c r="R105" i="48"/>
  <c r="P105" i="48"/>
  <c r="T104" i="48"/>
  <c r="S104" i="48"/>
  <c r="R104" i="48"/>
  <c r="P104" i="48"/>
  <c r="T103" i="48"/>
  <c r="S103" i="48"/>
  <c r="R103" i="48"/>
  <c r="P103" i="48"/>
  <c r="T102" i="48"/>
  <c r="S102" i="48"/>
  <c r="R102" i="48"/>
  <c r="P102" i="48"/>
  <c r="T101" i="48"/>
  <c r="S101" i="48"/>
  <c r="R101" i="48"/>
  <c r="P101" i="48"/>
  <c r="T100" i="48"/>
  <c r="S100" i="48"/>
  <c r="R100" i="48"/>
  <c r="P100" i="48"/>
  <c r="T99" i="48"/>
  <c r="S99" i="48"/>
  <c r="R99" i="48"/>
  <c r="P99" i="48"/>
  <c r="T98" i="48"/>
  <c r="S98" i="48"/>
  <c r="R98" i="48"/>
  <c r="P98" i="48"/>
  <c r="T97" i="48"/>
  <c r="S97" i="48"/>
  <c r="R97" i="48"/>
  <c r="P97" i="48"/>
  <c r="P92" i="48"/>
  <c r="E92" i="48"/>
  <c r="S92" i="48" s="1"/>
  <c r="D92" i="48"/>
  <c r="R92" i="48" s="1"/>
  <c r="BN91" i="48"/>
  <c r="P91" i="48"/>
  <c r="E91" i="48"/>
  <c r="S91" i="48" s="1"/>
  <c r="D91" i="48"/>
  <c r="R91" i="48" s="1"/>
  <c r="BN90" i="48"/>
  <c r="P90" i="48"/>
  <c r="E90" i="48"/>
  <c r="S90" i="48" s="1"/>
  <c r="D90" i="48"/>
  <c r="R90" i="48" s="1"/>
  <c r="BN89" i="48"/>
  <c r="P89" i="48"/>
  <c r="E89" i="48"/>
  <c r="S89" i="48" s="1"/>
  <c r="D89" i="48"/>
  <c r="R89" i="48" s="1"/>
  <c r="BN88" i="48"/>
  <c r="P88" i="48"/>
  <c r="E88" i="48"/>
  <c r="S88" i="48" s="1"/>
  <c r="D88" i="48"/>
  <c r="R88" i="48" s="1"/>
  <c r="BN87" i="48"/>
  <c r="P87" i="48"/>
  <c r="E87" i="48"/>
  <c r="S87" i="48" s="1"/>
  <c r="D87" i="48"/>
  <c r="R87" i="48" s="1"/>
  <c r="BN86" i="48"/>
  <c r="P86" i="48"/>
  <c r="E86" i="48"/>
  <c r="S86" i="48" s="1"/>
  <c r="D86" i="48"/>
  <c r="R86" i="48" s="1"/>
  <c r="BN85" i="48"/>
  <c r="P85" i="48"/>
  <c r="E85" i="48"/>
  <c r="S85" i="48" s="1"/>
  <c r="D85" i="48"/>
  <c r="R85" i="48" s="1"/>
  <c r="BN84" i="48"/>
  <c r="BL84" i="48"/>
  <c r="BM84" i="48" s="1"/>
  <c r="P84" i="48"/>
  <c r="BN83" i="48"/>
  <c r="BL83" i="48"/>
  <c r="BM83" i="48" s="1"/>
  <c r="BK83" i="48"/>
  <c r="BO82" i="48"/>
  <c r="BN82" i="48"/>
  <c r="BO81" i="48"/>
  <c r="BN81" i="48"/>
  <c r="L81" i="48"/>
  <c r="K81" i="48"/>
  <c r="BO80" i="48"/>
  <c r="BN80" i="48"/>
  <c r="BM80" i="48"/>
  <c r="L80" i="48"/>
  <c r="K80" i="48"/>
  <c r="BO79" i="48"/>
  <c r="BN79" i="48"/>
  <c r="BM79" i="48"/>
  <c r="L79" i="48"/>
  <c r="K79" i="48"/>
  <c r="BO78" i="48"/>
  <c r="BN78" i="48"/>
  <c r="BM78" i="48"/>
  <c r="L78" i="48"/>
  <c r="K78" i="48"/>
  <c r="BO77" i="48"/>
  <c r="BN77" i="48"/>
  <c r="BM77" i="48"/>
  <c r="L77" i="48"/>
  <c r="K77" i="48"/>
  <c r="BM76" i="48"/>
  <c r="L76" i="48"/>
  <c r="K76" i="48"/>
  <c r="BO75" i="48"/>
  <c r="BN75" i="48"/>
  <c r="BM75" i="48"/>
  <c r="L75" i="48"/>
  <c r="K75" i="48"/>
  <c r="BO74" i="48"/>
  <c r="BN74" i="48"/>
  <c r="BM74" i="48"/>
  <c r="L74" i="48"/>
  <c r="K74" i="48"/>
  <c r="BO73" i="48"/>
  <c r="BN73" i="48"/>
  <c r="BM73" i="48"/>
  <c r="L73" i="48"/>
  <c r="K73" i="48"/>
  <c r="BO72" i="48"/>
  <c r="BN72" i="48"/>
  <c r="BM72" i="48"/>
  <c r="BO71" i="48"/>
  <c r="BN71" i="48"/>
  <c r="BM71" i="48"/>
  <c r="L71" i="48"/>
  <c r="BM70" i="48"/>
  <c r="L70" i="48"/>
  <c r="BO69" i="48"/>
  <c r="BN69" i="48"/>
  <c r="BM69" i="48"/>
  <c r="L69" i="48"/>
  <c r="K69" i="48"/>
  <c r="BO68" i="48"/>
  <c r="BN68" i="48"/>
  <c r="BM68" i="48"/>
  <c r="BK68" i="48"/>
  <c r="L68" i="48"/>
  <c r="BO67" i="48"/>
  <c r="BN67" i="48"/>
  <c r="BM67" i="48"/>
  <c r="BO66" i="48"/>
  <c r="BN66" i="48"/>
  <c r="BM66" i="48"/>
  <c r="BO65" i="48"/>
  <c r="BN65" i="48"/>
  <c r="BM65" i="48"/>
  <c r="D65" i="48"/>
  <c r="C65" i="48"/>
  <c r="B65" i="48"/>
  <c r="BL64" i="48"/>
  <c r="BN63" i="48"/>
  <c r="BM63" i="48"/>
  <c r="BL63" i="48"/>
  <c r="BN62" i="48"/>
  <c r="BM62" i="48"/>
  <c r="BL62" i="48"/>
  <c r="BO61" i="48"/>
  <c r="BN61" i="48"/>
  <c r="BM61" i="48"/>
  <c r="BO60" i="48"/>
  <c r="BN60" i="48"/>
  <c r="BM60" i="48"/>
  <c r="BO59" i="48"/>
  <c r="BN59" i="48"/>
  <c r="BM59" i="48"/>
  <c r="BO58" i="48"/>
  <c r="BN58" i="48"/>
  <c r="BM58" i="48"/>
  <c r="BO57" i="48"/>
  <c r="BN57" i="48"/>
  <c r="BM57" i="48"/>
  <c r="BO56" i="48"/>
  <c r="BN56" i="48"/>
  <c r="BM56" i="48"/>
  <c r="BO55" i="48"/>
  <c r="BN55" i="48"/>
  <c r="BM55" i="48"/>
  <c r="BM54" i="48"/>
  <c r="BK54" i="48"/>
  <c r="BO53" i="48"/>
  <c r="BN53" i="48"/>
  <c r="BM53" i="48"/>
  <c r="BO52" i="48"/>
  <c r="BN52" i="48"/>
  <c r="BM52" i="48"/>
  <c r="BO51" i="48"/>
  <c r="BN51" i="48"/>
  <c r="BM51" i="48"/>
  <c r="AF51" i="48"/>
  <c r="BO50" i="48"/>
  <c r="BN50" i="48"/>
  <c r="BM50" i="48"/>
  <c r="AF50" i="48"/>
  <c r="BO76" i="48" s="1"/>
  <c r="BM49" i="48"/>
  <c r="AF49" i="48"/>
  <c r="BO70" i="48" s="1"/>
  <c r="I49" i="48"/>
  <c r="G49" i="48"/>
  <c r="F49" i="48"/>
  <c r="E49" i="48"/>
  <c r="BO48" i="48"/>
  <c r="BN48" i="48"/>
  <c r="BM48" i="48"/>
  <c r="AF48" i="48"/>
  <c r="BN64" i="48" s="1"/>
  <c r="I48" i="48"/>
  <c r="G48" i="48"/>
  <c r="F48" i="48"/>
  <c r="E48" i="48"/>
  <c r="BO47" i="48"/>
  <c r="BN47" i="48"/>
  <c r="BM47" i="48"/>
  <c r="AF47" i="48"/>
  <c r="I47" i="48"/>
  <c r="G47" i="48"/>
  <c r="F47" i="48"/>
  <c r="E47" i="48"/>
  <c r="BO46" i="48"/>
  <c r="BN46" i="48"/>
  <c r="BM46" i="48"/>
  <c r="AF46" i="48"/>
  <c r="BO54" i="48" s="1"/>
  <c r="I46" i="48"/>
  <c r="G46" i="48"/>
  <c r="F46" i="48"/>
  <c r="E46" i="48"/>
  <c r="BO45" i="48"/>
  <c r="BN45" i="48"/>
  <c r="BM45" i="48"/>
  <c r="AF45" i="48"/>
  <c r="BO49" i="48" s="1"/>
  <c r="I45" i="48"/>
  <c r="G45" i="48"/>
  <c r="F45" i="48"/>
  <c r="E45" i="48"/>
  <c r="D45" i="48"/>
  <c r="BO44" i="48"/>
  <c r="BN44" i="48"/>
  <c r="BM44" i="48"/>
  <c r="AF44" i="48"/>
  <c r="BO43" i="48"/>
  <c r="BN43" i="48"/>
  <c r="BM43" i="48"/>
  <c r="AF43" i="48"/>
  <c r="BO42" i="48"/>
  <c r="BN42" i="48"/>
  <c r="BM42" i="48"/>
  <c r="AF42" i="48"/>
  <c r="BO41" i="48"/>
  <c r="BN41" i="48"/>
  <c r="BM41" i="48"/>
  <c r="AF41" i="48"/>
  <c r="X41" i="48"/>
  <c r="W41" i="48"/>
  <c r="V41" i="48"/>
  <c r="U41" i="48"/>
  <c r="T41" i="48"/>
  <c r="R41" i="48"/>
  <c r="G41" i="48"/>
  <c r="F41" i="48"/>
  <c r="E41" i="48"/>
  <c r="BO40" i="48"/>
  <c r="BN40" i="48"/>
  <c r="BM40" i="48"/>
  <c r="AF40" i="48"/>
  <c r="X40" i="48"/>
  <c r="W40" i="48"/>
  <c r="V40" i="48"/>
  <c r="U40" i="48"/>
  <c r="T40" i="48"/>
  <c r="R40" i="48"/>
  <c r="G40" i="48"/>
  <c r="F40" i="48"/>
  <c r="E40" i="48"/>
  <c r="BO39" i="48"/>
  <c r="BN39" i="48"/>
  <c r="BM39" i="48"/>
  <c r="AF39" i="48"/>
  <c r="X39" i="48"/>
  <c r="W39" i="48"/>
  <c r="V39" i="48"/>
  <c r="U39" i="48"/>
  <c r="T39" i="48"/>
  <c r="R39" i="48"/>
  <c r="G39" i="48"/>
  <c r="F39" i="48"/>
  <c r="E39" i="48"/>
  <c r="BO38" i="48"/>
  <c r="BN38" i="48"/>
  <c r="BM38" i="48"/>
  <c r="AF38" i="48"/>
  <c r="X38" i="48"/>
  <c r="W38" i="48"/>
  <c r="V38" i="48"/>
  <c r="U38" i="48"/>
  <c r="T38" i="48"/>
  <c r="R38" i="48"/>
  <c r="D38" i="48" s="1"/>
  <c r="G38" i="48"/>
  <c r="F38" i="48"/>
  <c r="E38" i="48"/>
  <c r="BO37" i="48"/>
  <c r="BN37" i="48"/>
  <c r="BM37" i="48"/>
  <c r="AF37" i="48"/>
  <c r="BO36" i="48"/>
  <c r="BN36" i="48"/>
  <c r="BM36" i="48"/>
  <c r="AF36" i="48"/>
  <c r="BO35" i="48"/>
  <c r="BN35" i="48"/>
  <c r="BM35" i="48"/>
  <c r="AF35" i="48"/>
  <c r="X35" i="48"/>
  <c r="W35" i="48"/>
  <c r="V35" i="48"/>
  <c r="U35" i="48"/>
  <c r="T35" i="48"/>
  <c r="R35" i="48"/>
  <c r="D35" i="48" s="1"/>
  <c r="G35" i="48"/>
  <c r="F35" i="48"/>
  <c r="E35" i="48"/>
  <c r="BO34" i="48"/>
  <c r="BN34" i="48"/>
  <c r="BM34" i="48"/>
  <c r="AF34" i="48"/>
  <c r="BN76" i="48" s="1"/>
  <c r="BM33" i="48"/>
  <c r="BK89" i="48" s="1"/>
  <c r="BL33" i="48"/>
  <c r="AF33" i="48"/>
  <c r="D33" i="48"/>
  <c r="BM32" i="48"/>
  <c r="BJ84" i="48" s="1"/>
  <c r="BL32" i="48"/>
  <c r="AF32" i="48"/>
  <c r="AF31" i="48"/>
  <c r="AD31" i="48"/>
  <c r="AC31" i="48"/>
  <c r="D31" i="48"/>
  <c r="BH30" i="48"/>
  <c r="BG30" i="48"/>
  <c r="BF30" i="48"/>
  <c r="BE30" i="48"/>
  <c r="BD30" i="48"/>
  <c r="BC30" i="48"/>
  <c r="BB30" i="48"/>
  <c r="BA30" i="48"/>
  <c r="AZ30" i="48"/>
  <c r="AY30" i="48"/>
  <c r="AX30" i="48"/>
  <c r="AW30" i="48"/>
  <c r="AV30" i="48"/>
  <c r="AU30" i="48"/>
  <c r="AT30" i="48"/>
  <c r="AS30" i="48"/>
  <c r="AR30" i="48"/>
  <c r="AQ30" i="48"/>
  <c r="AP30" i="48"/>
  <c r="AO30" i="48"/>
  <c r="AF30" i="48"/>
  <c r="AB30" i="48"/>
  <c r="X30" i="48"/>
  <c r="W30" i="48"/>
  <c r="V30" i="48"/>
  <c r="U30" i="48"/>
  <c r="Y30" i="48" s="1"/>
  <c r="T30" i="48"/>
  <c r="P30" i="48"/>
  <c r="O30" i="48"/>
  <c r="N30" i="48"/>
  <c r="M30" i="48"/>
  <c r="L30" i="48"/>
  <c r="K30" i="48"/>
  <c r="R30" i="48" s="1"/>
  <c r="I30" i="48"/>
  <c r="H30" i="48"/>
  <c r="BH29" i="48"/>
  <c r="BG29" i="48"/>
  <c r="BF29" i="48"/>
  <c r="BE29" i="48"/>
  <c r="BD29" i="48"/>
  <c r="BC29" i="48"/>
  <c r="BB29" i="48"/>
  <c r="BA29" i="48"/>
  <c r="AZ29" i="48"/>
  <c r="AY29" i="48"/>
  <c r="AX29" i="48"/>
  <c r="AW29" i="48"/>
  <c r="AV29" i="48"/>
  <c r="AU29" i="48"/>
  <c r="AT29" i="48"/>
  <c r="AS29" i="48"/>
  <c r="AR29" i="48"/>
  <c r="AQ29" i="48"/>
  <c r="AP29" i="48"/>
  <c r="AO29" i="48"/>
  <c r="AF29" i="48"/>
  <c r="AB29" i="48"/>
  <c r="X29" i="48"/>
  <c r="W29" i="48"/>
  <c r="V29" i="48"/>
  <c r="U29" i="48"/>
  <c r="Y29" i="48" s="1"/>
  <c r="T29" i="48"/>
  <c r="P29" i="48"/>
  <c r="O29" i="48"/>
  <c r="N29" i="48"/>
  <c r="M29" i="48"/>
  <c r="L29" i="48"/>
  <c r="K29" i="48"/>
  <c r="R29" i="48" s="1"/>
  <c r="I29" i="48"/>
  <c r="H29" i="48"/>
  <c r="BH28" i="48"/>
  <c r="BG28" i="48"/>
  <c r="BF28" i="48"/>
  <c r="BE28" i="48"/>
  <c r="BD28" i="48"/>
  <c r="BC28" i="48"/>
  <c r="BB28" i="48"/>
  <c r="BA28" i="48"/>
  <c r="AZ28" i="48"/>
  <c r="AY28" i="48"/>
  <c r="AX28" i="48"/>
  <c r="AW28" i="48"/>
  <c r="AV28" i="48"/>
  <c r="AU28" i="48"/>
  <c r="AT28" i="48"/>
  <c r="AS28" i="48"/>
  <c r="AR28" i="48"/>
  <c r="AQ28" i="48"/>
  <c r="AP28" i="48"/>
  <c r="AO28" i="48"/>
  <c r="AF28" i="48"/>
  <c r="AB28" i="48"/>
  <c r="X28" i="48"/>
  <c r="W28" i="48"/>
  <c r="V28" i="48"/>
  <c r="U28" i="48"/>
  <c r="Y28" i="48" s="1"/>
  <c r="T28" i="48"/>
  <c r="P28" i="48"/>
  <c r="O28" i="48"/>
  <c r="N28" i="48"/>
  <c r="M28" i="48"/>
  <c r="L28" i="48"/>
  <c r="K28" i="48"/>
  <c r="R28" i="48" s="1"/>
  <c r="I28" i="48"/>
  <c r="H28" i="48"/>
  <c r="BG27" i="48"/>
  <c r="BC27" i="48"/>
  <c r="BB27" i="48"/>
  <c r="AZ27" i="48"/>
  <c r="AY27" i="48"/>
  <c r="AQ27" i="48"/>
  <c r="AF27" i="48"/>
  <c r="AB27" i="48"/>
  <c r="P27" i="48"/>
  <c r="X27" i="48" s="1"/>
  <c r="O27" i="48"/>
  <c r="W27" i="48" s="1"/>
  <c r="N27" i="48"/>
  <c r="V27" i="48" s="1"/>
  <c r="M27" i="48"/>
  <c r="U27" i="48" s="1"/>
  <c r="Y27" i="48" s="1"/>
  <c r="L27" i="48"/>
  <c r="T27" i="48" s="1"/>
  <c r="K27" i="48"/>
  <c r="R27" i="48" s="1"/>
  <c r="I27" i="48"/>
  <c r="BA27" i="48" s="1"/>
  <c r="H27" i="48"/>
  <c r="BD26" i="48"/>
  <c r="AF26" i="48"/>
  <c r="P26" i="48"/>
  <c r="X26" i="48" s="1"/>
  <c r="O26" i="48"/>
  <c r="W26" i="48" s="1"/>
  <c r="N26" i="48"/>
  <c r="V26" i="48" s="1"/>
  <c r="M26" i="48"/>
  <c r="U26" i="48" s="1"/>
  <c r="Y26" i="48" s="1"/>
  <c r="L26" i="48"/>
  <c r="T26" i="48" s="1"/>
  <c r="K26" i="48"/>
  <c r="R26" i="48" s="1"/>
  <c r="I26" i="48"/>
  <c r="BF26" i="48" s="1"/>
  <c r="H26" i="48"/>
  <c r="BH25" i="48"/>
  <c r="BG25" i="48"/>
  <c r="BF25" i="48"/>
  <c r="BE25" i="48"/>
  <c r="BD25" i="48"/>
  <c r="BC25" i="48"/>
  <c r="BB25" i="48"/>
  <c r="BA25" i="48"/>
  <c r="AZ25" i="48"/>
  <c r="AY25" i="48"/>
  <c r="AX25" i="48"/>
  <c r="AW25" i="48"/>
  <c r="AV25" i="48"/>
  <c r="AU25" i="48"/>
  <c r="AT25" i="48"/>
  <c r="AS25" i="48"/>
  <c r="AR25" i="48"/>
  <c r="AQ25" i="48"/>
  <c r="AP25" i="48"/>
  <c r="AO25" i="48"/>
  <c r="AF25" i="48"/>
  <c r="AB25" i="48"/>
  <c r="X25" i="48"/>
  <c r="W25" i="48"/>
  <c r="V25" i="48"/>
  <c r="U25" i="48"/>
  <c r="Y25" i="48" s="1"/>
  <c r="T25" i="48"/>
  <c r="P25" i="48"/>
  <c r="O25" i="48"/>
  <c r="N25" i="48"/>
  <c r="M25" i="48"/>
  <c r="L25" i="48"/>
  <c r="K25" i="48"/>
  <c r="R25" i="48" s="1"/>
  <c r="I25" i="48"/>
  <c r="H25" i="48"/>
  <c r="BH24" i="48"/>
  <c r="BG24" i="48"/>
  <c r="BF24" i="48"/>
  <c r="BE24" i="48"/>
  <c r="BD24" i="48"/>
  <c r="BC24" i="48"/>
  <c r="BB24" i="48"/>
  <c r="BA24" i="48"/>
  <c r="AZ24" i="48"/>
  <c r="AY24" i="48"/>
  <c r="AX24" i="48"/>
  <c r="AW24" i="48"/>
  <c r="AV24" i="48"/>
  <c r="AU24" i="48"/>
  <c r="AT24" i="48"/>
  <c r="AS24" i="48"/>
  <c r="AR24" i="48"/>
  <c r="AQ24" i="48"/>
  <c r="AP24" i="48"/>
  <c r="AO24" i="48"/>
  <c r="AF24" i="48"/>
  <c r="AB24" i="48"/>
  <c r="X24" i="48"/>
  <c r="W24" i="48"/>
  <c r="V24" i="48"/>
  <c r="U24" i="48"/>
  <c r="T24" i="48"/>
  <c r="P24" i="48"/>
  <c r="O24" i="48"/>
  <c r="N24" i="48"/>
  <c r="M24" i="48"/>
  <c r="L24" i="48"/>
  <c r="K24" i="48"/>
  <c r="R24" i="48" s="1"/>
  <c r="I24" i="48"/>
  <c r="H24" i="48"/>
  <c r="AF23" i="48"/>
  <c r="AF22" i="48"/>
  <c r="AF21" i="48"/>
  <c r="AF20" i="48"/>
  <c r="D20" i="48"/>
  <c r="AF19" i="48"/>
  <c r="AF18" i="48"/>
  <c r="AF17" i="48"/>
  <c r="Y17" i="48"/>
  <c r="X17" i="48"/>
  <c r="W17" i="48"/>
  <c r="V17" i="48"/>
  <c r="U17" i="48"/>
  <c r="T17" i="48"/>
  <c r="R17" i="48"/>
  <c r="AF16" i="48"/>
  <c r="X16" i="48"/>
  <c r="W16" i="48"/>
  <c r="V16" i="48"/>
  <c r="U16" i="48"/>
  <c r="Y16" i="48" s="1"/>
  <c r="T16" i="48"/>
  <c r="AF15" i="48"/>
  <c r="AF14" i="48"/>
  <c r="X14" i="48"/>
  <c r="W14" i="48"/>
  <c r="V14" i="48"/>
  <c r="U14" i="48"/>
  <c r="Y14" i="48" s="1"/>
  <c r="T14" i="48"/>
  <c r="AF13" i="48"/>
  <c r="AF12" i="48"/>
  <c r="AF11" i="48"/>
  <c r="AF10" i="48"/>
  <c r="AF9" i="48"/>
  <c r="AF8" i="48"/>
  <c r="J8" i="48"/>
  <c r="H45" i="48" s="1"/>
  <c r="AF7" i="48"/>
  <c r="AF6" i="48"/>
  <c r="AF5" i="48"/>
  <c r="AF4" i="48"/>
  <c r="AF3" i="48"/>
  <c r="AI17" i="26"/>
  <c r="AJ17" i="26"/>
  <c r="AK17" i="26"/>
  <c r="AL17" i="26"/>
  <c r="AM17" i="26"/>
  <c r="AI18" i="26"/>
  <c r="AJ18" i="26"/>
  <c r="AK18" i="26"/>
  <c r="AL18" i="26"/>
  <c r="AM18" i="26"/>
  <c r="AI19" i="26"/>
  <c r="AJ19" i="26"/>
  <c r="AK19" i="26"/>
  <c r="AL19" i="26"/>
  <c r="AM19" i="26"/>
  <c r="AI20" i="26"/>
  <c r="AJ20" i="26"/>
  <c r="AK20" i="26"/>
  <c r="AL20" i="26"/>
  <c r="AM20" i="26"/>
  <c r="AI21" i="26"/>
  <c r="AJ21" i="26"/>
  <c r="AK21" i="26"/>
  <c r="AL21" i="26"/>
  <c r="AM21" i="26"/>
  <c r="AI22" i="26"/>
  <c r="AJ22" i="26"/>
  <c r="AK22" i="26"/>
  <c r="AL22" i="26"/>
  <c r="AM22" i="26"/>
  <c r="AI23" i="26"/>
  <c r="AJ23" i="26"/>
  <c r="AK23" i="26"/>
  <c r="AL23" i="26"/>
  <c r="AM23" i="26"/>
  <c r="AI24" i="26"/>
  <c r="AJ24" i="26"/>
  <c r="AK24" i="26"/>
  <c r="AL24" i="26"/>
  <c r="AM24" i="26"/>
  <c r="AI25" i="26"/>
  <c r="AJ25" i="26"/>
  <c r="AK25" i="26"/>
  <c r="AL25" i="26"/>
  <c r="AM25" i="26"/>
  <c r="AI26" i="26"/>
  <c r="AJ26" i="26"/>
  <c r="AK26" i="26"/>
  <c r="AL26" i="26"/>
  <c r="AM26" i="26"/>
  <c r="AI27" i="26"/>
  <c r="AJ27" i="26"/>
  <c r="AK27" i="26"/>
  <c r="AL27" i="26"/>
  <c r="AM27" i="26"/>
  <c r="AI28" i="26"/>
  <c r="AJ28" i="26"/>
  <c r="AK28" i="26"/>
  <c r="AL28" i="26"/>
  <c r="AM28" i="26"/>
  <c r="AI29" i="26"/>
  <c r="AJ29" i="26"/>
  <c r="AK29" i="26"/>
  <c r="AL29" i="26"/>
  <c r="AM29" i="26"/>
  <c r="AI30" i="26"/>
  <c r="AJ30" i="26"/>
  <c r="AK30" i="26"/>
  <c r="AL30" i="26"/>
  <c r="AM30" i="26"/>
  <c r="AI31" i="26"/>
  <c r="AJ31" i="26"/>
  <c r="AK31" i="26"/>
  <c r="AL31" i="26"/>
  <c r="AM31" i="26"/>
  <c r="AI32" i="26"/>
  <c r="AJ32" i="26"/>
  <c r="AK32" i="26"/>
  <c r="AL32" i="26"/>
  <c r="AM32" i="26"/>
  <c r="AI33" i="26"/>
  <c r="AJ33" i="26"/>
  <c r="AK33" i="26"/>
  <c r="AL33" i="26"/>
  <c r="AM33" i="26"/>
  <c r="AI34" i="26"/>
  <c r="AJ34" i="26"/>
  <c r="AK34" i="26"/>
  <c r="AL34" i="26"/>
  <c r="AM34" i="26"/>
  <c r="AI35" i="26"/>
  <c r="AJ35" i="26"/>
  <c r="AK35" i="26"/>
  <c r="AL35" i="26"/>
  <c r="AM35" i="26"/>
  <c r="AI36" i="26"/>
  <c r="AJ36" i="26"/>
  <c r="AK36" i="26"/>
  <c r="AL36" i="26"/>
  <c r="AM36" i="26"/>
  <c r="AI37" i="26"/>
  <c r="AJ37" i="26"/>
  <c r="AK37" i="26"/>
  <c r="AL37" i="26"/>
  <c r="AM37" i="26"/>
  <c r="AI38" i="26"/>
  <c r="AJ38" i="26"/>
  <c r="AK38" i="26"/>
  <c r="AL38" i="26"/>
  <c r="AM38" i="26"/>
  <c r="AI39" i="26"/>
  <c r="AJ39" i="26"/>
  <c r="AK39" i="26"/>
  <c r="AL39" i="26"/>
  <c r="AM39" i="26"/>
  <c r="AI40" i="26"/>
  <c r="AJ40" i="26"/>
  <c r="AK40" i="26"/>
  <c r="AL40" i="26"/>
  <c r="AM40" i="26"/>
  <c r="AI41" i="26"/>
  <c r="AJ41" i="26"/>
  <c r="AK41" i="26"/>
  <c r="AL41" i="26"/>
  <c r="AM41" i="26"/>
  <c r="AI42" i="26"/>
  <c r="AJ42" i="26"/>
  <c r="AK42" i="26"/>
  <c r="AL42" i="26"/>
  <c r="AM42" i="26"/>
  <c r="AI43" i="26"/>
  <c r="AJ43" i="26"/>
  <c r="AK43" i="26"/>
  <c r="AL43" i="26"/>
  <c r="AM43" i="26"/>
  <c r="AI44" i="26"/>
  <c r="AJ44" i="26"/>
  <c r="AK44" i="26"/>
  <c r="AL44" i="26"/>
  <c r="AM44" i="26"/>
  <c r="AI45" i="26"/>
  <c r="AJ45" i="26"/>
  <c r="AK45" i="26"/>
  <c r="AL45" i="26"/>
  <c r="AM45" i="26"/>
  <c r="AI46" i="26"/>
  <c r="AJ46" i="26"/>
  <c r="AK46" i="26"/>
  <c r="AL46" i="26"/>
  <c r="AM46" i="26"/>
  <c r="AI47" i="26"/>
  <c r="AJ47" i="26"/>
  <c r="AK47" i="26"/>
  <c r="AL47" i="26"/>
  <c r="AM47" i="26"/>
  <c r="AI48" i="26"/>
  <c r="AJ48" i="26"/>
  <c r="AK48" i="26"/>
  <c r="AL48" i="26"/>
  <c r="AM48" i="26"/>
  <c r="AI49" i="26"/>
  <c r="AJ49" i="26"/>
  <c r="AK49" i="26"/>
  <c r="AL49" i="26"/>
  <c r="AM49" i="26"/>
  <c r="AI50" i="26"/>
  <c r="AJ50" i="26"/>
  <c r="AK50" i="26"/>
  <c r="AL50" i="26"/>
  <c r="AM50" i="26"/>
  <c r="AI51" i="26"/>
  <c r="AJ51" i="26"/>
  <c r="AK51" i="26"/>
  <c r="AL51" i="26"/>
  <c r="AM51" i="26"/>
  <c r="AI52" i="26"/>
  <c r="AJ52" i="26"/>
  <c r="AK52" i="26"/>
  <c r="AL52" i="26"/>
  <c r="AM52" i="26"/>
  <c r="AI53" i="26"/>
  <c r="AJ53" i="26"/>
  <c r="AK53" i="26"/>
  <c r="AL53" i="26"/>
  <c r="AM53" i="26"/>
  <c r="AI54" i="26"/>
  <c r="AJ54" i="26"/>
  <c r="AK54" i="26"/>
  <c r="AL54" i="26"/>
  <c r="AM54" i="26"/>
  <c r="AH17" i="26"/>
  <c r="AH18" i="26"/>
  <c r="AH19" i="26"/>
  <c r="AH20" i="26"/>
  <c r="AH21" i="26"/>
  <c r="AH22" i="26"/>
  <c r="AH23" i="26"/>
  <c r="AH24" i="26"/>
  <c r="AH25" i="26"/>
  <c r="AH26" i="26"/>
  <c r="AH27" i="26"/>
  <c r="AH28" i="26"/>
  <c r="AH29" i="26"/>
  <c r="AH30" i="26"/>
  <c r="AH31" i="26"/>
  <c r="AH32" i="26"/>
  <c r="AH33" i="26"/>
  <c r="AH34" i="26"/>
  <c r="AH35" i="26"/>
  <c r="AH36" i="26"/>
  <c r="AH37" i="26"/>
  <c r="AH38" i="26"/>
  <c r="AH39" i="26"/>
  <c r="AH40" i="26"/>
  <c r="AH41" i="26"/>
  <c r="AH42" i="26"/>
  <c r="AH43" i="26"/>
  <c r="AH44" i="26"/>
  <c r="AH45" i="26"/>
  <c r="AH46" i="26"/>
  <c r="AH47" i="26"/>
  <c r="AH48" i="26"/>
  <c r="AH49" i="26"/>
  <c r="AH50" i="26"/>
  <c r="AH51" i="26"/>
  <c r="AH52" i="26"/>
  <c r="AH53" i="26"/>
  <c r="AH54" i="26"/>
  <c r="AO26" i="49" l="1"/>
  <c r="AO31" i="49" s="1"/>
  <c r="AP26" i="49"/>
  <c r="AP31" i="49" s="1"/>
  <c r="S106" i="49"/>
  <c r="BO88" i="49" s="1"/>
  <c r="R106" i="49"/>
  <c r="BO87" i="49" s="1"/>
  <c r="G177" i="49"/>
  <c r="T106" i="49"/>
  <c r="BO89" i="49" s="1"/>
  <c r="E118" i="49"/>
  <c r="BO91" i="49" s="1"/>
  <c r="D185" i="49"/>
  <c r="BJ71" i="49"/>
  <c r="BJ74" i="49"/>
  <c r="BJ51" i="49"/>
  <c r="BK68" i="49"/>
  <c r="BK71" i="49"/>
  <c r="BK74" i="49"/>
  <c r="N45" i="49"/>
  <c r="M45" i="49"/>
  <c r="L45" i="49"/>
  <c r="K45" i="49"/>
  <c r="O45" i="49" s="1"/>
  <c r="R31" i="49"/>
  <c r="E182" i="49"/>
  <c r="F182" i="49" s="1"/>
  <c r="E183" i="49"/>
  <c r="BJ61" i="49"/>
  <c r="Y24" i="49"/>
  <c r="BJ49" i="49"/>
  <c r="BJ58" i="49"/>
  <c r="BK61" i="49"/>
  <c r="BJ86" i="49"/>
  <c r="BJ43" i="49"/>
  <c r="BK49" i="49"/>
  <c r="BJ55" i="49"/>
  <c r="BK58" i="49"/>
  <c r="BJ67" i="49"/>
  <c r="BJ83" i="49"/>
  <c r="BK86" i="49"/>
  <c r="BK43" i="49"/>
  <c r="BJ46" i="49"/>
  <c r="BJ52" i="49"/>
  <c r="BK55" i="49"/>
  <c r="BK67" i="49"/>
  <c r="BJ70" i="49"/>
  <c r="BJ80" i="49"/>
  <c r="BK83" i="49"/>
  <c r="BJ88" i="49"/>
  <c r="E181" i="49"/>
  <c r="BK52" i="49"/>
  <c r="BK70" i="49"/>
  <c r="BJ73" i="49"/>
  <c r="BK80" i="49"/>
  <c r="BK88" i="49"/>
  <c r="BJ41" i="49"/>
  <c r="BK46" i="49"/>
  <c r="BJ40" i="49"/>
  <c r="BK41" i="49"/>
  <c r="BI62" i="49"/>
  <c r="BK73" i="49"/>
  <c r="BJ76" i="49"/>
  <c r="BJ78" i="49"/>
  <c r="BJ90" i="49"/>
  <c r="D32" i="49"/>
  <c r="C136" i="49" s="1"/>
  <c r="D140" i="49" s="1"/>
  <c r="BJ34" i="49"/>
  <c r="BJ35" i="49"/>
  <c r="BJ36" i="49"/>
  <c r="BJ37" i="49"/>
  <c r="BJ38" i="49"/>
  <c r="BJ39" i="49"/>
  <c r="BK40" i="49"/>
  <c r="BJ59" i="49"/>
  <c r="BJ62" i="49"/>
  <c r="BK76" i="49"/>
  <c r="BK78" i="49"/>
  <c r="BK90" i="49"/>
  <c r="BJ50" i="49"/>
  <c r="BK59" i="49"/>
  <c r="BK36" i="49"/>
  <c r="BK38" i="49"/>
  <c r="BJ65" i="49"/>
  <c r="BJ44" i="49"/>
  <c r="BK48" i="49"/>
  <c r="BK50" i="49"/>
  <c r="BJ53" i="49"/>
  <c r="BJ85" i="49"/>
  <c r="BK34" i="49"/>
  <c r="BK56" i="49"/>
  <c r="BJ69" i="49"/>
  <c r="BK44" i="49"/>
  <c r="BJ45" i="49"/>
  <c r="BK53" i="49"/>
  <c r="BK69" i="49"/>
  <c r="BJ72" i="49"/>
  <c r="BK85" i="49"/>
  <c r="BK65" i="49"/>
  <c r="BK45" i="49"/>
  <c r="BI63" i="49"/>
  <c r="BK72" i="49"/>
  <c r="BJ75" i="49"/>
  <c r="BJ81" i="49"/>
  <c r="BJ87" i="49"/>
  <c r="BJ56" i="49"/>
  <c r="BJ60" i="49"/>
  <c r="BJ63" i="49"/>
  <c r="BK75" i="49"/>
  <c r="BK81" i="49"/>
  <c r="BK87" i="49"/>
  <c r="BK35" i="49"/>
  <c r="BK37" i="49"/>
  <c r="BK39" i="49"/>
  <c r="BJ42" i="49"/>
  <c r="BJ57" i="49"/>
  <c r="BK60" i="49"/>
  <c r="BJ66" i="49"/>
  <c r="BJ79" i="49"/>
  <c r="BJ89" i="49"/>
  <c r="BJ48" i="49"/>
  <c r="BK42" i="49"/>
  <c r="BJ47" i="49"/>
  <c r="BJ54" i="49"/>
  <c r="BK57" i="49"/>
  <c r="BK66" i="49"/>
  <c r="BJ68" i="49"/>
  <c r="BK79" i="49"/>
  <c r="BK91" i="48"/>
  <c r="D32" i="48"/>
  <c r="C136" i="48" s="1"/>
  <c r="W31" i="48"/>
  <c r="BK71" i="48"/>
  <c r="BK77" i="48"/>
  <c r="BK80" i="48"/>
  <c r="E182" i="48"/>
  <c r="F182" i="48" s="1"/>
  <c r="BK60" i="48"/>
  <c r="BK55" i="48"/>
  <c r="T31" i="48"/>
  <c r="X31" i="48"/>
  <c r="S106" i="48"/>
  <c r="BO88" i="48" s="1"/>
  <c r="T106" i="48"/>
  <c r="BO89" i="48" s="1"/>
  <c r="R106" i="48"/>
  <c r="BO87" i="48" s="1"/>
  <c r="D140" i="48"/>
  <c r="E118" i="48"/>
  <c r="BO91" i="48" s="1"/>
  <c r="BK51" i="48"/>
  <c r="BK46" i="48"/>
  <c r="BK84" i="48"/>
  <c r="BK82" i="48"/>
  <c r="BK87" i="48"/>
  <c r="BK75" i="48"/>
  <c r="BK67" i="48"/>
  <c r="BK47" i="48"/>
  <c r="BK70" i="48"/>
  <c r="BK88" i="48"/>
  <c r="BK52" i="48"/>
  <c r="BK81" i="48"/>
  <c r="BJ63" i="48"/>
  <c r="BK43" i="48"/>
  <c r="V31" i="48"/>
  <c r="N45" i="48"/>
  <c r="L45" i="48"/>
  <c r="K45" i="48"/>
  <c r="O45" i="48" s="1"/>
  <c r="M45" i="48"/>
  <c r="U31" i="48"/>
  <c r="R31" i="48"/>
  <c r="AS26" i="48"/>
  <c r="BD27" i="48"/>
  <c r="BD31" i="48" s="1"/>
  <c r="BN54" i="48"/>
  <c r="BJ61" i="48"/>
  <c r="BJ64" i="48"/>
  <c r="BK74" i="48"/>
  <c r="AQ26" i="48"/>
  <c r="AQ31" i="48" s="1"/>
  <c r="AT26" i="48"/>
  <c r="AO27" i="48"/>
  <c r="BE27" i="48"/>
  <c r="BJ49" i="48"/>
  <c r="BJ58" i="48"/>
  <c r="BK61" i="48"/>
  <c r="BJ86" i="48"/>
  <c r="AU26" i="48"/>
  <c r="AP27" i="48"/>
  <c r="BF27" i="48"/>
  <c r="BF31" i="48" s="1"/>
  <c r="BJ43" i="48"/>
  <c r="BK49" i="48"/>
  <c r="BJ55" i="48"/>
  <c r="BK58" i="48"/>
  <c r="BM64" i="48"/>
  <c r="BJ67" i="48"/>
  <c r="BJ83" i="48"/>
  <c r="BK86" i="48"/>
  <c r="BH26" i="48"/>
  <c r="E181" i="48"/>
  <c r="AX26" i="48"/>
  <c r="AS27" i="48"/>
  <c r="BK34" i="48"/>
  <c r="BK35" i="48"/>
  <c r="BK36" i="48"/>
  <c r="BK37" i="48"/>
  <c r="BK38" i="48"/>
  <c r="BJ39" i="48"/>
  <c r="BJ40" i="48"/>
  <c r="BK41" i="48"/>
  <c r="BI62" i="48"/>
  <c r="BK73" i="48"/>
  <c r="BJ76" i="48"/>
  <c r="BJ78" i="48"/>
  <c r="BJ90" i="48"/>
  <c r="BJ46" i="48"/>
  <c r="BJ88" i="48"/>
  <c r="AW26" i="48"/>
  <c r="BJ34" i="48"/>
  <c r="BJ37" i="48"/>
  <c r="BJ41" i="48"/>
  <c r="BN49" i="48"/>
  <c r="AY26" i="48"/>
  <c r="AY31" i="48" s="1"/>
  <c r="AT27" i="48"/>
  <c r="BK39" i="48"/>
  <c r="BK40" i="48"/>
  <c r="BJ59" i="48"/>
  <c r="BJ62" i="48"/>
  <c r="BN70" i="48"/>
  <c r="BK76" i="48"/>
  <c r="BK78" i="48"/>
  <c r="BK90" i="48"/>
  <c r="Y24" i="48"/>
  <c r="Y31" i="48" s="1"/>
  <c r="AR26" i="48"/>
  <c r="BJ74" i="48"/>
  <c r="BJ52" i="48"/>
  <c r="BJ70" i="48"/>
  <c r="BJ80" i="48"/>
  <c r="BH27" i="48"/>
  <c r="BJ35" i="48"/>
  <c r="BJ73" i="48"/>
  <c r="AZ26" i="48"/>
  <c r="AZ31" i="48" s="1"/>
  <c r="AU27" i="48"/>
  <c r="BJ48" i="48"/>
  <c r="BJ50" i="48"/>
  <c r="BJ56" i="48"/>
  <c r="BK59" i="48"/>
  <c r="BJ65" i="48"/>
  <c r="BE26" i="48"/>
  <c r="BJ51" i="48"/>
  <c r="BJ71" i="48"/>
  <c r="BJ77" i="48"/>
  <c r="BI64" i="48"/>
  <c r="AV26" i="48"/>
  <c r="AR27" i="48"/>
  <c r="BJ36" i="48"/>
  <c r="BJ38" i="48"/>
  <c r="BA26" i="48"/>
  <c r="BA31" i="48" s="1"/>
  <c r="AV27" i="48"/>
  <c r="BJ44" i="48"/>
  <c r="BK48" i="48"/>
  <c r="BK50" i="48"/>
  <c r="BJ53" i="48"/>
  <c r="BK56" i="48"/>
  <c r="BK65" i="48"/>
  <c r="BJ69" i="48"/>
  <c r="BJ85" i="48"/>
  <c r="BG26" i="48"/>
  <c r="BG31" i="48" s="1"/>
  <c r="BB26" i="48"/>
  <c r="BB31" i="48" s="1"/>
  <c r="AW27" i="48"/>
  <c r="BK44" i="48"/>
  <c r="BJ45" i="48"/>
  <c r="BK53" i="48"/>
  <c r="BK69" i="48"/>
  <c r="BJ72" i="48"/>
  <c r="BK85" i="48"/>
  <c r="AO26" i="48"/>
  <c r="BJ82" i="48"/>
  <c r="BJ91" i="48"/>
  <c r="AB26" i="48"/>
  <c r="AB31" i="48" s="1"/>
  <c r="BC26" i="48"/>
  <c r="BC31" i="48" s="1"/>
  <c r="AX27" i="48"/>
  <c r="BK45" i="48"/>
  <c r="BI63" i="48"/>
  <c r="BK72" i="48"/>
  <c r="BJ75" i="48"/>
  <c r="BJ81" i="48"/>
  <c r="BJ87" i="48"/>
  <c r="BJ60" i="48"/>
  <c r="BJ42" i="48"/>
  <c r="BJ57" i="48"/>
  <c r="BJ66" i="48"/>
  <c r="BJ79" i="48"/>
  <c r="BJ89" i="48"/>
  <c r="AP26" i="48"/>
  <c r="BK42" i="48"/>
  <c r="BJ47" i="48"/>
  <c r="BJ54" i="48"/>
  <c r="BK57" i="48"/>
  <c r="BK66" i="48"/>
  <c r="BJ68" i="48"/>
  <c r="BK79" i="48"/>
  <c r="AO31" i="48" l="1"/>
  <c r="AU31" i="48"/>
  <c r="E185" i="49"/>
  <c r="F185" i="49"/>
  <c r="AP31" i="48"/>
  <c r="G177" i="48"/>
  <c r="BH31" i="48"/>
  <c r="AX31" i="48"/>
  <c r="BE31" i="48"/>
  <c r="AW31" i="48"/>
  <c r="AS31" i="48"/>
  <c r="AV31" i="48"/>
  <c r="AT31" i="48"/>
  <c r="E185" i="48"/>
  <c r="F181" i="48"/>
  <c r="F185" i="48" s="1"/>
  <c r="AR31" i="48"/>
  <c r="N40" i="47" l="1"/>
  <c r="N39" i="47"/>
  <c r="K39" i="47"/>
  <c r="J42" i="47"/>
  <c r="D183" i="47" l="1"/>
  <c r="D182" i="47"/>
  <c r="D181" i="47"/>
  <c r="D168" i="47"/>
  <c r="E167" i="47"/>
  <c r="E166" i="47"/>
  <c r="E165" i="47"/>
  <c r="E164" i="47"/>
  <c r="E163" i="47"/>
  <c r="E162" i="47"/>
  <c r="E156" i="47"/>
  <c r="D156" i="47"/>
  <c r="C156" i="47"/>
  <c r="L149" i="47"/>
  <c r="K149" i="47"/>
  <c r="L148" i="47"/>
  <c r="K148" i="47"/>
  <c r="L147" i="47"/>
  <c r="K147" i="47"/>
  <c r="D143" i="47"/>
  <c r="D142" i="47"/>
  <c r="D141" i="47"/>
  <c r="C137" i="47"/>
  <c r="M134" i="47"/>
  <c r="H134" i="47"/>
  <c r="G134" i="47"/>
  <c r="F134" i="47"/>
  <c r="M133" i="47"/>
  <c r="H133" i="47"/>
  <c r="G133" i="47"/>
  <c r="F133" i="47"/>
  <c r="M132" i="47"/>
  <c r="H132" i="47"/>
  <c r="G132" i="47"/>
  <c r="F132" i="47"/>
  <c r="M131" i="47"/>
  <c r="H131" i="47"/>
  <c r="G131" i="47"/>
  <c r="F131" i="47"/>
  <c r="M130" i="47"/>
  <c r="H130" i="47"/>
  <c r="G130" i="47"/>
  <c r="F130" i="47"/>
  <c r="M129" i="47"/>
  <c r="H129" i="47"/>
  <c r="G129" i="47"/>
  <c r="F129" i="47"/>
  <c r="M128" i="47"/>
  <c r="H128" i="47"/>
  <c r="G128" i="47"/>
  <c r="F128" i="47"/>
  <c r="M127" i="47"/>
  <c r="H127" i="47"/>
  <c r="G127" i="47"/>
  <c r="F127" i="47"/>
  <c r="M126" i="47"/>
  <c r="H126" i="47"/>
  <c r="G126" i="47"/>
  <c r="F126" i="47"/>
  <c r="M125" i="47"/>
  <c r="H125" i="47"/>
  <c r="G125" i="47"/>
  <c r="F125" i="47"/>
  <c r="M124" i="47"/>
  <c r="H124" i="47"/>
  <c r="G124" i="47"/>
  <c r="F124" i="47"/>
  <c r="M123" i="47"/>
  <c r="H123" i="47"/>
  <c r="G123" i="47"/>
  <c r="F123" i="47"/>
  <c r="M122" i="47"/>
  <c r="H122" i="47"/>
  <c r="G122" i="47"/>
  <c r="F122" i="47"/>
  <c r="D118" i="47"/>
  <c r="E117" i="47"/>
  <c r="E116" i="47"/>
  <c r="E115" i="47"/>
  <c r="E114" i="47"/>
  <c r="E113" i="47"/>
  <c r="E112" i="47"/>
  <c r="E111" i="47"/>
  <c r="E110" i="47"/>
  <c r="E109" i="47"/>
  <c r="E106" i="47"/>
  <c r="D106" i="47"/>
  <c r="C106" i="47"/>
  <c r="T105" i="47"/>
  <c r="S105" i="47"/>
  <c r="R105" i="47"/>
  <c r="P105" i="47"/>
  <c r="T104" i="47"/>
  <c r="S104" i="47"/>
  <c r="R104" i="47"/>
  <c r="P104" i="47"/>
  <c r="T103" i="47"/>
  <c r="S103" i="47"/>
  <c r="R103" i="47"/>
  <c r="P103" i="47"/>
  <c r="T102" i="47"/>
  <c r="S102" i="47"/>
  <c r="R102" i="47"/>
  <c r="P102" i="47"/>
  <c r="T101" i="47"/>
  <c r="S101" i="47"/>
  <c r="R101" i="47"/>
  <c r="P101" i="47"/>
  <c r="T100" i="47"/>
  <c r="S100" i="47"/>
  <c r="R100" i="47"/>
  <c r="P100" i="47"/>
  <c r="T99" i="47"/>
  <c r="S99" i="47"/>
  <c r="R99" i="47"/>
  <c r="P99" i="47"/>
  <c r="T98" i="47"/>
  <c r="S98" i="47"/>
  <c r="R98" i="47"/>
  <c r="P98" i="47"/>
  <c r="T97" i="47"/>
  <c r="S97" i="47"/>
  <c r="R97" i="47"/>
  <c r="P97" i="47"/>
  <c r="P92" i="47"/>
  <c r="E92" i="47"/>
  <c r="S92" i="47" s="1"/>
  <c r="D92" i="47"/>
  <c r="R92" i="47" s="1"/>
  <c r="BN91" i="47"/>
  <c r="P91" i="47"/>
  <c r="E91" i="47"/>
  <c r="S91" i="47" s="1"/>
  <c r="D91" i="47"/>
  <c r="R91" i="47" s="1"/>
  <c r="BO90" i="47"/>
  <c r="BN90" i="47"/>
  <c r="P90" i="47"/>
  <c r="E90" i="47"/>
  <c r="S90" i="47" s="1"/>
  <c r="D90" i="47"/>
  <c r="R90" i="47" s="1"/>
  <c r="BN89" i="47"/>
  <c r="P89" i="47"/>
  <c r="E89" i="47"/>
  <c r="S89" i="47" s="1"/>
  <c r="D89" i="47"/>
  <c r="R89" i="47" s="1"/>
  <c r="BN88" i="47"/>
  <c r="BJ88" i="47"/>
  <c r="P88" i="47"/>
  <c r="E88" i="47"/>
  <c r="S88" i="47" s="1"/>
  <c r="D88" i="47"/>
  <c r="R88" i="47" s="1"/>
  <c r="BN87" i="47"/>
  <c r="P87" i="47"/>
  <c r="E87" i="47"/>
  <c r="S87" i="47" s="1"/>
  <c r="D87" i="47"/>
  <c r="R87" i="47" s="1"/>
  <c r="BN86" i="47"/>
  <c r="P86" i="47"/>
  <c r="E86" i="47"/>
  <c r="S86" i="47" s="1"/>
  <c r="D86" i="47"/>
  <c r="R86" i="47" s="1"/>
  <c r="BN85" i="47"/>
  <c r="P85" i="47"/>
  <c r="BN84" i="47"/>
  <c r="BM84" i="47"/>
  <c r="BL84" i="47"/>
  <c r="P84" i="47"/>
  <c r="BN83" i="47"/>
  <c r="BL83" i="47"/>
  <c r="BM83" i="47" s="1"/>
  <c r="BO82" i="47"/>
  <c r="BN82" i="47"/>
  <c r="BO81" i="47"/>
  <c r="BN81" i="47"/>
  <c r="L81" i="47"/>
  <c r="K81" i="47"/>
  <c r="BO80" i="47"/>
  <c r="BN80" i="47"/>
  <c r="BM80" i="47"/>
  <c r="L80" i="47"/>
  <c r="K80" i="47"/>
  <c r="BO79" i="47"/>
  <c r="BN79" i="47"/>
  <c r="BM79" i="47"/>
  <c r="L79" i="47"/>
  <c r="K79" i="47"/>
  <c r="BO78" i="47"/>
  <c r="BN78" i="47"/>
  <c r="BM78" i="47"/>
  <c r="L78" i="47"/>
  <c r="K78" i="47"/>
  <c r="BO77" i="47"/>
  <c r="BN77" i="47"/>
  <c r="BM77" i="47"/>
  <c r="L77" i="47"/>
  <c r="K77" i="47"/>
  <c r="BM76" i="47"/>
  <c r="BK76" i="47"/>
  <c r="L76" i="47"/>
  <c r="K76" i="47"/>
  <c r="BO75" i="47"/>
  <c r="BN75" i="47"/>
  <c r="BM75" i="47"/>
  <c r="L75" i="47"/>
  <c r="K75" i="47"/>
  <c r="BO74" i="47"/>
  <c r="BN74" i="47"/>
  <c r="BM74" i="47"/>
  <c r="L74" i="47"/>
  <c r="K74" i="47"/>
  <c r="BO73" i="47"/>
  <c r="BN73" i="47"/>
  <c r="BM73" i="47"/>
  <c r="BJ73" i="47"/>
  <c r="L73" i="47"/>
  <c r="K73" i="47"/>
  <c r="BO72" i="47"/>
  <c r="BN72" i="47"/>
  <c r="BM72" i="47"/>
  <c r="BO71" i="47"/>
  <c r="BN71" i="47"/>
  <c r="BM71" i="47"/>
  <c r="L71" i="47"/>
  <c r="BO70" i="47"/>
  <c r="BM70" i="47"/>
  <c r="L70" i="47"/>
  <c r="BO69" i="47"/>
  <c r="BN69" i="47"/>
  <c r="BM69" i="47"/>
  <c r="L69" i="47"/>
  <c r="K69" i="47"/>
  <c r="BO68" i="47"/>
  <c r="BN68" i="47"/>
  <c r="BM68" i="47"/>
  <c r="L68" i="47"/>
  <c r="BO67" i="47"/>
  <c r="BN67" i="47"/>
  <c r="BM67" i="47"/>
  <c r="BO66" i="47"/>
  <c r="BN66" i="47"/>
  <c r="BM66" i="47"/>
  <c r="BO65" i="47"/>
  <c r="BN65" i="47"/>
  <c r="BM65" i="47"/>
  <c r="D65" i="47"/>
  <c r="C65" i="47"/>
  <c r="B65" i="47"/>
  <c r="BL64" i="47"/>
  <c r="BN63" i="47"/>
  <c r="BM63" i="47"/>
  <c r="BL63" i="47"/>
  <c r="BN62" i="47"/>
  <c r="BM62" i="47"/>
  <c r="BL62" i="47"/>
  <c r="BO61" i="47"/>
  <c r="BN61" i="47"/>
  <c r="BM61" i="47"/>
  <c r="BJ61" i="47"/>
  <c r="BO60" i="47"/>
  <c r="BN60" i="47"/>
  <c r="BM60" i="47"/>
  <c r="BO59" i="47"/>
  <c r="BN59" i="47"/>
  <c r="BM59" i="47"/>
  <c r="BO58" i="47"/>
  <c r="BN58" i="47"/>
  <c r="BM58" i="47"/>
  <c r="BO57" i="47"/>
  <c r="BN57" i="47"/>
  <c r="BM57" i="47"/>
  <c r="BO56" i="47"/>
  <c r="BN56" i="47"/>
  <c r="BM56" i="47"/>
  <c r="BO55" i="47"/>
  <c r="BN55" i="47"/>
  <c r="BM55" i="47"/>
  <c r="BM54" i="47"/>
  <c r="BO53" i="47"/>
  <c r="BN53" i="47"/>
  <c r="BM53" i="47"/>
  <c r="BO52" i="47"/>
  <c r="BN52" i="47"/>
  <c r="BM52" i="47"/>
  <c r="BO51" i="47"/>
  <c r="BN51" i="47"/>
  <c r="BM51" i="47"/>
  <c r="AF51" i="47"/>
  <c r="BO50" i="47"/>
  <c r="BN50" i="47"/>
  <c r="BM50" i="47"/>
  <c r="BJ50" i="47"/>
  <c r="AF50" i="47"/>
  <c r="BO76" i="47" s="1"/>
  <c r="BM49" i="47"/>
  <c r="AF49" i="47"/>
  <c r="I49" i="47"/>
  <c r="G49" i="47"/>
  <c r="F49" i="47"/>
  <c r="E49" i="47"/>
  <c r="BO48" i="47"/>
  <c r="BN48" i="47"/>
  <c r="BM48" i="47"/>
  <c r="AF48" i="47"/>
  <c r="BN64" i="47" s="1"/>
  <c r="I48" i="47"/>
  <c r="G48" i="47"/>
  <c r="F48" i="47"/>
  <c r="E48" i="47"/>
  <c r="BO47" i="47"/>
  <c r="BN47" i="47"/>
  <c r="BM47" i="47"/>
  <c r="AF47" i="47"/>
  <c r="I47" i="47"/>
  <c r="G47" i="47"/>
  <c r="F47" i="47"/>
  <c r="E47" i="47"/>
  <c r="BO46" i="47"/>
  <c r="BN46" i="47"/>
  <c r="BM46" i="47"/>
  <c r="AF46" i="47"/>
  <c r="BO54" i="47" s="1"/>
  <c r="I46" i="47"/>
  <c r="G46" i="47"/>
  <c r="F46" i="47"/>
  <c r="E46" i="47"/>
  <c r="BO45" i="47"/>
  <c r="BN45" i="47"/>
  <c r="BM45" i="47"/>
  <c r="AF45" i="47"/>
  <c r="BO49" i="47" s="1"/>
  <c r="I45" i="47"/>
  <c r="G45" i="47"/>
  <c r="F45" i="47"/>
  <c r="E45" i="47"/>
  <c r="D45" i="47"/>
  <c r="BO44" i="47"/>
  <c r="BN44" i="47"/>
  <c r="BM44" i="47"/>
  <c r="AF44" i="47"/>
  <c r="BO43" i="47"/>
  <c r="BN43" i="47"/>
  <c r="BM43" i="47"/>
  <c r="AF43" i="47"/>
  <c r="BO42" i="47"/>
  <c r="BN42" i="47"/>
  <c r="BM42" i="47"/>
  <c r="AF42" i="47"/>
  <c r="BO41" i="47"/>
  <c r="BN41" i="47"/>
  <c r="BM41" i="47"/>
  <c r="AF41" i="47"/>
  <c r="X41" i="47"/>
  <c r="W41" i="47"/>
  <c r="V41" i="47"/>
  <c r="U41" i="47"/>
  <c r="T41" i="47"/>
  <c r="R41" i="47"/>
  <c r="G41" i="47"/>
  <c r="F41" i="47"/>
  <c r="E41" i="47"/>
  <c r="BO40" i="47"/>
  <c r="BN40" i="47"/>
  <c r="BM40" i="47"/>
  <c r="AF40" i="47"/>
  <c r="X40" i="47"/>
  <c r="W40" i="47"/>
  <c r="V40" i="47"/>
  <c r="U40" i="47"/>
  <c r="T40" i="47"/>
  <c r="R40" i="47"/>
  <c r="G40" i="47"/>
  <c r="F40" i="47"/>
  <c r="E40" i="47"/>
  <c r="BO39" i="47"/>
  <c r="BN39" i="47"/>
  <c r="BM39" i="47"/>
  <c r="BK39" i="47"/>
  <c r="AF39" i="47"/>
  <c r="X39" i="47"/>
  <c r="W39" i="47"/>
  <c r="V39" i="47"/>
  <c r="U39" i="47"/>
  <c r="T39" i="47"/>
  <c r="R39" i="47"/>
  <c r="G39" i="47"/>
  <c r="F39" i="47"/>
  <c r="E39" i="47"/>
  <c r="BO38" i="47"/>
  <c r="BN38" i="47"/>
  <c r="BM38" i="47"/>
  <c r="AF38" i="47"/>
  <c r="X38" i="47"/>
  <c r="W38" i="47"/>
  <c r="V38" i="47"/>
  <c r="U38" i="47"/>
  <c r="T38" i="47"/>
  <c r="R38" i="47"/>
  <c r="D38" i="47" s="1"/>
  <c r="G38" i="47"/>
  <c r="F38" i="47"/>
  <c r="E38" i="47"/>
  <c r="BO37" i="47"/>
  <c r="BN37" i="47"/>
  <c r="BM37" i="47"/>
  <c r="AF37" i="47"/>
  <c r="BO36" i="47"/>
  <c r="BN36" i="47"/>
  <c r="BM36" i="47"/>
  <c r="AF36" i="47"/>
  <c r="BO35" i="47"/>
  <c r="BN35" i="47"/>
  <c r="BM35" i="47"/>
  <c r="AF35" i="47"/>
  <c r="BO34" i="47"/>
  <c r="BN34" i="47"/>
  <c r="BM34" i="47"/>
  <c r="AF34" i="47"/>
  <c r="BN54" i="47" s="1"/>
  <c r="BM33" i="47"/>
  <c r="BK61" i="47" s="1"/>
  <c r="BL33" i="47"/>
  <c r="AF33" i="47"/>
  <c r="D33" i="47"/>
  <c r="BM32" i="47"/>
  <c r="BJ86" i="47" s="1"/>
  <c r="BL32" i="47"/>
  <c r="AF32" i="47"/>
  <c r="AF31" i="47"/>
  <c r="AD31" i="47"/>
  <c r="AC31" i="47"/>
  <c r="D31" i="47"/>
  <c r="BH30" i="47"/>
  <c r="BG30" i="47"/>
  <c r="BF30" i="47"/>
  <c r="BE30" i="47"/>
  <c r="BD30" i="47"/>
  <c r="BC30" i="47"/>
  <c r="BB30" i="47"/>
  <c r="BA30" i="47"/>
  <c r="AZ30" i="47"/>
  <c r="AY30" i="47"/>
  <c r="AX30" i="47"/>
  <c r="AW30" i="47"/>
  <c r="AV30" i="47"/>
  <c r="AU30" i="47"/>
  <c r="AT30" i="47"/>
  <c r="AS30" i="47"/>
  <c r="AR30" i="47"/>
  <c r="AQ30" i="47"/>
  <c r="AP30" i="47"/>
  <c r="AO30" i="47"/>
  <c r="AF30" i="47"/>
  <c r="AB30" i="47"/>
  <c r="X30" i="47"/>
  <c r="W30" i="47"/>
  <c r="V30" i="47"/>
  <c r="U30" i="47"/>
  <c r="Y30" i="47" s="1"/>
  <c r="T30" i="47"/>
  <c r="P30" i="47"/>
  <c r="O30" i="47"/>
  <c r="N30" i="47"/>
  <c r="M30" i="47"/>
  <c r="L30" i="47"/>
  <c r="K30" i="47"/>
  <c r="R30" i="47" s="1"/>
  <c r="I30" i="47"/>
  <c r="H30" i="47"/>
  <c r="BH29" i="47"/>
  <c r="BG29" i="47"/>
  <c r="BF29" i="47"/>
  <c r="BE29" i="47"/>
  <c r="BD29" i="47"/>
  <c r="BC29" i="47"/>
  <c r="BB29" i="47"/>
  <c r="BA29" i="47"/>
  <c r="AZ29" i="47"/>
  <c r="AY29" i="47"/>
  <c r="AX29" i="47"/>
  <c r="AW29" i="47"/>
  <c r="AV29" i="47"/>
  <c r="AU29" i="47"/>
  <c r="AT29" i="47"/>
  <c r="AS29" i="47"/>
  <c r="AR29" i="47"/>
  <c r="AQ29" i="47"/>
  <c r="AP29" i="47"/>
  <c r="AO29" i="47"/>
  <c r="AF29" i="47"/>
  <c r="AB29" i="47"/>
  <c r="X29" i="47"/>
  <c r="W29" i="47"/>
  <c r="V29" i="47"/>
  <c r="U29" i="47"/>
  <c r="Y29" i="47" s="1"/>
  <c r="T29" i="47"/>
  <c r="P29" i="47"/>
  <c r="O29" i="47"/>
  <c r="N29" i="47"/>
  <c r="M29" i="47"/>
  <c r="L29" i="47"/>
  <c r="K29" i="47"/>
  <c r="R29" i="47" s="1"/>
  <c r="I29" i="47"/>
  <c r="H29" i="47"/>
  <c r="BH28" i="47"/>
  <c r="BG28" i="47"/>
  <c r="BF28" i="47"/>
  <c r="BE28" i="47"/>
  <c r="BD28" i="47"/>
  <c r="BC28" i="47"/>
  <c r="BB28" i="47"/>
  <c r="BA28" i="47"/>
  <c r="AZ28" i="47"/>
  <c r="AY28" i="47"/>
  <c r="AX28" i="47"/>
  <c r="AW28" i="47"/>
  <c r="AV28" i="47"/>
  <c r="AU28" i="47"/>
  <c r="AT28" i="47"/>
  <c r="AS28" i="47"/>
  <c r="AR28" i="47"/>
  <c r="AQ28" i="47"/>
  <c r="AP28" i="47"/>
  <c r="AO28" i="47"/>
  <c r="AF28" i="47"/>
  <c r="AB28" i="47"/>
  <c r="X28" i="47"/>
  <c r="W28" i="47"/>
  <c r="V28" i="47"/>
  <c r="U28" i="47"/>
  <c r="Y28" i="47" s="1"/>
  <c r="T28" i="47"/>
  <c r="P28" i="47"/>
  <c r="O28" i="47"/>
  <c r="N28" i="47"/>
  <c r="M28" i="47"/>
  <c r="L28" i="47"/>
  <c r="K28" i="47"/>
  <c r="R28" i="47" s="1"/>
  <c r="I28" i="47"/>
  <c r="H28" i="47"/>
  <c r="AF27" i="47"/>
  <c r="K27" i="47"/>
  <c r="R27" i="47" s="1"/>
  <c r="I27" i="47"/>
  <c r="H27" i="47"/>
  <c r="AF26" i="47"/>
  <c r="K26" i="47"/>
  <c r="R26" i="47" s="1"/>
  <c r="I26" i="47"/>
  <c r="H26" i="47"/>
  <c r="BH25" i="47"/>
  <c r="BG25" i="47"/>
  <c r="BF25" i="47"/>
  <c r="BE25" i="47"/>
  <c r="BD25" i="47"/>
  <c r="BC25" i="47"/>
  <c r="BB25" i="47"/>
  <c r="BA25" i="47"/>
  <c r="AZ25" i="47"/>
  <c r="AY25" i="47"/>
  <c r="AX25" i="47"/>
  <c r="AW25" i="47"/>
  <c r="AV25" i="47"/>
  <c r="AU25" i="47"/>
  <c r="AT25" i="47"/>
  <c r="AS25" i="47"/>
  <c r="AR25" i="47"/>
  <c r="AQ25" i="47"/>
  <c r="AP25" i="47"/>
  <c r="AO25" i="47"/>
  <c r="AF25" i="47"/>
  <c r="AB25" i="47"/>
  <c r="X25" i="47"/>
  <c r="W25" i="47"/>
  <c r="V25" i="47"/>
  <c r="U25" i="47"/>
  <c r="Y25" i="47" s="1"/>
  <c r="T25" i="47"/>
  <c r="P25" i="47"/>
  <c r="O25" i="47"/>
  <c r="N25" i="47"/>
  <c r="M25" i="47"/>
  <c r="L25" i="47"/>
  <c r="K25" i="47"/>
  <c r="R25" i="47" s="1"/>
  <c r="I25" i="47"/>
  <c r="H25" i="47"/>
  <c r="AF24" i="47"/>
  <c r="K24" i="47"/>
  <c r="R24" i="47" s="1"/>
  <c r="I24" i="47"/>
  <c r="H24" i="47"/>
  <c r="AF23" i="47"/>
  <c r="AF22" i="47"/>
  <c r="AF21" i="47"/>
  <c r="AF20" i="47"/>
  <c r="D20" i="47"/>
  <c r="AF19" i="47"/>
  <c r="AF18" i="47"/>
  <c r="AF17" i="47"/>
  <c r="Y17" i="47"/>
  <c r="X17" i="47"/>
  <c r="W17" i="47"/>
  <c r="V17" i="47"/>
  <c r="U17" i="47"/>
  <c r="T17" i="47"/>
  <c r="R17" i="47"/>
  <c r="AF16" i="47"/>
  <c r="X16" i="47"/>
  <c r="W16" i="47"/>
  <c r="V16" i="47"/>
  <c r="U16" i="47"/>
  <c r="Y16" i="47" s="1"/>
  <c r="T16" i="47"/>
  <c r="AF15" i="47"/>
  <c r="AF14" i="47"/>
  <c r="X14" i="47"/>
  <c r="W14" i="47"/>
  <c r="V14" i="47"/>
  <c r="U14" i="47"/>
  <c r="Y14" i="47" s="1"/>
  <c r="T14" i="47"/>
  <c r="AF13" i="47"/>
  <c r="AF12" i="47"/>
  <c r="AF11" i="47"/>
  <c r="AF10" i="47"/>
  <c r="AF9" i="47"/>
  <c r="AF8" i="47"/>
  <c r="J8" i="47"/>
  <c r="H45" i="47" s="1"/>
  <c r="AF7" i="47"/>
  <c r="AF6" i="47"/>
  <c r="AF5" i="47"/>
  <c r="AF4" i="47"/>
  <c r="AF3" i="47"/>
  <c r="W35" i="50" l="1"/>
  <c r="X37" i="50"/>
  <c r="V35" i="50"/>
  <c r="W37" i="50"/>
  <c r="U35" i="50"/>
  <c r="V37" i="50"/>
  <c r="T35" i="50"/>
  <c r="U37" i="50"/>
  <c r="R35" i="50"/>
  <c r="D35" i="50" s="1"/>
  <c r="D42" i="50" s="1"/>
  <c r="D51" i="50" s="1"/>
  <c r="T37" i="50"/>
  <c r="R37" i="50"/>
  <c r="D37" i="50" s="1"/>
  <c r="E37" i="50"/>
  <c r="E35" i="50"/>
  <c r="X35" i="50"/>
  <c r="C140" i="50"/>
  <c r="K146" i="50" s="1"/>
  <c r="W13" i="50"/>
  <c r="W14" i="50"/>
  <c r="X15" i="50"/>
  <c r="V13" i="50"/>
  <c r="W15" i="50"/>
  <c r="U13" i="50"/>
  <c r="Y13" i="50" s="1"/>
  <c r="V15" i="50"/>
  <c r="U12" i="50"/>
  <c r="T13" i="50"/>
  <c r="R13" i="50" s="1"/>
  <c r="K69" i="50" s="1"/>
  <c r="U15" i="50"/>
  <c r="Y15" i="50" s="1"/>
  <c r="T15" i="50"/>
  <c r="R15" i="50" s="1"/>
  <c r="X12" i="50"/>
  <c r="X14" i="50"/>
  <c r="W12" i="50"/>
  <c r="V12" i="50"/>
  <c r="C143" i="50"/>
  <c r="V14" i="50"/>
  <c r="T12" i="50"/>
  <c r="C142" i="50"/>
  <c r="U14" i="50"/>
  <c r="Y14" i="50" s="1"/>
  <c r="T14" i="50"/>
  <c r="R14" i="50" s="1"/>
  <c r="K73" i="50" s="1"/>
  <c r="R16" i="50"/>
  <c r="C141" i="50"/>
  <c r="X13" i="50"/>
  <c r="T12" i="49"/>
  <c r="C143" i="49"/>
  <c r="C142" i="49"/>
  <c r="X13" i="49"/>
  <c r="W13" i="49"/>
  <c r="C141" i="49"/>
  <c r="V13" i="49"/>
  <c r="C140" i="49"/>
  <c r="K146" i="49" s="1"/>
  <c r="X15" i="49"/>
  <c r="U13" i="49"/>
  <c r="Y13" i="49" s="1"/>
  <c r="W15" i="49"/>
  <c r="T13" i="49"/>
  <c r="R13" i="49" s="1"/>
  <c r="K70" i="49" s="1"/>
  <c r="V15" i="49"/>
  <c r="U15" i="49"/>
  <c r="Y15" i="49" s="1"/>
  <c r="X12" i="49"/>
  <c r="T15" i="49"/>
  <c r="R15" i="49" s="1"/>
  <c r="W12" i="49"/>
  <c r="V12" i="49"/>
  <c r="U12" i="49"/>
  <c r="R14" i="49"/>
  <c r="R16" i="49"/>
  <c r="X36" i="49"/>
  <c r="W36" i="49"/>
  <c r="V36" i="49"/>
  <c r="X37" i="49"/>
  <c r="U36" i="49"/>
  <c r="E37" i="49"/>
  <c r="W37" i="49"/>
  <c r="T36" i="49"/>
  <c r="V37" i="49"/>
  <c r="R36" i="49"/>
  <c r="D36" i="49" s="1"/>
  <c r="U37" i="49"/>
  <c r="T37" i="49"/>
  <c r="R37" i="49"/>
  <c r="D37" i="49" s="1"/>
  <c r="E36" i="49"/>
  <c r="X36" i="48"/>
  <c r="W36" i="48"/>
  <c r="V36" i="48"/>
  <c r="U36" i="48"/>
  <c r="T36" i="48"/>
  <c r="X37" i="48"/>
  <c r="R36" i="48"/>
  <c r="D36" i="48" s="1"/>
  <c r="W37" i="48"/>
  <c r="E36" i="48"/>
  <c r="V37" i="48"/>
  <c r="U37" i="48"/>
  <c r="T37" i="48"/>
  <c r="R37" i="48"/>
  <c r="D37" i="48" s="1"/>
  <c r="E37" i="48"/>
  <c r="C143" i="48"/>
  <c r="V12" i="48"/>
  <c r="AL6" i="26"/>
  <c r="AM9" i="26"/>
  <c r="AI13" i="26"/>
  <c r="AJ16" i="26"/>
  <c r="AH15" i="26"/>
  <c r="AL9" i="26"/>
  <c r="U12" i="48"/>
  <c r="AM6" i="26"/>
  <c r="AI10" i="26"/>
  <c r="AJ13" i="26"/>
  <c r="AK16" i="26"/>
  <c r="AH16" i="26"/>
  <c r="AL13" i="26"/>
  <c r="AL5" i="26"/>
  <c r="AL15" i="26"/>
  <c r="AK9" i="26"/>
  <c r="T15" i="48"/>
  <c r="R15" i="48" s="1"/>
  <c r="C142" i="48"/>
  <c r="T12" i="48"/>
  <c r="AI7" i="26"/>
  <c r="AJ10" i="26"/>
  <c r="AK13" i="26"/>
  <c r="AL16" i="26"/>
  <c r="AM5" i="26"/>
  <c r="AK10" i="26"/>
  <c r="AM16" i="26"/>
  <c r="AM13" i="26"/>
  <c r="AK5" i="26"/>
  <c r="W15" i="48"/>
  <c r="AK12" i="26"/>
  <c r="AL12" i="26"/>
  <c r="AK6" i="26"/>
  <c r="AJ7" i="26"/>
  <c r="AI6" i="26"/>
  <c r="AH12" i="26"/>
  <c r="U15" i="48"/>
  <c r="Y15" i="48" s="1"/>
  <c r="C141" i="48"/>
  <c r="AK7" i="26"/>
  <c r="AL10" i="26"/>
  <c r="C140" i="48"/>
  <c r="K146" i="48" s="1"/>
  <c r="AL7" i="26"/>
  <c r="AM10" i="26"/>
  <c r="AI14" i="26"/>
  <c r="AJ5" i="26"/>
  <c r="AI11" i="26"/>
  <c r="AI5" i="26"/>
  <c r="AJ6" i="26"/>
  <c r="AH13" i="26"/>
  <c r="R14" i="48"/>
  <c r="AM7" i="26"/>
  <c r="AJ14" i="26"/>
  <c r="AI9" i="26"/>
  <c r="AI8" i="26"/>
  <c r="AJ11" i="26"/>
  <c r="AK14" i="26"/>
  <c r="AH6" i="26"/>
  <c r="AL14" i="26"/>
  <c r="AH9" i="26"/>
  <c r="AJ15" i="26"/>
  <c r="X12" i="48"/>
  <c r="W12" i="48"/>
  <c r="X13" i="48"/>
  <c r="AJ8" i="26"/>
  <c r="AK11" i="26"/>
  <c r="AH7" i="26"/>
  <c r="AH5" i="26"/>
  <c r="U13" i="48"/>
  <c r="Y13" i="48" s="1"/>
  <c r="AJ12" i="26"/>
  <c r="AH11" i="26"/>
  <c r="AJ9" i="26"/>
  <c r="AH14" i="26"/>
  <c r="W13" i="48"/>
  <c r="AK8" i="26"/>
  <c r="AL11" i="26"/>
  <c r="AM14" i="26"/>
  <c r="AH8" i="26"/>
  <c r="AL8" i="26"/>
  <c r="AI15" i="26"/>
  <c r="AI12" i="26"/>
  <c r="AH10" i="26"/>
  <c r="AM12" i="26"/>
  <c r="V13" i="48"/>
  <c r="AM11" i="26"/>
  <c r="V15" i="48"/>
  <c r="AM15" i="26"/>
  <c r="AI16" i="26"/>
  <c r="X15" i="48"/>
  <c r="AM8" i="26"/>
  <c r="BH27" i="47" s="1"/>
  <c r="AK15" i="26"/>
  <c r="T13" i="48"/>
  <c r="R13" i="48" s="1"/>
  <c r="K70" i="48" s="1"/>
  <c r="R16" i="48"/>
  <c r="BJ80" i="47"/>
  <c r="BJ46" i="47"/>
  <c r="BJ41" i="47"/>
  <c r="BJ48" i="47"/>
  <c r="BJ74" i="47"/>
  <c r="BJ67" i="47"/>
  <c r="BJ36" i="47"/>
  <c r="BJ81" i="47"/>
  <c r="BJ59" i="47"/>
  <c r="BJ38" i="47"/>
  <c r="BJ37" i="47"/>
  <c r="BJ43" i="47"/>
  <c r="AO27" i="47"/>
  <c r="AP27" i="47"/>
  <c r="E182" i="47"/>
  <c r="F182" i="47" s="1"/>
  <c r="E183" i="47"/>
  <c r="F183" i="47" s="1"/>
  <c r="BJ56" i="47"/>
  <c r="BJ83" i="47"/>
  <c r="BJ87" i="47"/>
  <c r="D185" i="47"/>
  <c r="E181" i="47" s="1"/>
  <c r="BN70" i="47"/>
  <c r="BI63" i="47"/>
  <c r="BJ55" i="47"/>
  <c r="BI64" i="47"/>
  <c r="U35" i="47"/>
  <c r="W36" i="47"/>
  <c r="R16" i="47"/>
  <c r="X13" i="47"/>
  <c r="R14" i="47"/>
  <c r="U15" i="47"/>
  <c r="Y15" i="47" s="1"/>
  <c r="X37" i="47"/>
  <c r="T12" i="47"/>
  <c r="R12" i="47" s="1"/>
  <c r="K68" i="47" s="1"/>
  <c r="W37" i="47"/>
  <c r="X15" i="47"/>
  <c r="AO26" i="47"/>
  <c r="AP26" i="47"/>
  <c r="T106" i="47"/>
  <c r="BO89" i="47" s="1"/>
  <c r="R106" i="47"/>
  <c r="G177" i="47" s="1"/>
  <c r="S106" i="47"/>
  <c r="BO88" i="47" s="1"/>
  <c r="AO24" i="47"/>
  <c r="AP24" i="47"/>
  <c r="AP31" i="47" s="1"/>
  <c r="V35" i="47"/>
  <c r="X36" i="47"/>
  <c r="W35" i="47"/>
  <c r="X35" i="47"/>
  <c r="C140" i="47"/>
  <c r="U12" i="47"/>
  <c r="Y12" i="47" s="1"/>
  <c r="C141" i="47"/>
  <c r="V12" i="47"/>
  <c r="W12" i="47"/>
  <c r="C142" i="47"/>
  <c r="X12" i="47"/>
  <c r="E37" i="47"/>
  <c r="C143" i="47"/>
  <c r="T15" i="47"/>
  <c r="R15" i="47" s="1"/>
  <c r="K71" i="47" s="1"/>
  <c r="E36" i="47"/>
  <c r="T13" i="47"/>
  <c r="R13" i="47" s="1"/>
  <c r="K70" i="47" s="1"/>
  <c r="U13" i="47"/>
  <c r="Y13" i="47" s="1"/>
  <c r="V15" i="47"/>
  <c r="E35" i="47"/>
  <c r="R37" i="47"/>
  <c r="D37" i="47" s="1"/>
  <c r="V13" i="47"/>
  <c r="W15" i="47"/>
  <c r="R36" i="47"/>
  <c r="D36" i="47" s="1"/>
  <c r="T37" i="47"/>
  <c r="W13" i="47"/>
  <c r="T36" i="47"/>
  <c r="U37" i="47"/>
  <c r="R35" i="47"/>
  <c r="D35" i="47" s="1"/>
  <c r="U36" i="47"/>
  <c r="V37" i="47"/>
  <c r="T35" i="47"/>
  <c r="V36" i="47"/>
  <c r="E118" i="47"/>
  <c r="BO91" i="47" s="1"/>
  <c r="D32" i="47"/>
  <c r="C136" i="47" s="1"/>
  <c r="D140" i="47" s="1"/>
  <c r="BJ62" i="47"/>
  <c r="BK72" i="47"/>
  <c r="BK45" i="47"/>
  <c r="BK43" i="47"/>
  <c r="BK59" i="47"/>
  <c r="BJ63" i="47"/>
  <c r="BK75" i="47"/>
  <c r="BK78" i="47"/>
  <c r="BK81" i="47"/>
  <c r="BK90" i="47"/>
  <c r="BK40" i="47"/>
  <c r="BJ60" i="47"/>
  <c r="BJ70" i="47"/>
  <c r="BJ75" i="47"/>
  <c r="BJ35" i="47"/>
  <c r="BJ52" i="47"/>
  <c r="BJ34" i="47"/>
  <c r="BJ65" i="47"/>
  <c r="R31" i="47"/>
  <c r="N45" i="47"/>
  <c r="M45" i="47"/>
  <c r="L45" i="47"/>
  <c r="K45" i="47"/>
  <c r="O45" i="47" s="1"/>
  <c r="BK49" i="47"/>
  <c r="BK58" i="47"/>
  <c r="BM64" i="47"/>
  <c r="BK86" i="47"/>
  <c r="BK55" i="47"/>
  <c r="BK67" i="47"/>
  <c r="BK83" i="47"/>
  <c r="BK46" i="47"/>
  <c r="BN49" i="47"/>
  <c r="BK52" i="47"/>
  <c r="BK70" i="47"/>
  <c r="BK80" i="47"/>
  <c r="BK88" i="47"/>
  <c r="BK34" i="47"/>
  <c r="BK35" i="47"/>
  <c r="BK36" i="47"/>
  <c r="BK37" i="47"/>
  <c r="BK38" i="47"/>
  <c r="BJ39" i="47"/>
  <c r="BJ40" i="47"/>
  <c r="BK41" i="47"/>
  <c r="BI62" i="47"/>
  <c r="BK73" i="47"/>
  <c r="BJ76" i="47"/>
  <c r="BJ78" i="47"/>
  <c r="BJ90" i="47"/>
  <c r="BJ44" i="47"/>
  <c r="BK48" i="47"/>
  <c r="BK50" i="47"/>
  <c r="BJ53" i="47"/>
  <c r="BK56" i="47"/>
  <c r="BK65" i="47"/>
  <c r="BJ69" i="47"/>
  <c r="BN76" i="47"/>
  <c r="BJ85" i="47"/>
  <c r="BK44" i="47"/>
  <c r="BJ45" i="47"/>
  <c r="BK53" i="47"/>
  <c r="BK69" i="47"/>
  <c r="BJ72" i="47"/>
  <c r="BK85" i="47"/>
  <c r="BJ42" i="47"/>
  <c r="BJ57" i="47"/>
  <c r="BK60" i="47"/>
  <c r="BJ66" i="47"/>
  <c r="BJ79" i="47"/>
  <c r="BJ89" i="47"/>
  <c r="BK42" i="47"/>
  <c r="BJ47" i="47"/>
  <c r="BJ54" i="47"/>
  <c r="BK57" i="47"/>
  <c r="BK66" i="47"/>
  <c r="BJ68" i="47"/>
  <c r="BK79" i="47"/>
  <c r="BJ84" i="47"/>
  <c r="BK89" i="47"/>
  <c r="BK87" i="47"/>
  <c r="BK47" i="47"/>
  <c r="BJ51" i="47"/>
  <c r="BK54" i="47"/>
  <c r="BK68" i="47"/>
  <c r="BJ71" i="47"/>
  <c r="BJ77" i="47"/>
  <c r="BJ82" i="47"/>
  <c r="BK84" i="47"/>
  <c r="BJ91" i="47"/>
  <c r="BK51" i="47"/>
  <c r="BK71" i="47"/>
  <c r="BK77" i="47"/>
  <c r="BK82" i="47"/>
  <c r="BK91" i="47"/>
  <c r="BJ64" i="47"/>
  <c r="BK74" i="47"/>
  <c r="BJ49" i="47"/>
  <c r="BJ58" i="47"/>
  <c r="BF8" i="26"/>
  <c r="BF16" i="26"/>
  <c r="BF17" i="26"/>
  <c r="BF18" i="26"/>
  <c r="BF19" i="26"/>
  <c r="BF20" i="26"/>
  <c r="BF21" i="26"/>
  <c r="BF22" i="26"/>
  <c r="BF23" i="26"/>
  <c r="BF24" i="26"/>
  <c r="BF25" i="26"/>
  <c r="BF26" i="26"/>
  <c r="BF27" i="26"/>
  <c r="BF28" i="26"/>
  <c r="BF29" i="26"/>
  <c r="BF30" i="26"/>
  <c r="BF31" i="26"/>
  <c r="BF32" i="26"/>
  <c r="BF33" i="26"/>
  <c r="BF34" i="26"/>
  <c r="BF35" i="26"/>
  <c r="BF36" i="26"/>
  <c r="BF37" i="26"/>
  <c r="BF38" i="26"/>
  <c r="BF39" i="26"/>
  <c r="BF40" i="26"/>
  <c r="BF41" i="26"/>
  <c r="BF42" i="26"/>
  <c r="BF43" i="26"/>
  <c r="BF44" i="26"/>
  <c r="BF45" i="26"/>
  <c r="BF46" i="26"/>
  <c r="BF47" i="26"/>
  <c r="BF48" i="26"/>
  <c r="BF49" i="26"/>
  <c r="BF50" i="26"/>
  <c r="BF51" i="26"/>
  <c r="BF52" i="26"/>
  <c r="BF53" i="26"/>
  <c r="BF54" i="26"/>
  <c r="BF5" i="26"/>
  <c r="BB6" i="26"/>
  <c r="BB7" i="26"/>
  <c r="BB8" i="26"/>
  <c r="BB9" i="26"/>
  <c r="BB10" i="26"/>
  <c r="BB11" i="26"/>
  <c r="BB12" i="26"/>
  <c r="BB13" i="26"/>
  <c r="BB14" i="26"/>
  <c r="BB15" i="26"/>
  <c r="BB16" i="26"/>
  <c r="BB17" i="26"/>
  <c r="BB18" i="26"/>
  <c r="BB19" i="26"/>
  <c r="BB20" i="26"/>
  <c r="BB21" i="26"/>
  <c r="BB22" i="26"/>
  <c r="BB23" i="26"/>
  <c r="BB24" i="26"/>
  <c r="BB25" i="26"/>
  <c r="BB26" i="26"/>
  <c r="BB27" i="26"/>
  <c r="BB28" i="26"/>
  <c r="BB29" i="26"/>
  <c r="BB30" i="26"/>
  <c r="BB31" i="26"/>
  <c r="BB32" i="26"/>
  <c r="BB33" i="26"/>
  <c r="BB34" i="26"/>
  <c r="BB35" i="26"/>
  <c r="BB36" i="26"/>
  <c r="BB37" i="26"/>
  <c r="BB38" i="26"/>
  <c r="BB39" i="26"/>
  <c r="BB40" i="26"/>
  <c r="BB41" i="26"/>
  <c r="BB42" i="26"/>
  <c r="BB43" i="26"/>
  <c r="BB44" i="26"/>
  <c r="BB45" i="26"/>
  <c r="BB46" i="26"/>
  <c r="BB47" i="26"/>
  <c r="BB48" i="26"/>
  <c r="BB49" i="26"/>
  <c r="BB50" i="26"/>
  <c r="BB51" i="26"/>
  <c r="BB52" i="26"/>
  <c r="BB53" i="26"/>
  <c r="BB54" i="26"/>
  <c r="BB5" i="26"/>
  <c r="AY6" i="26"/>
  <c r="AY7" i="26"/>
  <c r="AY9" i="26"/>
  <c r="AY10" i="26"/>
  <c r="AY11" i="26"/>
  <c r="AY12" i="26"/>
  <c r="AY13" i="26"/>
  <c r="AY14" i="26"/>
  <c r="AY15" i="26"/>
  <c r="AY17" i="26"/>
  <c r="AY18" i="26"/>
  <c r="AY19" i="26"/>
  <c r="AY20" i="26"/>
  <c r="AY21" i="26"/>
  <c r="AY22" i="26"/>
  <c r="AY23" i="26"/>
  <c r="AY24" i="26"/>
  <c r="AY25" i="26"/>
  <c r="AY26" i="26"/>
  <c r="AY27" i="26"/>
  <c r="AY28" i="26"/>
  <c r="AY29" i="26"/>
  <c r="AY30" i="26"/>
  <c r="AY31" i="26"/>
  <c r="AY32" i="26"/>
  <c r="AY33" i="26"/>
  <c r="AY34" i="26"/>
  <c r="AY35" i="26"/>
  <c r="AY36" i="26"/>
  <c r="AY37" i="26"/>
  <c r="AY38" i="26"/>
  <c r="AY39" i="26"/>
  <c r="AY40" i="26"/>
  <c r="AY41" i="26"/>
  <c r="AY42" i="26"/>
  <c r="AY43" i="26"/>
  <c r="AY44" i="26"/>
  <c r="AY45" i="26"/>
  <c r="AY46" i="26"/>
  <c r="AY47" i="26"/>
  <c r="AY48" i="26"/>
  <c r="AY49" i="26"/>
  <c r="AY50" i="26"/>
  <c r="AY51" i="26"/>
  <c r="AY52" i="26"/>
  <c r="AY53" i="26"/>
  <c r="AY54" i="26"/>
  <c r="AV6" i="26"/>
  <c r="AV7" i="26"/>
  <c r="AV9" i="26"/>
  <c r="AV10" i="26"/>
  <c r="AV11" i="26"/>
  <c r="AV12" i="26"/>
  <c r="AV13" i="26"/>
  <c r="AV14" i="26"/>
  <c r="AV15" i="26"/>
  <c r="AV17" i="26"/>
  <c r="AV18" i="26"/>
  <c r="AV19" i="26"/>
  <c r="AV20" i="26"/>
  <c r="AV21" i="26"/>
  <c r="AV22" i="26"/>
  <c r="AV23" i="26"/>
  <c r="AV24" i="26"/>
  <c r="AV25" i="26"/>
  <c r="AV26" i="26"/>
  <c r="AV27" i="26"/>
  <c r="AV28" i="26"/>
  <c r="AV29" i="26"/>
  <c r="AV30" i="26"/>
  <c r="AV31" i="26"/>
  <c r="AV32" i="26"/>
  <c r="AV33" i="26"/>
  <c r="AV34" i="26"/>
  <c r="AV35" i="26"/>
  <c r="AV36" i="26"/>
  <c r="AV37" i="26"/>
  <c r="AV38" i="26"/>
  <c r="AV39" i="26"/>
  <c r="AV40" i="26"/>
  <c r="AV41" i="26"/>
  <c r="AV42" i="26"/>
  <c r="AV43" i="26"/>
  <c r="AV44" i="26"/>
  <c r="AV45" i="26"/>
  <c r="AV46" i="26"/>
  <c r="AV47" i="26"/>
  <c r="AV48" i="26"/>
  <c r="AV49" i="26"/>
  <c r="AV50" i="26"/>
  <c r="AV51" i="26"/>
  <c r="AV52" i="26"/>
  <c r="AV53" i="26"/>
  <c r="AV54" i="26"/>
  <c r="AP17" i="26"/>
  <c r="AP18" i="26"/>
  <c r="AP19" i="26"/>
  <c r="AP20" i="26"/>
  <c r="AP21" i="26"/>
  <c r="AP22" i="26"/>
  <c r="AP23" i="26"/>
  <c r="AP24" i="26"/>
  <c r="AP25" i="26"/>
  <c r="AP26" i="26"/>
  <c r="AP27" i="26"/>
  <c r="AP28" i="26"/>
  <c r="AP29" i="26"/>
  <c r="AP30" i="26"/>
  <c r="AP31" i="26"/>
  <c r="AP32" i="26"/>
  <c r="AP33" i="26"/>
  <c r="AP34" i="26"/>
  <c r="AP35" i="26"/>
  <c r="AP36" i="26"/>
  <c r="AP37" i="26"/>
  <c r="AP38" i="26"/>
  <c r="AP39" i="26"/>
  <c r="AP40" i="26"/>
  <c r="AP41" i="26"/>
  <c r="AP42" i="26"/>
  <c r="AP43" i="26"/>
  <c r="AP44" i="26"/>
  <c r="AP45" i="26"/>
  <c r="AP46" i="26"/>
  <c r="AP47" i="26"/>
  <c r="AP48" i="26"/>
  <c r="AP49" i="26"/>
  <c r="AP50" i="26"/>
  <c r="AP51" i="26"/>
  <c r="AP52" i="26"/>
  <c r="AP53" i="26"/>
  <c r="AP54" i="26"/>
  <c r="AS6" i="26"/>
  <c r="AS7" i="26"/>
  <c r="AS9" i="26"/>
  <c r="AS10" i="26"/>
  <c r="AS11" i="26"/>
  <c r="AS12" i="26"/>
  <c r="AS13" i="26"/>
  <c r="AS14" i="26"/>
  <c r="AS15" i="26"/>
  <c r="AS17" i="26"/>
  <c r="AS18" i="26"/>
  <c r="AS19" i="26"/>
  <c r="AS20" i="26"/>
  <c r="AS21" i="26"/>
  <c r="AS22" i="26"/>
  <c r="AS23" i="26"/>
  <c r="AS24" i="26"/>
  <c r="AS25" i="26"/>
  <c r="AS26" i="26"/>
  <c r="AS27" i="26"/>
  <c r="AS28" i="26"/>
  <c r="AS29" i="26"/>
  <c r="AS30" i="26"/>
  <c r="AS31" i="26"/>
  <c r="AS32" i="26"/>
  <c r="AS33" i="26"/>
  <c r="AS34" i="26"/>
  <c r="AS35" i="26"/>
  <c r="AS36" i="26"/>
  <c r="AS37" i="26"/>
  <c r="AS38" i="26"/>
  <c r="AS39" i="26"/>
  <c r="AS40" i="26"/>
  <c r="AS41" i="26"/>
  <c r="AS42" i="26"/>
  <c r="AS43" i="26"/>
  <c r="AS44" i="26"/>
  <c r="AS45" i="26"/>
  <c r="AS46" i="26"/>
  <c r="AS47" i="26"/>
  <c r="AS48" i="26"/>
  <c r="AS49" i="26"/>
  <c r="AS50" i="26"/>
  <c r="AS51" i="26"/>
  <c r="AS52" i="26"/>
  <c r="AS53" i="26"/>
  <c r="AS54" i="26"/>
  <c r="H134" i="36"/>
  <c r="G134" i="36"/>
  <c r="F134" i="36"/>
  <c r="H133" i="36"/>
  <c r="G133" i="36"/>
  <c r="F133" i="36"/>
  <c r="H132" i="36"/>
  <c r="G132" i="36"/>
  <c r="F132" i="36"/>
  <c r="H131" i="36"/>
  <c r="G131" i="36"/>
  <c r="F131" i="36"/>
  <c r="H130" i="36"/>
  <c r="G130" i="36"/>
  <c r="F130" i="36"/>
  <c r="H129" i="36"/>
  <c r="G129" i="36"/>
  <c r="F129" i="36"/>
  <c r="H128" i="36"/>
  <c r="G128" i="36"/>
  <c r="F128" i="36"/>
  <c r="H127" i="36"/>
  <c r="G127" i="36"/>
  <c r="F127" i="36"/>
  <c r="H126" i="36"/>
  <c r="G126" i="36"/>
  <c r="F126" i="36"/>
  <c r="H125" i="36"/>
  <c r="G125" i="36"/>
  <c r="F125" i="36"/>
  <c r="H124" i="36"/>
  <c r="G124" i="36"/>
  <c r="F124" i="36"/>
  <c r="H123" i="36"/>
  <c r="G123" i="36"/>
  <c r="F123" i="36"/>
  <c r="H122" i="36"/>
  <c r="G122" i="36"/>
  <c r="F122" i="36"/>
  <c r="H134" i="35"/>
  <c r="G134" i="35"/>
  <c r="F134" i="35"/>
  <c r="H133" i="35"/>
  <c r="G133" i="35"/>
  <c r="F133" i="35"/>
  <c r="H132" i="35"/>
  <c r="G132" i="35"/>
  <c r="F132" i="35"/>
  <c r="H131" i="35"/>
  <c r="G131" i="35"/>
  <c r="F131" i="35"/>
  <c r="H130" i="35"/>
  <c r="G130" i="35"/>
  <c r="F130" i="35"/>
  <c r="H129" i="35"/>
  <c r="G129" i="35"/>
  <c r="F129" i="35"/>
  <c r="H128" i="35"/>
  <c r="G128" i="35"/>
  <c r="F128" i="35"/>
  <c r="H127" i="35"/>
  <c r="G127" i="35"/>
  <c r="F127" i="35"/>
  <c r="H126" i="35"/>
  <c r="G126" i="35"/>
  <c r="F126" i="35"/>
  <c r="H125" i="35"/>
  <c r="G125" i="35"/>
  <c r="F125" i="35"/>
  <c r="H124" i="35"/>
  <c r="G124" i="35"/>
  <c r="F124" i="35"/>
  <c r="H123" i="35"/>
  <c r="G123" i="35"/>
  <c r="F123" i="35"/>
  <c r="H122" i="35"/>
  <c r="G122" i="35"/>
  <c r="F122" i="35"/>
  <c r="H134" i="34"/>
  <c r="G134" i="34"/>
  <c r="F134" i="34"/>
  <c r="H133" i="34"/>
  <c r="G133" i="34"/>
  <c r="F133" i="34"/>
  <c r="H132" i="34"/>
  <c r="G132" i="34"/>
  <c r="F132" i="34"/>
  <c r="H131" i="34"/>
  <c r="G131" i="34"/>
  <c r="F131" i="34"/>
  <c r="H130" i="34"/>
  <c r="G130" i="34"/>
  <c r="F130" i="34"/>
  <c r="H129" i="34"/>
  <c r="G129" i="34"/>
  <c r="F129" i="34"/>
  <c r="H128" i="34"/>
  <c r="G128" i="34"/>
  <c r="F128" i="34"/>
  <c r="H127" i="34"/>
  <c r="G127" i="34"/>
  <c r="F127" i="34"/>
  <c r="H126" i="34"/>
  <c r="G126" i="34"/>
  <c r="F126" i="34"/>
  <c r="H125" i="34"/>
  <c r="G125" i="34"/>
  <c r="F125" i="34"/>
  <c r="H124" i="34"/>
  <c r="G124" i="34"/>
  <c r="F124" i="34"/>
  <c r="H123" i="34"/>
  <c r="G123" i="34"/>
  <c r="F123" i="34"/>
  <c r="H122" i="34"/>
  <c r="G122" i="34"/>
  <c r="F122" i="34"/>
  <c r="H134" i="33"/>
  <c r="G134" i="33"/>
  <c r="F134" i="33"/>
  <c r="H133" i="33"/>
  <c r="G133" i="33"/>
  <c r="F133" i="33"/>
  <c r="H132" i="33"/>
  <c r="G132" i="33"/>
  <c r="F132" i="33"/>
  <c r="H131" i="33"/>
  <c r="G131" i="33"/>
  <c r="F131" i="33"/>
  <c r="H130" i="33"/>
  <c r="G130" i="33"/>
  <c r="F130" i="33"/>
  <c r="H129" i="33"/>
  <c r="G129" i="33"/>
  <c r="F129" i="33"/>
  <c r="H128" i="33"/>
  <c r="G128" i="33"/>
  <c r="F128" i="33"/>
  <c r="H127" i="33"/>
  <c r="G127" i="33"/>
  <c r="F127" i="33"/>
  <c r="H126" i="33"/>
  <c r="G126" i="33"/>
  <c r="F126" i="33"/>
  <c r="H125" i="33"/>
  <c r="G125" i="33"/>
  <c r="F125" i="33"/>
  <c r="H124" i="33"/>
  <c r="G124" i="33"/>
  <c r="F124" i="33"/>
  <c r="H123" i="33"/>
  <c r="G123" i="33"/>
  <c r="F123" i="33"/>
  <c r="H122" i="33"/>
  <c r="G122" i="33"/>
  <c r="F122" i="33"/>
  <c r="H134" i="24"/>
  <c r="G134" i="24"/>
  <c r="F134" i="24"/>
  <c r="H133" i="24"/>
  <c r="G133" i="24"/>
  <c r="F133" i="24"/>
  <c r="H132" i="24"/>
  <c r="G132" i="24"/>
  <c r="F132" i="24"/>
  <c r="H131" i="24"/>
  <c r="G131" i="24"/>
  <c r="F131" i="24"/>
  <c r="H130" i="24"/>
  <c r="G130" i="24"/>
  <c r="F130" i="24"/>
  <c r="H129" i="24"/>
  <c r="G129" i="24"/>
  <c r="F129" i="24"/>
  <c r="H128" i="24"/>
  <c r="G128" i="24"/>
  <c r="F128" i="24"/>
  <c r="H127" i="24"/>
  <c r="G127" i="24"/>
  <c r="F127" i="24"/>
  <c r="H126" i="24"/>
  <c r="G126" i="24"/>
  <c r="F126" i="24"/>
  <c r="H125" i="24"/>
  <c r="G125" i="24"/>
  <c r="F125" i="24"/>
  <c r="H124" i="24"/>
  <c r="G124" i="24"/>
  <c r="F124" i="24"/>
  <c r="H123" i="24"/>
  <c r="G123" i="24"/>
  <c r="F123" i="24"/>
  <c r="H122" i="24"/>
  <c r="G122" i="24"/>
  <c r="F122" i="24"/>
  <c r="H134" i="27"/>
  <c r="G134" i="27"/>
  <c r="F134" i="27"/>
  <c r="H133" i="27"/>
  <c r="G133" i="27"/>
  <c r="F133" i="27"/>
  <c r="H132" i="27"/>
  <c r="G132" i="27"/>
  <c r="F132" i="27"/>
  <c r="H131" i="27"/>
  <c r="G131" i="27"/>
  <c r="F131" i="27"/>
  <c r="H130" i="27"/>
  <c r="G130" i="27"/>
  <c r="F130" i="27"/>
  <c r="H129" i="27"/>
  <c r="G129" i="27"/>
  <c r="F129" i="27"/>
  <c r="H128" i="27"/>
  <c r="G128" i="27"/>
  <c r="F128" i="27"/>
  <c r="H127" i="27"/>
  <c r="G127" i="27"/>
  <c r="F127" i="27"/>
  <c r="H126" i="27"/>
  <c r="G126" i="27"/>
  <c r="F126" i="27"/>
  <c r="H125" i="27"/>
  <c r="G125" i="27"/>
  <c r="F125" i="27"/>
  <c r="H124" i="27"/>
  <c r="G124" i="27"/>
  <c r="F124" i="27"/>
  <c r="H123" i="27"/>
  <c r="G123" i="27"/>
  <c r="F123" i="27"/>
  <c r="H122" i="27"/>
  <c r="G122" i="27"/>
  <c r="F122" i="27"/>
  <c r="H134" i="39"/>
  <c r="G134" i="39"/>
  <c r="F134" i="39"/>
  <c r="H133" i="39"/>
  <c r="G133" i="39"/>
  <c r="F133" i="39"/>
  <c r="H132" i="39"/>
  <c r="G132" i="39"/>
  <c r="F132" i="39"/>
  <c r="H131" i="39"/>
  <c r="G131" i="39"/>
  <c r="F131" i="39"/>
  <c r="H130" i="39"/>
  <c r="G130" i="39"/>
  <c r="F130" i="39"/>
  <c r="H129" i="39"/>
  <c r="G129" i="39"/>
  <c r="F129" i="39"/>
  <c r="H128" i="39"/>
  <c r="G128" i="39"/>
  <c r="F128" i="39"/>
  <c r="H127" i="39"/>
  <c r="G127" i="39"/>
  <c r="F127" i="39"/>
  <c r="H126" i="39"/>
  <c r="G126" i="39"/>
  <c r="F126" i="39"/>
  <c r="H125" i="39"/>
  <c r="G125" i="39"/>
  <c r="F125" i="39"/>
  <c r="H124" i="39"/>
  <c r="G124" i="39"/>
  <c r="F124" i="39"/>
  <c r="H123" i="39"/>
  <c r="G123" i="39"/>
  <c r="F123" i="39"/>
  <c r="H122" i="39"/>
  <c r="G122" i="39"/>
  <c r="F122" i="39"/>
  <c r="H134" i="38"/>
  <c r="G134" i="38"/>
  <c r="F134" i="38"/>
  <c r="H133" i="38"/>
  <c r="G133" i="38"/>
  <c r="F133" i="38"/>
  <c r="H132" i="38"/>
  <c r="G132" i="38"/>
  <c r="F132" i="38"/>
  <c r="H131" i="38"/>
  <c r="G131" i="38"/>
  <c r="F131" i="38"/>
  <c r="H130" i="38"/>
  <c r="G130" i="38"/>
  <c r="F130" i="38"/>
  <c r="H129" i="38"/>
  <c r="G129" i="38"/>
  <c r="F129" i="38"/>
  <c r="H128" i="38"/>
  <c r="G128" i="38"/>
  <c r="F128" i="38"/>
  <c r="H127" i="38"/>
  <c r="G127" i="38"/>
  <c r="F127" i="38"/>
  <c r="H126" i="38"/>
  <c r="G126" i="38"/>
  <c r="F126" i="38"/>
  <c r="H125" i="38"/>
  <c r="G125" i="38"/>
  <c r="F125" i="38"/>
  <c r="H124" i="38"/>
  <c r="G124" i="38"/>
  <c r="F124" i="38"/>
  <c r="H123" i="38"/>
  <c r="G123" i="38"/>
  <c r="F123" i="38"/>
  <c r="H122" i="38"/>
  <c r="G122" i="38"/>
  <c r="F122" i="38"/>
  <c r="H134" i="37"/>
  <c r="G134" i="37"/>
  <c r="F134" i="37"/>
  <c r="H133" i="37"/>
  <c r="G133" i="37"/>
  <c r="F133" i="37"/>
  <c r="H132" i="37"/>
  <c r="G132" i="37"/>
  <c r="F132" i="37"/>
  <c r="H131" i="37"/>
  <c r="G131" i="37"/>
  <c r="F131" i="37"/>
  <c r="H130" i="37"/>
  <c r="G130" i="37"/>
  <c r="F130" i="37"/>
  <c r="H129" i="37"/>
  <c r="G129" i="37"/>
  <c r="F129" i="37"/>
  <c r="H128" i="37"/>
  <c r="G128" i="37"/>
  <c r="F128" i="37"/>
  <c r="H127" i="37"/>
  <c r="G127" i="37"/>
  <c r="F127" i="37"/>
  <c r="H126" i="37"/>
  <c r="G126" i="37"/>
  <c r="F126" i="37"/>
  <c r="H125" i="37"/>
  <c r="G125" i="37"/>
  <c r="F125" i="37"/>
  <c r="H124" i="37"/>
  <c r="G124" i="37"/>
  <c r="F124" i="37"/>
  <c r="H123" i="37"/>
  <c r="G123" i="37"/>
  <c r="F123" i="37"/>
  <c r="H122" i="37"/>
  <c r="G122" i="37"/>
  <c r="F122" i="37"/>
  <c r="H134" i="30"/>
  <c r="G134" i="30"/>
  <c r="F134" i="30"/>
  <c r="H133" i="30"/>
  <c r="G133" i="30"/>
  <c r="F133" i="30"/>
  <c r="H132" i="30"/>
  <c r="G132" i="30"/>
  <c r="F132" i="30"/>
  <c r="H131" i="30"/>
  <c r="G131" i="30"/>
  <c r="F131" i="30"/>
  <c r="H130" i="30"/>
  <c r="G130" i="30"/>
  <c r="F130" i="30"/>
  <c r="H129" i="30"/>
  <c r="G129" i="30"/>
  <c r="F129" i="30"/>
  <c r="H128" i="30"/>
  <c r="G128" i="30"/>
  <c r="F128" i="30"/>
  <c r="H127" i="30"/>
  <c r="G127" i="30"/>
  <c r="F127" i="30"/>
  <c r="H126" i="30"/>
  <c r="G126" i="30"/>
  <c r="F126" i="30"/>
  <c r="H125" i="30"/>
  <c r="G125" i="30"/>
  <c r="F125" i="30"/>
  <c r="H124" i="30"/>
  <c r="G124" i="30"/>
  <c r="F124" i="30"/>
  <c r="H123" i="30"/>
  <c r="G123" i="30"/>
  <c r="F123" i="30"/>
  <c r="H122" i="30"/>
  <c r="G122" i="30"/>
  <c r="F122" i="30"/>
  <c r="K71" i="50" l="1"/>
  <c r="K72" i="50"/>
  <c r="Y12" i="50"/>
  <c r="R12" i="50"/>
  <c r="AO31" i="47"/>
  <c r="L27" i="47"/>
  <c r="T27" i="47" s="1"/>
  <c r="M26" i="49"/>
  <c r="U26" i="49" s="1"/>
  <c r="Y26" i="49" s="1"/>
  <c r="Y31" i="49" s="1"/>
  <c r="O26" i="49"/>
  <c r="W26" i="49" s="1"/>
  <c r="W31" i="49" s="1"/>
  <c r="AQ27" i="47"/>
  <c r="L26" i="49"/>
  <c r="T26" i="49" s="1"/>
  <c r="T31" i="49" s="1"/>
  <c r="M27" i="47"/>
  <c r="U27" i="47" s="1"/>
  <c r="Y27" i="47" s="1"/>
  <c r="P26" i="49"/>
  <c r="X26" i="49" s="1"/>
  <c r="X31" i="49" s="1"/>
  <c r="N26" i="49"/>
  <c r="V26" i="49" s="1"/>
  <c r="V31" i="49" s="1"/>
  <c r="AZ27" i="47"/>
  <c r="BD27" i="47"/>
  <c r="N27" i="47"/>
  <c r="V27" i="47" s="1"/>
  <c r="P27" i="47"/>
  <c r="X27" i="47" s="1"/>
  <c r="BB27" i="47"/>
  <c r="BG27" i="47"/>
  <c r="O27" i="47"/>
  <c r="W27" i="47" s="1"/>
  <c r="D42" i="49"/>
  <c r="D51" i="49" s="1"/>
  <c r="AY27" i="47"/>
  <c r="AW27" i="47"/>
  <c r="AV27" i="47"/>
  <c r="AT27" i="47"/>
  <c r="AS27" i="47"/>
  <c r="AR27" i="47"/>
  <c r="AX27" i="47"/>
  <c r="AU27" i="47"/>
  <c r="BE26" i="49"/>
  <c r="BE31" i="49" s="1"/>
  <c r="BD26" i="49"/>
  <c r="BD31" i="49" s="1"/>
  <c r="BF26" i="49"/>
  <c r="BF31" i="49" s="1"/>
  <c r="K71" i="49"/>
  <c r="K72" i="49"/>
  <c r="BB26" i="49"/>
  <c r="BB31" i="49" s="1"/>
  <c r="BA26" i="49"/>
  <c r="BA31" i="49" s="1"/>
  <c r="BC26" i="49"/>
  <c r="BC31" i="49" s="1"/>
  <c r="AQ26" i="49"/>
  <c r="AQ31" i="49" s="1"/>
  <c r="AS26" i="49"/>
  <c r="AS31" i="49" s="1"/>
  <c r="AT26" i="49"/>
  <c r="AT31" i="49" s="1"/>
  <c r="AR26" i="49"/>
  <c r="AR31" i="49" s="1"/>
  <c r="BG26" i="49"/>
  <c r="BG31" i="49" s="1"/>
  <c r="BH26" i="49"/>
  <c r="BH31" i="49" s="1"/>
  <c r="AX26" i="49"/>
  <c r="AX31" i="49" s="1"/>
  <c r="AU26" i="49"/>
  <c r="AU31" i="49" s="1"/>
  <c r="AY26" i="49"/>
  <c r="AY31" i="49" s="1"/>
  <c r="AZ26" i="49"/>
  <c r="AZ31" i="49" s="1"/>
  <c r="AW26" i="49"/>
  <c r="AW31" i="49" s="1"/>
  <c r="AV26" i="49"/>
  <c r="AV31" i="49" s="1"/>
  <c r="BA27" i="47"/>
  <c r="Y12" i="49"/>
  <c r="R12" i="49"/>
  <c r="BF27" i="47"/>
  <c r="Y12" i="48"/>
  <c r="BE27" i="47"/>
  <c r="D42" i="48"/>
  <c r="D51" i="48" s="1"/>
  <c r="R12" i="48"/>
  <c r="BC27" i="47"/>
  <c r="K71" i="48"/>
  <c r="K72" i="48"/>
  <c r="E185" i="47"/>
  <c r="F181" i="47"/>
  <c r="F185" i="47" s="1"/>
  <c r="BO87" i="47"/>
  <c r="K72" i="47"/>
  <c r="D42" i="47"/>
  <c r="D51" i="47" s="1"/>
  <c r="K146" i="47"/>
  <c r="BH45" i="26"/>
  <c r="BH29" i="26"/>
  <c r="BH44" i="26"/>
  <c r="BH28" i="26"/>
  <c r="BH54" i="26"/>
  <c r="BH38" i="26"/>
  <c r="BH30" i="26"/>
  <c r="BH42" i="26"/>
  <c r="BH26" i="26"/>
  <c r="BH53" i="26"/>
  <c r="BH37" i="26"/>
  <c r="BH21" i="26"/>
  <c r="BH39" i="26"/>
  <c r="BH23" i="26"/>
  <c r="BH41" i="26"/>
  <c r="BH25" i="26"/>
  <c r="BH24" i="26"/>
  <c r="BH43" i="26"/>
  <c r="BH40" i="26"/>
  <c r="BH22" i="26"/>
  <c r="BH20" i="26"/>
  <c r="BH46" i="26"/>
  <c r="BH27" i="26"/>
  <c r="BH19" i="26"/>
  <c r="BH52" i="26"/>
  <c r="BH36" i="26"/>
  <c r="BH51" i="26"/>
  <c r="BH35" i="26"/>
  <c r="BH50" i="26"/>
  <c r="BH34" i="26"/>
  <c r="BH18" i="26"/>
  <c r="BH17" i="26"/>
  <c r="BH48" i="26"/>
  <c r="BH49" i="26"/>
  <c r="BH33" i="26"/>
  <c r="BH32" i="26"/>
  <c r="BH47" i="26"/>
  <c r="BH31" i="26"/>
  <c r="D204" i="33"/>
  <c r="D202" i="33"/>
  <c r="I49" i="30"/>
  <c r="G49" i="30"/>
  <c r="F49" i="30"/>
  <c r="E49" i="30"/>
  <c r="I48" i="30"/>
  <c r="G48" i="30"/>
  <c r="F48" i="30"/>
  <c r="E48" i="30"/>
  <c r="I47" i="30"/>
  <c r="G47" i="30"/>
  <c r="F47" i="30"/>
  <c r="E47" i="30"/>
  <c r="I46" i="30"/>
  <c r="G46" i="30"/>
  <c r="F46" i="30"/>
  <c r="E46" i="30"/>
  <c r="I45" i="30"/>
  <c r="H45" i="30"/>
  <c r="G45" i="30"/>
  <c r="F45" i="30"/>
  <c r="E45" i="30"/>
  <c r="D45" i="30"/>
  <c r="I49" i="38"/>
  <c r="G49" i="38"/>
  <c r="F49" i="38"/>
  <c r="E49" i="38"/>
  <c r="I48" i="38"/>
  <c r="G48" i="38"/>
  <c r="F48" i="38"/>
  <c r="E48" i="38"/>
  <c r="I47" i="38"/>
  <c r="G47" i="38"/>
  <c r="F47" i="38"/>
  <c r="E47" i="38"/>
  <c r="I46" i="38"/>
  <c r="G46" i="38"/>
  <c r="F46" i="38"/>
  <c r="E46" i="38"/>
  <c r="I45" i="38"/>
  <c r="H45" i="38"/>
  <c r="G45" i="38"/>
  <c r="F45" i="38"/>
  <c r="E45" i="38"/>
  <c r="D45" i="38"/>
  <c r="I49" i="39"/>
  <c r="G49" i="39"/>
  <c r="F49" i="39"/>
  <c r="E49" i="39"/>
  <c r="I48" i="39"/>
  <c r="G48" i="39"/>
  <c r="F48" i="39"/>
  <c r="E48" i="39"/>
  <c r="I47" i="39"/>
  <c r="G47" i="39"/>
  <c r="F47" i="39"/>
  <c r="E47" i="39"/>
  <c r="I46" i="39"/>
  <c r="G46" i="39"/>
  <c r="F46" i="39"/>
  <c r="E46" i="39"/>
  <c r="I45" i="39"/>
  <c r="H45" i="39"/>
  <c r="G45" i="39"/>
  <c r="F45" i="39"/>
  <c r="E45" i="39"/>
  <c r="D45" i="39"/>
  <c r="I49" i="33"/>
  <c r="G49" i="33"/>
  <c r="F49" i="33"/>
  <c r="E49" i="33"/>
  <c r="I48" i="33"/>
  <c r="G48" i="33"/>
  <c r="F48" i="33"/>
  <c r="E48" i="33"/>
  <c r="I47" i="33"/>
  <c r="G47" i="33"/>
  <c r="F47" i="33"/>
  <c r="E47" i="33"/>
  <c r="I46" i="33"/>
  <c r="G46" i="33"/>
  <c r="F46" i="33"/>
  <c r="E46" i="33"/>
  <c r="I45" i="33"/>
  <c r="H45" i="33"/>
  <c r="G45" i="33"/>
  <c r="F45" i="33"/>
  <c r="E45" i="33"/>
  <c r="D45" i="33"/>
  <c r="I49" i="34"/>
  <c r="G49" i="34"/>
  <c r="F49" i="34"/>
  <c r="E49" i="34"/>
  <c r="I48" i="34"/>
  <c r="G48" i="34"/>
  <c r="F48" i="34"/>
  <c r="E48" i="34"/>
  <c r="I47" i="34"/>
  <c r="G47" i="34"/>
  <c r="F47" i="34"/>
  <c r="E47" i="34"/>
  <c r="I46" i="34"/>
  <c r="G46" i="34"/>
  <c r="F46" i="34"/>
  <c r="E46" i="34"/>
  <c r="I45" i="34"/>
  <c r="H45" i="34"/>
  <c r="G45" i="34"/>
  <c r="F45" i="34"/>
  <c r="E45" i="34"/>
  <c r="D45" i="34"/>
  <c r="I49" i="35"/>
  <c r="G49" i="35"/>
  <c r="F49" i="35"/>
  <c r="E49" i="35"/>
  <c r="I48" i="35"/>
  <c r="G48" i="35"/>
  <c r="F48" i="35"/>
  <c r="E48" i="35"/>
  <c r="I47" i="35"/>
  <c r="G47" i="35"/>
  <c r="F47" i="35"/>
  <c r="E47" i="35"/>
  <c r="I46" i="35"/>
  <c r="G46" i="35"/>
  <c r="F46" i="35"/>
  <c r="E46" i="35"/>
  <c r="I45" i="35"/>
  <c r="H45" i="35"/>
  <c r="G45" i="35"/>
  <c r="F45" i="35"/>
  <c r="E45" i="35"/>
  <c r="D45" i="35"/>
  <c r="I45" i="36"/>
  <c r="D45" i="36"/>
  <c r="I49" i="36"/>
  <c r="G49" i="36"/>
  <c r="F49" i="36"/>
  <c r="E49" i="36"/>
  <c r="I48" i="36"/>
  <c r="G48" i="36"/>
  <c r="F48" i="36"/>
  <c r="E48" i="36"/>
  <c r="I47" i="36"/>
  <c r="G47" i="36"/>
  <c r="F47" i="36"/>
  <c r="E47" i="36"/>
  <c r="I46" i="36"/>
  <c r="G46" i="36"/>
  <c r="F46" i="36"/>
  <c r="E46" i="36"/>
  <c r="H45" i="36"/>
  <c r="G45" i="36"/>
  <c r="F45" i="36"/>
  <c r="E45" i="36"/>
  <c r="K68" i="50" l="1"/>
  <c r="U31" i="49"/>
  <c r="K68" i="49"/>
  <c r="K68" i="48"/>
  <c r="I49" i="37"/>
  <c r="G49" i="37"/>
  <c r="F49" i="37"/>
  <c r="E49" i="37"/>
  <c r="I48" i="37"/>
  <c r="G48" i="37"/>
  <c r="F48" i="37"/>
  <c r="E48" i="37"/>
  <c r="I47" i="37"/>
  <c r="G47" i="37"/>
  <c r="F47" i="37"/>
  <c r="E47" i="37"/>
  <c r="I46" i="37"/>
  <c r="G46" i="37"/>
  <c r="F46" i="37"/>
  <c r="E46" i="37"/>
  <c r="H45" i="37"/>
  <c r="I49" i="27"/>
  <c r="G49" i="27"/>
  <c r="F49" i="27"/>
  <c r="E49" i="27"/>
  <c r="I48" i="27"/>
  <c r="G48" i="27"/>
  <c r="F48" i="27"/>
  <c r="E48" i="27"/>
  <c r="I47" i="27"/>
  <c r="G47" i="27"/>
  <c r="F47" i="27"/>
  <c r="E47" i="27"/>
  <c r="I46" i="27"/>
  <c r="G46" i="27"/>
  <c r="F46" i="27"/>
  <c r="E46" i="27"/>
  <c r="H45" i="27"/>
  <c r="I49" i="24"/>
  <c r="G49" i="24"/>
  <c r="F49" i="24"/>
  <c r="E49" i="24"/>
  <c r="I48" i="24"/>
  <c r="G48" i="24"/>
  <c r="F48" i="24"/>
  <c r="E48" i="24"/>
  <c r="I47" i="24"/>
  <c r="G47" i="24"/>
  <c r="F47" i="24"/>
  <c r="E47" i="24"/>
  <c r="I46" i="24"/>
  <c r="G46" i="24"/>
  <c r="F46" i="24"/>
  <c r="E46" i="24"/>
  <c r="H45" i="24"/>
  <c r="C137" i="36" l="1"/>
  <c r="E167" i="30" l="1"/>
  <c r="E166" i="30"/>
  <c r="E165" i="30"/>
  <c r="E164" i="30"/>
  <c r="E163" i="30"/>
  <c r="E162" i="30"/>
  <c r="E167" i="37"/>
  <c r="E166" i="37"/>
  <c r="E165" i="37"/>
  <c r="E164" i="37"/>
  <c r="E163" i="37"/>
  <c r="E162" i="37"/>
  <c r="E167" i="38"/>
  <c r="E166" i="38"/>
  <c r="E165" i="38"/>
  <c r="E164" i="38"/>
  <c r="E163" i="38"/>
  <c r="E162" i="38"/>
  <c r="E167" i="39"/>
  <c r="E166" i="39"/>
  <c r="E165" i="39"/>
  <c r="E164" i="39"/>
  <c r="E163" i="39"/>
  <c r="E162" i="39"/>
  <c r="E167" i="27"/>
  <c r="E166" i="27"/>
  <c r="E165" i="27"/>
  <c r="E164" i="27"/>
  <c r="E163" i="27"/>
  <c r="E162" i="27"/>
  <c r="E167" i="24"/>
  <c r="E166" i="24"/>
  <c r="E165" i="24"/>
  <c r="E164" i="24"/>
  <c r="E163" i="24"/>
  <c r="E162" i="24"/>
  <c r="E167" i="33"/>
  <c r="E166" i="33"/>
  <c r="E165" i="33"/>
  <c r="E164" i="33"/>
  <c r="E163" i="33"/>
  <c r="E162" i="33"/>
  <c r="E167" i="34"/>
  <c r="E166" i="34"/>
  <c r="E165" i="34"/>
  <c r="E164" i="34"/>
  <c r="E163" i="34"/>
  <c r="E162" i="34"/>
  <c r="E167" i="35"/>
  <c r="E166" i="35"/>
  <c r="E165" i="35"/>
  <c r="E164" i="35"/>
  <c r="E163" i="35"/>
  <c r="E162" i="35"/>
  <c r="E167" i="36"/>
  <c r="E166" i="36"/>
  <c r="E165" i="36"/>
  <c r="E164" i="36"/>
  <c r="E163" i="36"/>
  <c r="E162" i="36"/>
  <c r="E117" i="30"/>
  <c r="E116" i="30"/>
  <c r="E115" i="30"/>
  <c r="E114" i="30"/>
  <c r="E113" i="30"/>
  <c r="E112" i="30"/>
  <c r="E111" i="30"/>
  <c r="E110" i="30"/>
  <c r="E109" i="30"/>
  <c r="E117" i="37"/>
  <c r="E116" i="37"/>
  <c r="E115" i="37"/>
  <c r="E117" i="38"/>
  <c r="E116" i="38"/>
  <c r="E115" i="38"/>
  <c r="E114" i="38"/>
  <c r="E113" i="38"/>
  <c r="E112" i="38"/>
  <c r="E117" i="39"/>
  <c r="E116" i="39"/>
  <c r="E115" i="39"/>
  <c r="E114" i="39"/>
  <c r="E113" i="39"/>
  <c r="E112" i="39"/>
  <c r="E117" i="27"/>
  <c r="E116" i="27"/>
  <c r="E115" i="27"/>
  <c r="E114" i="27"/>
  <c r="E113" i="27"/>
  <c r="E112" i="27"/>
  <c r="E117" i="24"/>
  <c r="E116" i="24"/>
  <c r="E115" i="24"/>
  <c r="E114" i="24"/>
  <c r="E113" i="24"/>
  <c r="E112" i="24"/>
  <c r="E117" i="33"/>
  <c r="E116" i="33"/>
  <c r="E115" i="33"/>
  <c r="E114" i="33"/>
  <c r="E113" i="33"/>
  <c r="E112" i="33"/>
  <c r="E117" i="34"/>
  <c r="E116" i="34"/>
  <c r="E115" i="34"/>
  <c r="E117" i="36"/>
  <c r="E116" i="36"/>
  <c r="E115" i="36"/>
  <c r="E114" i="36"/>
  <c r="E113" i="36"/>
  <c r="E112" i="36"/>
  <c r="E111" i="36"/>
  <c r="E110" i="36"/>
  <c r="E109" i="36"/>
  <c r="E110" i="35"/>
  <c r="E111" i="35"/>
  <c r="E112" i="35"/>
  <c r="E113" i="35"/>
  <c r="E114" i="35"/>
  <c r="E115" i="35"/>
  <c r="E116" i="35"/>
  <c r="E117" i="35"/>
  <c r="E109" i="35"/>
  <c r="Y17" i="30" l="1"/>
  <c r="X17" i="30"/>
  <c r="W17" i="30"/>
  <c r="V17" i="30"/>
  <c r="U17" i="30"/>
  <c r="T17" i="30"/>
  <c r="R17" i="30"/>
  <c r="Y18" i="37"/>
  <c r="X18" i="37"/>
  <c r="W18" i="37"/>
  <c r="V18" i="37"/>
  <c r="U18" i="37"/>
  <c r="T18" i="37"/>
  <c r="R18" i="37"/>
  <c r="Y17" i="37"/>
  <c r="X17" i="37"/>
  <c r="W17" i="37"/>
  <c r="V17" i="37"/>
  <c r="U17" i="37"/>
  <c r="T17" i="37"/>
  <c r="R17" i="37"/>
  <c r="Y18" i="27"/>
  <c r="X18" i="27"/>
  <c r="W18" i="27"/>
  <c r="V18" i="27"/>
  <c r="U18" i="27"/>
  <c r="T18" i="27"/>
  <c r="R18" i="27"/>
  <c r="Y17" i="27"/>
  <c r="X17" i="27"/>
  <c r="W17" i="27"/>
  <c r="V17" i="27"/>
  <c r="U17" i="27"/>
  <c r="T17" i="27"/>
  <c r="R17" i="27"/>
  <c r="R18" i="24"/>
  <c r="Y18" i="24"/>
  <c r="X18" i="24"/>
  <c r="W18" i="24"/>
  <c r="V18" i="24"/>
  <c r="U18" i="24"/>
  <c r="T18" i="24"/>
  <c r="Y17" i="24"/>
  <c r="X17" i="24"/>
  <c r="W17" i="24"/>
  <c r="V17" i="24"/>
  <c r="U17" i="24"/>
  <c r="T17" i="24"/>
  <c r="R17" i="24"/>
  <c r="Y17" i="35"/>
  <c r="X17" i="35"/>
  <c r="W17" i="35"/>
  <c r="V17" i="35"/>
  <c r="U17" i="35"/>
  <c r="T17" i="35"/>
  <c r="R17" i="35"/>
  <c r="Y17" i="36"/>
  <c r="X17" i="36"/>
  <c r="W17" i="36"/>
  <c r="V17" i="36"/>
  <c r="U17" i="36"/>
  <c r="T17" i="36"/>
  <c r="R17" i="36"/>
  <c r="N38" i="33" l="1"/>
  <c r="N38" i="38"/>
  <c r="K43" i="38"/>
  <c r="L43" i="38" s="1"/>
  <c r="M42" i="38"/>
  <c r="N41" i="38"/>
  <c r="K39" i="38"/>
  <c r="L39" i="38" s="1"/>
  <c r="N41" i="33"/>
  <c r="K40" i="39"/>
  <c r="N40" i="35"/>
  <c r="K40" i="35"/>
  <c r="J41" i="35"/>
  <c r="K39" i="36"/>
  <c r="J42" i="36"/>
  <c r="K39" i="34"/>
  <c r="N41" i="37"/>
  <c r="K41" i="37"/>
  <c r="N40" i="27"/>
  <c r="K40" i="27"/>
  <c r="K43" i="33"/>
  <c r="L43" i="33" s="1"/>
  <c r="M42" i="33"/>
  <c r="K39" i="33"/>
  <c r="L39" i="33" s="1"/>
  <c r="G38" i="30" l="1"/>
  <c r="F38" i="30"/>
  <c r="E38" i="30"/>
  <c r="G38" i="37"/>
  <c r="F38" i="37"/>
  <c r="E38" i="37"/>
  <c r="G38" i="39"/>
  <c r="F38" i="39"/>
  <c r="E38" i="39"/>
  <c r="G38" i="27"/>
  <c r="F38" i="27"/>
  <c r="E38" i="27"/>
  <c r="G38" i="24"/>
  <c r="F38" i="24"/>
  <c r="E38" i="24"/>
  <c r="G38" i="34"/>
  <c r="F38" i="34"/>
  <c r="E38" i="34"/>
  <c r="G38" i="35"/>
  <c r="F38" i="35"/>
  <c r="E38" i="35"/>
  <c r="G38" i="36"/>
  <c r="F38" i="36"/>
  <c r="E38" i="36"/>
  <c r="K43" i="37"/>
  <c r="L43" i="37" s="1"/>
  <c r="M42" i="37"/>
  <c r="E37" i="39"/>
  <c r="F37" i="39"/>
  <c r="G37" i="39"/>
  <c r="J43" i="39"/>
  <c r="K43" i="27"/>
  <c r="L43" i="27" s="1"/>
  <c r="M42" i="27"/>
  <c r="K43" i="24"/>
  <c r="L43" i="24" s="1"/>
  <c r="N40" i="24"/>
  <c r="K40" i="24"/>
  <c r="M42" i="24"/>
  <c r="E40" i="33" l="1"/>
  <c r="J42" i="34"/>
  <c r="N40" i="30"/>
  <c r="J42" i="30"/>
  <c r="N39" i="30"/>
  <c r="K39" i="30"/>
  <c r="C241" i="39" l="1"/>
  <c r="B241" i="39"/>
  <c r="D217" i="39"/>
  <c r="D215" i="39"/>
  <c r="D214" i="39"/>
  <c r="C205" i="39"/>
  <c r="C209" i="39" s="1"/>
  <c r="C212" i="39" s="1"/>
  <c r="B205" i="39"/>
  <c r="B209" i="39" s="1"/>
  <c r="B212" i="39" s="1"/>
  <c r="D203" i="39"/>
  <c r="D202" i="39"/>
  <c r="G240" i="39" s="1"/>
  <c r="H240" i="39" s="1"/>
  <c r="B193" i="39"/>
  <c r="D192" i="39"/>
  <c r="C191" i="39"/>
  <c r="C192" i="39" s="1"/>
  <c r="D188" i="39"/>
  <c r="D194" i="39" s="1"/>
  <c r="C188" i="39"/>
  <c r="D168" i="39"/>
  <c r="E156" i="39"/>
  <c r="D156" i="39"/>
  <c r="C156" i="39"/>
  <c r="L149" i="39"/>
  <c r="K149" i="39"/>
  <c r="L148" i="39"/>
  <c r="K148" i="39"/>
  <c r="L147" i="39"/>
  <c r="K147" i="39"/>
  <c r="D143" i="39"/>
  <c r="D142" i="39"/>
  <c r="D141" i="39"/>
  <c r="C137" i="39"/>
  <c r="M134" i="39"/>
  <c r="M133" i="39"/>
  <c r="M132" i="39"/>
  <c r="M131" i="39"/>
  <c r="M130" i="39"/>
  <c r="M129" i="39"/>
  <c r="M128" i="39"/>
  <c r="M127" i="39"/>
  <c r="M126" i="39"/>
  <c r="M125" i="39"/>
  <c r="M124" i="39"/>
  <c r="M123" i="39"/>
  <c r="M122" i="39"/>
  <c r="D118" i="39"/>
  <c r="BO90" i="39" s="1"/>
  <c r="E106" i="39"/>
  <c r="D106" i="39"/>
  <c r="C106" i="39"/>
  <c r="T105" i="39"/>
  <c r="S105" i="39"/>
  <c r="R105" i="39"/>
  <c r="P105" i="39"/>
  <c r="T104" i="39"/>
  <c r="S104" i="39"/>
  <c r="R104" i="39"/>
  <c r="P104" i="39"/>
  <c r="T103" i="39"/>
  <c r="S103" i="39"/>
  <c r="R103" i="39"/>
  <c r="P103" i="39"/>
  <c r="T102" i="39"/>
  <c r="S102" i="39"/>
  <c r="R102" i="39"/>
  <c r="P102" i="39"/>
  <c r="T101" i="39"/>
  <c r="S101" i="39"/>
  <c r="R101" i="39"/>
  <c r="P101" i="39"/>
  <c r="T100" i="39"/>
  <c r="S100" i="39"/>
  <c r="R100" i="39"/>
  <c r="P100" i="39"/>
  <c r="T99" i="39"/>
  <c r="S99" i="39"/>
  <c r="R99" i="39"/>
  <c r="P99" i="39"/>
  <c r="T98" i="39"/>
  <c r="S98" i="39"/>
  <c r="R98" i="39"/>
  <c r="P98" i="39"/>
  <c r="T97" i="39"/>
  <c r="S97" i="39"/>
  <c r="R97" i="39"/>
  <c r="P97" i="39"/>
  <c r="P92" i="39"/>
  <c r="E92" i="39"/>
  <c r="S92" i="39" s="1"/>
  <c r="D92" i="39"/>
  <c r="R92" i="39" s="1"/>
  <c r="BN91" i="39"/>
  <c r="P91" i="39"/>
  <c r="E91" i="39"/>
  <c r="S91" i="39" s="1"/>
  <c r="D91" i="39"/>
  <c r="R91" i="39" s="1"/>
  <c r="BN90" i="39"/>
  <c r="P90" i="39"/>
  <c r="E90" i="39"/>
  <c r="S90" i="39" s="1"/>
  <c r="D90" i="39"/>
  <c r="R90" i="39" s="1"/>
  <c r="BN89" i="39"/>
  <c r="P89" i="39"/>
  <c r="E89" i="39"/>
  <c r="S89" i="39" s="1"/>
  <c r="D89" i="39"/>
  <c r="R89" i="39" s="1"/>
  <c r="BN88" i="39"/>
  <c r="P88" i="39"/>
  <c r="E88" i="39"/>
  <c r="S88" i="39" s="1"/>
  <c r="D88" i="39"/>
  <c r="R88" i="39" s="1"/>
  <c r="BN87" i="39"/>
  <c r="P87" i="39"/>
  <c r="E87" i="39"/>
  <c r="S87" i="39" s="1"/>
  <c r="D87" i="39"/>
  <c r="R87" i="39" s="1"/>
  <c r="BN86" i="39"/>
  <c r="P86" i="39"/>
  <c r="BN85" i="39"/>
  <c r="P85" i="39"/>
  <c r="E85" i="39"/>
  <c r="S85" i="39" s="1"/>
  <c r="D85" i="39"/>
  <c r="R85" i="39" s="1"/>
  <c r="BN84" i="39"/>
  <c r="BL84" i="39"/>
  <c r="BM84" i="39" s="1"/>
  <c r="P84" i="39"/>
  <c r="BN83" i="39"/>
  <c r="BL83" i="39"/>
  <c r="BM83" i="39" s="1"/>
  <c r="BO82" i="39"/>
  <c r="BN82" i="39"/>
  <c r="BO81" i="39"/>
  <c r="BN81" i="39"/>
  <c r="L81" i="39"/>
  <c r="K81" i="39"/>
  <c r="BO80" i="39"/>
  <c r="BN80" i="39"/>
  <c r="BM80" i="39"/>
  <c r="L80" i="39"/>
  <c r="K80" i="39"/>
  <c r="BO79" i="39"/>
  <c r="BN79" i="39"/>
  <c r="BM79" i="39"/>
  <c r="L79" i="39"/>
  <c r="K79" i="39"/>
  <c r="BO78" i="39"/>
  <c r="BN78" i="39"/>
  <c r="BM78" i="39"/>
  <c r="L78" i="39"/>
  <c r="K78" i="39"/>
  <c r="BO77" i="39"/>
  <c r="BN77" i="39"/>
  <c r="BM77" i="39"/>
  <c r="L77" i="39"/>
  <c r="K77" i="39"/>
  <c r="BM76" i="39"/>
  <c r="L76" i="39"/>
  <c r="K76" i="39"/>
  <c r="BO75" i="39"/>
  <c r="BN75" i="39"/>
  <c r="BM75" i="39"/>
  <c r="L75" i="39"/>
  <c r="K75" i="39"/>
  <c r="BO74" i="39"/>
  <c r="BN74" i="39"/>
  <c r="BM74" i="39"/>
  <c r="L74" i="39"/>
  <c r="K74" i="39"/>
  <c r="BO73" i="39"/>
  <c r="BN73" i="39"/>
  <c r="BM73" i="39"/>
  <c r="BO72" i="39"/>
  <c r="BN72" i="39"/>
  <c r="BM72" i="39"/>
  <c r="BO71" i="39"/>
  <c r="BN71" i="39"/>
  <c r="BM71" i="39"/>
  <c r="BM70" i="39"/>
  <c r="L70" i="39"/>
  <c r="BO69" i="39"/>
  <c r="BN69" i="39"/>
  <c r="BM69" i="39"/>
  <c r="L69" i="39"/>
  <c r="BO68" i="39"/>
  <c r="BN68" i="39"/>
  <c r="BM68" i="39"/>
  <c r="L68" i="39"/>
  <c r="BO67" i="39"/>
  <c r="BN67" i="39"/>
  <c r="BM67" i="39"/>
  <c r="BO66" i="39"/>
  <c r="BN66" i="39"/>
  <c r="BM66" i="39"/>
  <c r="BO65" i="39"/>
  <c r="BN65" i="39"/>
  <c r="BM65" i="39"/>
  <c r="D65" i="39"/>
  <c r="C65" i="39"/>
  <c r="B65" i="39"/>
  <c r="BL64" i="39"/>
  <c r="BN63" i="39"/>
  <c r="BM63" i="39"/>
  <c r="BL63" i="39"/>
  <c r="BN62" i="39"/>
  <c r="BM62" i="39"/>
  <c r="BL62" i="39"/>
  <c r="BO61" i="39"/>
  <c r="BN61" i="39"/>
  <c r="BM61" i="39"/>
  <c r="BO60" i="39"/>
  <c r="BN60" i="39"/>
  <c r="BM60" i="39"/>
  <c r="BO59" i="39"/>
  <c r="BN59" i="39"/>
  <c r="BM59" i="39"/>
  <c r="BO58" i="39"/>
  <c r="BN58" i="39"/>
  <c r="BM58" i="39"/>
  <c r="BO57" i="39"/>
  <c r="BN57" i="39"/>
  <c r="BM57" i="39"/>
  <c r="BO56" i="39"/>
  <c r="BN56" i="39"/>
  <c r="BM56" i="39"/>
  <c r="BO55" i="39"/>
  <c r="BN55" i="39"/>
  <c r="BM55" i="39"/>
  <c r="BM54" i="39"/>
  <c r="BO53" i="39"/>
  <c r="BN53" i="39"/>
  <c r="BM53" i="39"/>
  <c r="BO52" i="39"/>
  <c r="BN52" i="39"/>
  <c r="BM52" i="39"/>
  <c r="BO51" i="39"/>
  <c r="BN51" i="39"/>
  <c r="BM51" i="39"/>
  <c r="AF51" i="39"/>
  <c r="BO50" i="39"/>
  <c r="BN50" i="39"/>
  <c r="BM50" i="39"/>
  <c r="AF50" i="39"/>
  <c r="BO76" i="39" s="1"/>
  <c r="BM49" i="39"/>
  <c r="AF49" i="39"/>
  <c r="BO70" i="39" s="1"/>
  <c r="BO48" i="39"/>
  <c r="BN48" i="39"/>
  <c r="BM48" i="39"/>
  <c r="AF48" i="39"/>
  <c r="BN64" i="39" s="1"/>
  <c r="BO47" i="39"/>
  <c r="BN47" i="39"/>
  <c r="BM47" i="39"/>
  <c r="AF47" i="39"/>
  <c r="BO46" i="39"/>
  <c r="BN46" i="39"/>
  <c r="BM46" i="39"/>
  <c r="AF46" i="39"/>
  <c r="BO54" i="39" s="1"/>
  <c r="BO45" i="39"/>
  <c r="BN45" i="39"/>
  <c r="BM45" i="39"/>
  <c r="AF45" i="39"/>
  <c r="BO49" i="39" s="1"/>
  <c r="BO44" i="39"/>
  <c r="BN44" i="39"/>
  <c r="BM44" i="39"/>
  <c r="AF44" i="39"/>
  <c r="BO43" i="39"/>
  <c r="BN43" i="39"/>
  <c r="BM43" i="39"/>
  <c r="AF43" i="39"/>
  <c r="BO42" i="39"/>
  <c r="BN42" i="39"/>
  <c r="BM42" i="39"/>
  <c r="AF42" i="39"/>
  <c r="BO41" i="39"/>
  <c r="BN41" i="39"/>
  <c r="BM41" i="39"/>
  <c r="AF41" i="39"/>
  <c r="X41" i="39"/>
  <c r="W41" i="39"/>
  <c r="V41" i="39"/>
  <c r="U41" i="39"/>
  <c r="T41" i="39"/>
  <c r="R41" i="39"/>
  <c r="G41" i="39"/>
  <c r="F41" i="39"/>
  <c r="E41" i="39"/>
  <c r="BO40" i="39"/>
  <c r="BN40" i="39"/>
  <c r="BM40" i="39"/>
  <c r="AF40" i="39"/>
  <c r="X40" i="39"/>
  <c r="W40" i="39"/>
  <c r="V40" i="39"/>
  <c r="U40" i="39"/>
  <c r="T40" i="39"/>
  <c r="R40" i="39"/>
  <c r="G40" i="39"/>
  <c r="F40" i="39"/>
  <c r="E40" i="39"/>
  <c r="BO39" i="39"/>
  <c r="BN39" i="39"/>
  <c r="BM39" i="39"/>
  <c r="AF39" i="39"/>
  <c r="X39" i="39"/>
  <c r="W39" i="39"/>
  <c r="V39" i="39"/>
  <c r="U39" i="39"/>
  <c r="T39" i="39"/>
  <c r="R39" i="39"/>
  <c r="G39" i="39"/>
  <c r="F39" i="39"/>
  <c r="E39" i="39"/>
  <c r="BO38" i="39"/>
  <c r="BN38" i="39"/>
  <c r="BM38" i="39"/>
  <c r="AF38" i="39"/>
  <c r="X38" i="39"/>
  <c r="W38" i="39"/>
  <c r="V38" i="39"/>
  <c r="U38" i="39"/>
  <c r="T38" i="39"/>
  <c r="R38" i="39"/>
  <c r="D38" i="39" s="1"/>
  <c r="BO37" i="39"/>
  <c r="BN37" i="39"/>
  <c r="BM37" i="39"/>
  <c r="AF37" i="39"/>
  <c r="X37" i="39"/>
  <c r="W37" i="39"/>
  <c r="V37" i="39"/>
  <c r="U37" i="39"/>
  <c r="T37" i="39"/>
  <c r="R37" i="39"/>
  <c r="D37" i="39" s="1"/>
  <c r="BO36" i="39"/>
  <c r="BN36" i="39"/>
  <c r="BM36" i="39"/>
  <c r="AF36" i="39"/>
  <c r="BO35" i="39"/>
  <c r="BN35" i="39"/>
  <c r="BM35" i="39"/>
  <c r="AF35" i="39"/>
  <c r="BO34" i="39"/>
  <c r="BN34" i="39"/>
  <c r="BM34" i="39"/>
  <c r="AF34" i="39"/>
  <c r="BN49" i="39" s="1"/>
  <c r="BM33" i="39"/>
  <c r="BK76" i="39" s="1"/>
  <c r="BL33" i="39"/>
  <c r="AF33" i="39"/>
  <c r="D33" i="39"/>
  <c r="BM32" i="39"/>
  <c r="BJ85" i="39" s="1"/>
  <c r="BL32" i="39"/>
  <c r="AF32" i="39"/>
  <c r="AF31" i="39"/>
  <c r="AD31" i="39"/>
  <c r="AC31" i="39"/>
  <c r="D31" i="39"/>
  <c r="BH30" i="39"/>
  <c r="BG30" i="39"/>
  <c r="BF30" i="39"/>
  <c r="BE30" i="39"/>
  <c r="BD30" i="39"/>
  <c r="BC30" i="39"/>
  <c r="BB30" i="39"/>
  <c r="BA30" i="39"/>
  <c r="AZ30" i="39"/>
  <c r="AY30" i="39"/>
  <c r="AX30" i="39"/>
  <c r="AW30" i="39"/>
  <c r="AV30" i="39"/>
  <c r="AU30" i="39"/>
  <c r="AT30" i="39"/>
  <c r="AS30" i="39"/>
  <c r="AR30" i="39"/>
  <c r="AQ30" i="39"/>
  <c r="AP30" i="39"/>
  <c r="AO30" i="39"/>
  <c r="AF30" i="39"/>
  <c r="AB30" i="39"/>
  <c r="X30" i="39"/>
  <c r="W30" i="39"/>
  <c r="V30" i="39"/>
  <c r="U30" i="39"/>
  <c r="Y30" i="39" s="1"/>
  <c r="T30" i="39"/>
  <c r="P30" i="39"/>
  <c r="O30" i="39"/>
  <c r="N30" i="39"/>
  <c r="M30" i="39"/>
  <c r="L30" i="39"/>
  <c r="K30" i="39"/>
  <c r="R30" i="39" s="1"/>
  <c r="I30" i="39"/>
  <c r="H30" i="39"/>
  <c r="BH29" i="39"/>
  <c r="BG29" i="39"/>
  <c r="BF29" i="39"/>
  <c r="BE29" i="39"/>
  <c r="BD29" i="39"/>
  <c r="BC29" i="39"/>
  <c r="BB29" i="39"/>
  <c r="BA29" i="39"/>
  <c r="AZ29" i="39"/>
  <c r="AY29" i="39"/>
  <c r="AX29" i="39"/>
  <c r="AW29" i="39"/>
  <c r="AV29" i="39"/>
  <c r="AU29" i="39"/>
  <c r="AT29" i="39"/>
  <c r="AS29" i="39"/>
  <c r="AR29" i="39"/>
  <c r="AQ29" i="39"/>
  <c r="AP29" i="39"/>
  <c r="AO29" i="39"/>
  <c r="AF29" i="39"/>
  <c r="AB29" i="39"/>
  <c r="X29" i="39"/>
  <c r="W29" i="39"/>
  <c r="V29" i="39"/>
  <c r="U29" i="39"/>
  <c r="Y29" i="39" s="1"/>
  <c r="T29" i="39"/>
  <c r="P29" i="39"/>
  <c r="O29" i="39"/>
  <c r="N29" i="39"/>
  <c r="M29" i="39"/>
  <c r="L29" i="39"/>
  <c r="K29" i="39"/>
  <c r="R29" i="39" s="1"/>
  <c r="I29" i="39"/>
  <c r="H29" i="39"/>
  <c r="AF28" i="39"/>
  <c r="K28" i="39"/>
  <c r="R28" i="39" s="1"/>
  <c r="I28" i="39"/>
  <c r="H28" i="39"/>
  <c r="BH27" i="39"/>
  <c r="BG27" i="39"/>
  <c r="BF27" i="39"/>
  <c r="BE27" i="39"/>
  <c r="BD27" i="39"/>
  <c r="BC27" i="39"/>
  <c r="BB27" i="39"/>
  <c r="BA27" i="39"/>
  <c r="AZ27" i="39"/>
  <c r="AY27" i="39"/>
  <c r="AX27" i="39"/>
  <c r="AW27" i="39"/>
  <c r="AV27" i="39"/>
  <c r="AU27" i="39"/>
  <c r="AT27" i="39"/>
  <c r="AS27" i="39"/>
  <c r="AR27" i="39"/>
  <c r="AQ27" i="39"/>
  <c r="AP27" i="39"/>
  <c r="AO27" i="39"/>
  <c r="AF27" i="39"/>
  <c r="AB27" i="39"/>
  <c r="X27" i="39"/>
  <c r="W27" i="39"/>
  <c r="V27" i="39"/>
  <c r="U27" i="39"/>
  <c r="Y27" i="39" s="1"/>
  <c r="T27" i="39"/>
  <c r="P27" i="39"/>
  <c r="O27" i="39"/>
  <c r="N27" i="39"/>
  <c r="M27" i="39"/>
  <c r="L27" i="39"/>
  <c r="K27" i="39"/>
  <c r="R27" i="39" s="1"/>
  <c r="I27" i="39"/>
  <c r="H27" i="39"/>
  <c r="BH26" i="39"/>
  <c r="BG26" i="39"/>
  <c r="BF26" i="39"/>
  <c r="BE26" i="39"/>
  <c r="BD26" i="39"/>
  <c r="BC26" i="39"/>
  <c r="BB26" i="39"/>
  <c r="BA26" i="39"/>
  <c r="AZ26" i="39"/>
  <c r="AY26" i="39"/>
  <c r="AX26" i="39"/>
  <c r="AW26" i="39"/>
  <c r="AV26" i="39"/>
  <c r="AU26" i="39"/>
  <c r="AT26" i="39"/>
  <c r="AS26" i="39"/>
  <c r="AR26" i="39"/>
  <c r="AQ26" i="39"/>
  <c r="AP26" i="39"/>
  <c r="AO26" i="39"/>
  <c r="AF26" i="39"/>
  <c r="AB26" i="39"/>
  <c r="X26" i="39"/>
  <c r="W26" i="39"/>
  <c r="V26" i="39"/>
  <c r="U26" i="39"/>
  <c r="Y26" i="39" s="1"/>
  <c r="T26" i="39"/>
  <c r="P26" i="39"/>
  <c r="O26" i="39"/>
  <c r="N26" i="39"/>
  <c r="M26" i="39"/>
  <c r="L26" i="39"/>
  <c r="K26" i="39"/>
  <c r="R26" i="39" s="1"/>
  <c r="I26" i="39"/>
  <c r="H26" i="39"/>
  <c r="BH25" i="39"/>
  <c r="BG25" i="39"/>
  <c r="BF25" i="39"/>
  <c r="BE25" i="39"/>
  <c r="BD25" i="39"/>
  <c r="BC25" i="39"/>
  <c r="BB25" i="39"/>
  <c r="BA25" i="39"/>
  <c r="AZ25" i="39"/>
  <c r="AY25" i="39"/>
  <c r="AX25" i="39"/>
  <c r="AW25" i="39"/>
  <c r="AV25" i="39"/>
  <c r="AU25" i="39"/>
  <c r="AT25" i="39"/>
  <c r="AS25" i="39"/>
  <c r="AR25" i="39"/>
  <c r="AQ25" i="39"/>
  <c r="AP25" i="39"/>
  <c r="AO25" i="39"/>
  <c r="AF25" i="39"/>
  <c r="AB25" i="39"/>
  <c r="X25" i="39"/>
  <c r="W25" i="39"/>
  <c r="V25" i="39"/>
  <c r="U25" i="39"/>
  <c r="Y25" i="39" s="1"/>
  <c r="T25" i="39"/>
  <c r="P25" i="39"/>
  <c r="O25" i="39"/>
  <c r="N25" i="39"/>
  <c r="M25" i="39"/>
  <c r="L25" i="39"/>
  <c r="K25" i="39"/>
  <c r="R25" i="39" s="1"/>
  <c r="I25" i="39"/>
  <c r="H25" i="39"/>
  <c r="AF24" i="39"/>
  <c r="K24" i="39"/>
  <c r="R24" i="39" s="1"/>
  <c r="I24" i="39"/>
  <c r="H24" i="39"/>
  <c r="AF23" i="39"/>
  <c r="AF22" i="39"/>
  <c r="AF21" i="39"/>
  <c r="AF20" i="39"/>
  <c r="D20" i="39"/>
  <c r="AF19" i="39"/>
  <c r="AF18" i="39"/>
  <c r="AF17" i="39"/>
  <c r="AF16" i="39"/>
  <c r="AF15" i="39"/>
  <c r="AF14" i="39"/>
  <c r="X14" i="39"/>
  <c r="W14" i="39"/>
  <c r="V14" i="39"/>
  <c r="U14" i="39"/>
  <c r="Y14" i="39" s="1"/>
  <c r="T14" i="39"/>
  <c r="AF13" i="39"/>
  <c r="X13" i="39"/>
  <c r="W13" i="39"/>
  <c r="V13" i="39"/>
  <c r="U13" i="39"/>
  <c r="Y13" i="39" s="1"/>
  <c r="T13" i="39"/>
  <c r="AF12" i="39"/>
  <c r="AF11" i="39"/>
  <c r="AF10" i="39"/>
  <c r="AF9" i="39"/>
  <c r="AF8" i="39"/>
  <c r="J8" i="39"/>
  <c r="M45" i="39" s="1"/>
  <c r="AF7" i="39"/>
  <c r="AF6" i="39"/>
  <c r="AF5" i="39"/>
  <c r="AF4" i="39"/>
  <c r="AF3" i="39"/>
  <c r="C193" i="39" l="1"/>
  <c r="T106" i="39"/>
  <c r="BO89" i="39" s="1"/>
  <c r="D212" i="39"/>
  <c r="R106" i="39"/>
  <c r="BO87" i="39" s="1"/>
  <c r="L45" i="39"/>
  <c r="N45" i="39"/>
  <c r="D230" i="39"/>
  <c r="D233" i="39"/>
  <c r="G235" i="39"/>
  <c r="H235" i="39" s="1"/>
  <c r="D238" i="39"/>
  <c r="D240" i="39"/>
  <c r="D231" i="39"/>
  <c r="BJ46" i="39"/>
  <c r="BJ75" i="39"/>
  <c r="BJ80" i="39"/>
  <c r="BJ83" i="39"/>
  <c r="D209" i="39"/>
  <c r="G230" i="39"/>
  <c r="H230" i="39" s="1"/>
  <c r="G233" i="39"/>
  <c r="H233" i="39" s="1"/>
  <c r="D236" i="39"/>
  <c r="G238" i="39"/>
  <c r="H238" i="39" s="1"/>
  <c r="BJ38" i="39"/>
  <c r="BJ43" i="39"/>
  <c r="BJ60" i="39"/>
  <c r="BJ66" i="39"/>
  <c r="BJ69" i="39"/>
  <c r="BJ82" i="39"/>
  <c r="D205" i="39"/>
  <c r="D206" i="39" s="1"/>
  <c r="D229" i="39"/>
  <c r="D234" i="39"/>
  <c r="D237" i="39"/>
  <c r="BJ51" i="39"/>
  <c r="BJ70" i="39"/>
  <c r="BJ81" i="39"/>
  <c r="G229" i="39"/>
  <c r="H229" i="39" s="1"/>
  <c r="D232" i="39"/>
  <c r="G234" i="39"/>
  <c r="H234" i="39" s="1"/>
  <c r="G237" i="39"/>
  <c r="H237" i="39" s="1"/>
  <c r="G239" i="39"/>
  <c r="H239" i="39" s="1"/>
  <c r="G231" i="39"/>
  <c r="H231" i="39" s="1"/>
  <c r="AP24" i="39"/>
  <c r="AO24" i="39"/>
  <c r="S106" i="39"/>
  <c r="BO88" i="39" s="1"/>
  <c r="R31" i="39"/>
  <c r="D32" i="39"/>
  <c r="C136" i="39" s="1"/>
  <c r="BK39" i="39"/>
  <c r="BK43" i="39"/>
  <c r="BJ64" i="39"/>
  <c r="BK86" i="39"/>
  <c r="BK48" i="39"/>
  <c r="BK81" i="39"/>
  <c r="BK83" i="39"/>
  <c r="BK36" i="39"/>
  <c r="BK72" i="39"/>
  <c r="BK65" i="39"/>
  <c r="BK74" i="39"/>
  <c r="BK82" i="39"/>
  <c r="BK45" i="39"/>
  <c r="BK59" i="39"/>
  <c r="BK68" i="39"/>
  <c r="D140" i="39"/>
  <c r="BN76" i="39"/>
  <c r="BM64" i="39"/>
  <c r="D207" i="39"/>
  <c r="BJ90" i="39"/>
  <c r="BJ86" i="39"/>
  <c r="BJ84" i="39"/>
  <c r="BJ78" i="39"/>
  <c r="BJ76" i="39"/>
  <c r="BJ72" i="39"/>
  <c r="BJ68" i="39"/>
  <c r="BI62" i="39"/>
  <c r="BJ58" i="39"/>
  <c r="BJ54" i="39"/>
  <c r="BJ49" i="39"/>
  <c r="BJ47" i="39"/>
  <c r="BJ45" i="39"/>
  <c r="BJ41" i="39"/>
  <c r="BJ37" i="39"/>
  <c r="BJ36" i="39"/>
  <c r="BJ35" i="39"/>
  <c r="BJ89" i="39"/>
  <c r="BJ87" i="39"/>
  <c r="BJ79" i="39"/>
  <c r="BJ74" i="39"/>
  <c r="BJ65" i="39"/>
  <c r="BI64" i="39"/>
  <c r="BJ56" i="39"/>
  <c r="BJ53" i="39"/>
  <c r="BJ42" i="39"/>
  <c r="BJ39" i="39"/>
  <c r="BJ91" i="39"/>
  <c r="BJ88" i="39"/>
  <c r="BJ77" i="39"/>
  <c r="BJ73" i="39"/>
  <c r="BJ71" i="39"/>
  <c r="BI63" i="39"/>
  <c r="BJ61" i="39"/>
  <c r="BJ55" i="39"/>
  <c r="BJ52" i="39"/>
  <c r="BJ50" i="39"/>
  <c r="BJ44" i="39"/>
  <c r="BJ40" i="39"/>
  <c r="BJ34" i="39"/>
  <c r="BK89" i="39"/>
  <c r="BK85" i="39"/>
  <c r="BK79" i="39"/>
  <c r="BK73" i="39"/>
  <c r="BK69" i="39"/>
  <c r="BK66" i="39"/>
  <c r="BK61" i="39"/>
  <c r="BK57" i="39"/>
  <c r="BK53" i="39"/>
  <c r="BK44" i="39"/>
  <c r="BK42" i="39"/>
  <c r="BK38" i="39"/>
  <c r="BK34" i="39"/>
  <c r="BK91" i="39"/>
  <c r="BK90" i="39"/>
  <c r="BK88" i="39"/>
  <c r="BK77" i="39"/>
  <c r="BK71" i="39"/>
  <c r="BJ63" i="39"/>
  <c r="BK55" i="39"/>
  <c r="BK54" i="39"/>
  <c r="BK52" i="39"/>
  <c r="BK50" i="39"/>
  <c r="BK47" i="39"/>
  <c r="BK40" i="39"/>
  <c r="BK37" i="39"/>
  <c r="BK84" i="39"/>
  <c r="BK80" i="39"/>
  <c r="BK75" i="39"/>
  <c r="BK70" i="39"/>
  <c r="BK67" i="39"/>
  <c r="BJ62" i="39"/>
  <c r="BK60" i="39"/>
  <c r="BK51" i="39"/>
  <c r="BK49" i="39"/>
  <c r="BK46" i="39"/>
  <c r="BK35" i="39"/>
  <c r="BK41" i="39"/>
  <c r="BJ48" i="39"/>
  <c r="BN54" i="39"/>
  <c r="BK56" i="39"/>
  <c r="BJ57" i="39"/>
  <c r="BK58" i="39"/>
  <c r="BJ59" i="39"/>
  <c r="BJ67" i="39"/>
  <c r="BN70" i="39"/>
  <c r="BK78" i="39"/>
  <c r="BK87" i="39"/>
  <c r="AO28" i="39"/>
  <c r="AP28" i="39"/>
  <c r="K45" i="39"/>
  <c r="O45" i="39" s="1"/>
  <c r="G232" i="39"/>
  <c r="H232" i="39" s="1"/>
  <c r="D235" i="39"/>
  <c r="G236" i="39"/>
  <c r="H236" i="39" s="1"/>
  <c r="D239" i="39"/>
  <c r="D213" i="39" l="1"/>
  <c r="G177" i="39"/>
  <c r="AO31" i="39"/>
  <c r="D210" i="39"/>
  <c r="AP31" i="39"/>
  <c r="D241" i="39"/>
  <c r="G239" i="38" l="1"/>
  <c r="H239" i="38" s="1"/>
  <c r="D239" i="38"/>
  <c r="G238" i="38"/>
  <c r="H238" i="38" s="1"/>
  <c r="D238" i="38"/>
  <c r="G237" i="38"/>
  <c r="H237" i="38" s="1"/>
  <c r="D237" i="38"/>
  <c r="G236" i="38"/>
  <c r="H236" i="38" s="1"/>
  <c r="D236" i="38"/>
  <c r="G235" i="38"/>
  <c r="H235" i="38" s="1"/>
  <c r="D235" i="38"/>
  <c r="G234" i="38"/>
  <c r="H234" i="38" s="1"/>
  <c r="D234" i="38"/>
  <c r="G233" i="38"/>
  <c r="H233" i="38" s="1"/>
  <c r="D233" i="38"/>
  <c r="G232" i="38"/>
  <c r="H232" i="38" s="1"/>
  <c r="D232" i="38"/>
  <c r="G231" i="38"/>
  <c r="H231" i="38" s="1"/>
  <c r="D231" i="38"/>
  <c r="G230" i="38"/>
  <c r="H230" i="38" s="1"/>
  <c r="D230" i="38"/>
  <c r="G229" i="38"/>
  <c r="H229" i="38" s="1"/>
  <c r="D229" i="38"/>
  <c r="G228" i="38"/>
  <c r="H228" i="38" s="1"/>
  <c r="D228" i="38"/>
  <c r="D216" i="38"/>
  <c r="D214" i="38"/>
  <c r="D213" i="38"/>
  <c r="C204" i="38"/>
  <c r="C208" i="38" s="1"/>
  <c r="C211" i="38" s="1"/>
  <c r="B204" i="38"/>
  <c r="D202" i="38"/>
  <c r="D201" i="38"/>
  <c r="D168" i="38"/>
  <c r="E156" i="38"/>
  <c r="D156" i="38"/>
  <c r="C156" i="38"/>
  <c r="L149" i="38"/>
  <c r="K149" i="38"/>
  <c r="L148" i="38"/>
  <c r="K148" i="38"/>
  <c r="L147" i="38"/>
  <c r="K147" i="38"/>
  <c r="D143" i="38"/>
  <c r="D142" i="38"/>
  <c r="D141" i="38"/>
  <c r="C137" i="38"/>
  <c r="M134" i="38"/>
  <c r="M133" i="38"/>
  <c r="M132" i="38"/>
  <c r="M131" i="38"/>
  <c r="M130" i="38"/>
  <c r="M129" i="38"/>
  <c r="M128" i="38"/>
  <c r="M127" i="38"/>
  <c r="M126" i="38"/>
  <c r="M125" i="38"/>
  <c r="M124" i="38"/>
  <c r="M123" i="38"/>
  <c r="M122" i="38"/>
  <c r="D118" i="38"/>
  <c r="BO90" i="38" s="1"/>
  <c r="E106" i="38"/>
  <c r="D106" i="38"/>
  <c r="C106" i="38"/>
  <c r="T105" i="38"/>
  <c r="S105" i="38"/>
  <c r="R105" i="38"/>
  <c r="P105" i="38"/>
  <c r="T104" i="38"/>
  <c r="S104" i="38"/>
  <c r="R104" i="38"/>
  <c r="P104" i="38"/>
  <c r="T103" i="38"/>
  <c r="S103" i="38"/>
  <c r="R103" i="38"/>
  <c r="P103" i="38"/>
  <c r="T102" i="38"/>
  <c r="S102" i="38"/>
  <c r="R102" i="38"/>
  <c r="P102" i="38"/>
  <c r="T101" i="38"/>
  <c r="S101" i="38"/>
  <c r="R101" i="38"/>
  <c r="P101" i="38"/>
  <c r="T100" i="38"/>
  <c r="S100" i="38"/>
  <c r="R100" i="38"/>
  <c r="P100" i="38"/>
  <c r="T99" i="38"/>
  <c r="S99" i="38"/>
  <c r="R99" i="38"/>
  <c r="P99" i="38"/>
  <c r="T98" i="38"/>
  <c r="S98" i="38"/>
  <c r="R98" i="38"/>
  <c r="P98" i="38"/>
  <c r="T97" i="38"/>
  <c r="S97" i="38"/>
  <c r="R97" i="38"/>
  <c r="P97" i="38"/>
  <c r="P92" i="38"/>
  <c r="E92" i="38"/>
  <c r="S92" i="38" s="1"/>
  <c r="D92" i="38"/>
  <c r="R92" i="38" s="1"/>
  <c r="BN91" i="38"/>
  <c r="P91" i="38"/>
  <c r="E91" i="38"/>
  <c r="S91" i="38" s="1"/>
  <c r="D91" i="38"/>
  <c r="R91" i="38" s="1"/>
  <c r="BN90" i="38"/>
  <c r="P90" i="38"/>
  <c r="E90" i="38"/>
  <c r="S90" i="38" s="1"/>
  <c r="D90" i="38"/>
  <c r="R90" i="38" s="1"/>
  <c r="BN89" i="38"/>
  <c r="P89" i="38"/>
  <c r="E89" i="38"/>
  <c r="S89" i="38" s="1"/>
  <c r="D89" i="38"/>
  <c r="R89" i="38" s="1"/>
  <c r="BN88" i="38"/>
  <c r="P88" i="38"/>
  <c r="E88" i="38"/>
  <c r="S88" i="38" s="1"/>
  <c r="D88" i="38"/>
  <c r="R88" i="38" s="1"/>
  <c r="BN87" i="38"/>
  <c r="P87" i="38"/>
  <c r="E87" i="38"/>
  <c r="S87" i="38" s="1"/>
  <c r="D87" i="38"/>
  <c r="R87" i="38" s="1"/>
  <c r="BN86" i="38"/>
  <c r="P86" i="38"/>
  <c r="BN85" i="38"/>
  <c r="P85" i="38"/>
  <c r="E85" i="38"/>
  <c r="S85" i="38" s="1"/>
  <c r="D85" i="38"/>
  <c r="R85" i="38" s="1"/>
  <c r="BN84" i="38"/>
  <c r="BL84" i="38"/>
  <c r="BM84" i="38" s="1"/>
  <c r="P84" i="38"/>
  <c r="BN83" i="38"/>
  <c r="BL83" i="38"/>
  <c r="BM83" i="38" s="1"/>
  <c r="BO82" i="38"/>
  <c r="BN82" i="38"/>
  <c r="BO81" i="38"/>
  <c r="BN81" i="38"/>
  <c r="L81" i="38"/>
  <c r="K81" i="38"/>
  <c r="BO80" i="38"/>
  <c r="BN80" i="38"/>
  <c r="BM80" i="38"/>
  <c r="L80" i="38"/>
  <c r="K80" i="38"/>
  <c r="BO79" i="38"/>
  <c r="BN79" i="38"/>
  <c r="BM79" i="38"/>
  <c r="L79" i="38"/>
  <c r="K79" i="38"/>
  <c r="BO78" i="38"/>
  <c r="BN78" i="38"/>
  <c r="BM78" i="38"/>
  <c r="L78" i="38"/>
  <c r="K78" i="38"/>
  <c r="BO77" i="38"/>
  <c r="BN77" i="38"/>
  <c r="BM77" i="38"/>
  <c r="L77" i="38"/>
  <c r="K77" i="38"/>
  <c r="BM76" i="38"/>
  <c r="L76" i="38"/>
  <c r="K76" i="38"/>
  <c r="BO75" i="38"/>
  <c r="BN75" i="38"/>
  <c r="BM75" i="38"/>
  <c r="L75" i="38"/>
  <c r="K75" i="38"/>
  <c r="BO74" i="38"/>
  <c r="BN74" i="38"/>
  <c r="BM74" i="38"/>
  <c r="L74" i="38"/>
  <c r="K74" i="38"/>
  <c r="BO73" i="38"/>
  <c r="BN73" i="38"/>
  <c r="BM73" i="38"/>
  <c r="L73" i="38"/>
  <c r="K73" i="38"/>
  <c r="BO72" i="38"/>
  <c r="BN72" i="38"/>
  <c r="BM72" i="38"/>
  <c r="BO71" i="38"/>
  <c r="BN71" i="38"/>
  <c r="BM71" i="38"/>
  <c r="BM70" i="38"/>
  <c r="L70" i="38"/>
  <c r="BO69" i="38"/>
  <c r="BN69" i="38"/>
  <c r="BM69" i="38"/>
  <c r="L69" i="38"/>
  <c r="BO68" i="38"/>
  <c r="BN68" i="38"/>
  <c r="BM68" i="38"/>
  <c r="L68" i="38"/>
  <c r="BO67" i="38"/>
  <c r="BN67" i="38"/>
  <c r="BM67" i="38"/>
  <c r="BO66" i="38"/>
  <c r="BN66" i="38"/>
  <c r="BM66" i="38"/>
  <c r="BO65" i="38"/>
  <c r="BN65" i="38"/>
  <c r="BM65" i="38"/>
  <c r="D65" i="38"/>
  <c r="C65" i="38"/>
  <c r="B65" i="38"/>
  <c r="BL64" i="38"/>
  <c r="BN63" i="38"/>
  <c r="BM63" i="38"/>
  <c r="BL63" i="38"/>
  <c r="BN62" i="38"/>
  <c r="BM62" i="38"/>
  <c r="BL62" i="38"/>
  <c r="BO61" i="38"/>
  <c r="BN61" i="38"/>
  <c r="BM61" i="38"/>
  <c r="BO60" i="38"/>
  <c r="BN60" i="38"/>
  <c r="BM60" i="38"/>
  <c r="BO59" i="38"/>
  <c r="BN59" i="38"/>
  <c r="BM59" i="38"/>
  <c r="BO58" i="38"/>
  <c r="BN58" i="38"/>
  <c r="BM58" i="38"/>
  <c r="BO57" i="38"/>
  <c r="BN57" i="38"/>
  <c r="BM57" i="38"/>
  <c r="BO56" i="38"/>
  <c r="BN56" i="38"/>
  <c r="BM56" i="38"/>
  <c r="BO55" i="38"/>
  <c r="BN55" i="38"/>
  <c r="BM55" i="38"/>
  <c r="BM54" i="38"/>
  <c r="BO53" i="38"/>
  <c r="BN53" i="38"/>
  <c r="BM53" i="38"/>
  <c r="BO52" i="38"/>
  <c r="BN52" i="38"/>
  <c r="BM52" i="38"/>
  <c r="BO51" i="38"/>
  <c r="BN51" i="38"/>
  <c r="BM51" i="38"/>
  <c r="AF51" i="38"/>
  <c r="BO50" i="38"/>
  <c r="BN50" i="38"/>
  <c r="BM50" i="38"/>
  <c r="AF50" i="38"/>
  <c r="BO76" i="38" s="1"/>
  <c r="BM49" i="38"/>
  <c r="AF49" i="38"/>
  <c r="BO70" i="38" s="1"/>
  <c r="BO48" i="38"/>
  <c r="BN48" i="38"/>
  <c r="BM48" i="38"/>
  <c r="AF48" i="38"/>
  <c r="BN64" i="38" s="1"/>
  <c r="BO47" i="38"/>
  <c r="BN47" i="38"/>
  <c r="BM47" i="38"/>
  <c r="AF47" i="38"/>
  <c r="BO46" i="38"/>
  <c r="BN46" i="38"/>
  <c r="BM46" i="38"/>
  <c r="AF46" i="38"/>
  <c r="BO54" i="38" s="1"/>
  <c r="BO45" i="38"/>
  <c r="BN45" i="38"/>
  <c r="BM45" i="38"/>
  <c r="AF45" i="38"/>
  <c r="BO49" i="38" s="1"/>
  <c r="BO44" i="38"/>
  <c r="BN44" i="38"/>
  <c r="BM44" i="38"/>
  <c r="AF44" i="38"/>
  <c r="BN43" i="38"/>
  <c r="BM43" i="38"/>
  <c r="AF43" i="38"/>
  <c r="BO42" i="38"/>
  <c r="BN42" i="38"/>
  <c r="BM42" i="38"/>
  <c r="AF42" i="38"/>
  <c r="BN41" i="38"/>
  <c r="BM41" i="38"/>
  <c r="AF41" i="38"/>
  <c r="X41" i="38"/>
  <c r="W41" i="38"/>
  <c r="V41" i="38"/>
  <c r="U41" i="38"/>
  <c r="T41" i="38"/>
  <c r="R41" i="38"/>
  <c r="G41" i="38"/>
  <c r="F41" i="38"/>
  <c r="E41" i="38"/>
  <c r="BO40" i="38"/>
  <c r="BN40" i="38"/>
  <c r="BM40" i="38"/>
  <c r="AF40" i="38"/>
  <c r="X40" i="38"/>
  <c r="W40" i="38"/>
  <c r="V40" i="38"/>
  <c r="U40" i="38"/>
  <c r="T40" i="38"/>
  <c r="R40" i="38"/>
  <c r="G40" i="38"/>
  <c r="F40" i="38"/>
  <c r="E40" i="38"/>
  <c r="BO39" i="38"/>
  <c r="BN39" i="38"/>
  <c r="BM39" i="38"/>
  <c r="AF39" i="38"/>
  <c r="X39" i="38"/>
  <c r="W39" i="38"/>
  <c r="V39" i="38"/>
  <c r="U39" i="38"/>
  <c r="T39" i="38"/>
  <c r="R39" i="38"/>
  <c r="G39" i="38"/>
  <c r="F39" i="38"/>
  <c r="E39" i="38"/>
  <c r="BO38" i="38"/>
  <c r="BN38" i="38"/>
  <c r="BM38" i="38"/>
  <c r="AF38" i="38"/>
  <c r="BO37" i="38"/>
  <c r="BN37" i="38"/>
  <c r="BM37" i="38"/>
  <c r="AF37" i="38"/>
  <c r="BO36" i="38"/>
  <c r="BN36" i="38"/>
  <c r="BM36" i="38"/>
  <c r="AF36" i="38"/>
  <c r="BO43" i="38"/>
  <c r="BO35" i="38"/>
  <c r="BN35" i="38"/>
  <c r="BM35" i="38"/>
  <c r="AF35" i="38"/>
  <c r="BO41" i="38"/>
  <c r="BO34" i="38"/>
  <c r="BN34" i="38"/>
  <c r="BM34" i="38"/>
  <c r="AF34" i="38"/>
  <c r="BN54" i="38" s="1"/>
  <c r="BM33" i="38"/>
  <c r="BK87" i="38" s="1"/>
  <c r="BL33" i="38"/>
  <c r="AF33" i="38"/>
  <c r="D33" i="38"/>
  <c r="BM32" i="38"/>
  <c r="BJ85" i="38" s="1"/>
  <c r="BL32" i="38"/>
  <c r="AF32" i="38"/>
  <c r="AF31" i="38"/>
  <c r="AD31" i="38"/>
  <c r="AC31" i="38"/>
  <c r="D31" i="38"/>
  <c r="BH30" i="38"/>
  <c r="BG30" i="38"/>
  <c r="BF30" i="38"/>
  <c r="BE30" i="38"/>
  <c r="BD30" i="38"/>
  <c r="BC30" i="38"/>
  <c r="BB30" i="38"/>
  <c r="BA30" i="38"/>
  <c r="AZ30" i="38"/>
  <c r="AY30" i="38"/>
  <c r="AX30" i="38"/>
  <c r="AW30" i="38"/>
  <c r="AV30" i="38"/>
  <c r="AU30" i="38"/>
  <c r="AT30" i="38"/>
  <c r="AS30" i="38"/>
  <c r="AR30" i="38"/>
  <c r="AQ30" i="38"/>
  <c r="AP30" i="38"/>
  <c r="AO30" i="38"/>
  <c r="AF30" i="38"/>
  <c r="AB30" i="38"/>
  <c r="X30" i="38"/>
  <c r="W30" i="38"/>
  <c r="V30" i="38"/>
  <c r="U30" i="38"/>
  <c r="Y30" i="38" s="1"/>
  <c r="T30" i="38"/>
  <c r="P30" i="38"/>
  <c r="O30" i="38"/>
  <c r="N30" i="38"/>
  <c r="M30" i="38"/>
  <c r="L30" i="38"/>
  <c r="K30" i="38"/>
  <c r="R30" i="38" s="1"/>
  <c r="I30" i="38"/>
  <c r="H30" i="38"/>
  <c r="AF29" i="38"/>
  <c r="K29" i="38"/>
  <c r="R29" i="38" s="1"/>
  <c r="I29" i="38"/>
  <c r="H29" i="38"/>
  <c r="AF28" i="38"/>
  <c r="K28" i="38"/>
  <c r="R28" i="38" s="1"/>
  <c r="I28" i="38"/>
  <c r="H28" i="38"/>
  <c r="AF27" i="38"/>
  <c r="K27" i="38"/>
  <c r="R27" i="38" s="1"/>
  <c r="I27" i="38"/>
  <c r="H27" i="38"/>
  <c r="BH26" i="38"/>
  <c r="BG26" i="38"/>
  <c r="BF26" i="38"/>
  <c r="BE26" i="38"/>
  <c r="BD26" i="38"/>
  <c r="BC26" i="38"/>
  <c r="BB26" i="38"/>
  <c r="BA26" i="38"/>
  <c r="AZ26" i="38"/>
  <c r="AY26" i="38"/>
  <c r="AX26" i="38"/>
  <c r="AW26" i="38"/>
  <c r="AV26" i="38"/>
  <c r="AU26" i="38"/>
  <c r="AT26" i="38"/>
  <c r="AS26" i="38"/>
  <c r="AR26" i="38"/>
  <c r="AQ26" i="38"/>
  <c r="AP26" i="38"/>
  <c r="AO26" i="38"/>
  <c r="AF26" i="38"/>
  <c r="AB26" i="38"/>
  <c r="X26" i="38"/>
  <c r="W26" i="38"/>
  <c r="V26" i="38"/>
  <c r="U26" i="38"/>
  <c r="Y26" i="38" s="1"/>
  <c r="T26" i="38"/>
  <c r="P26" i="38"/>
  <c r="O26" i="38"/>
  <c r="N26" i="38"/>
  <c r="M26" i="38"/>
  <c r="L26" i="38"/>
  <c r="K26" i="38"/>
  <c r="R26" i="38" s="1"/>
  <c r="I26" i="38"/>
  <c r="H26" i="38"/>
  <c r="BH25" i="38"/>
  <c r="BG25" i="38"/>
  <c r="BF25" i="38"/>
  <c r="BE25" i="38"/>
  <c r="BD25" i="38"/>
  <c r="BC25" i="38"/>
  <c r="BB25" i="38"/>
  <c r="BA25" i="38"/>
  <c r="AZ25" i="38"/>
  <c r="AY25" i="38"/>
  <c r="AX25" i="38"/>
  <c r="AW25" i="38"/>
  <c r="AV25" i="38"/>
  <c r="AU25" i="38"/>
  <c r="AT25" i="38"/>
  <c r="AS25" i="38"/>
  <c r="AR25" i="38"/>
  <c r="AQ25" i="38"/>
  <c r="AP25" i="38"/>
  <c r="AO25" i="38"/>
  <c r="AF25" i="38"/>
  <c r="AB25" i="38"/>
  <c r="X25" i="38"/>
  <c r="W25" i="38"/>
  <c r="V25" i="38"/>
  <c r="U25" i="38"/>
  <c r="Y25" i="38" s="1"/>
  <c r="T25" i="38"/>
  <c r="P25" i="38"/>
  <c r="O25" i="38"/>
  <c r="N25" i="38"/>
  <c r="M25" i="38"/>
  <c r="L25" i="38"/>
  <c r="K25" i="38"/>
  <c r="R25" i="38" s="1"/>
  <c r="I25" i="38"/>
  <c r="H25" i="38"/>
  <c r="AF24" i="38"/>
  <c r="K24" i="38"/>
  <c r="R24" i="38" s="1"/>
  <c r="I24" i="38"/>
  <c r="H24" i="38"/>
  <c r="AF23" i="38"/>
  <c r="AF22" i="38"/>
  <c r="AF21" i="38"/>
  <c r="AF20" i="38"/>
  <c r="D20" i="38"/>
  <c r="AF19" i="38"/>
  <c r="AF18" i="38"/>
  <c r="AF17" i="38"/>
  <c r="AF16" i="38"/>
  <c r="AF15" i="38"/>
  <c r="AF14" i="38"/>
  <c r="X14" i="38"/>
  <c r="W14" i="38"/>
  <c r="V14" i="38"/>
  <c r="U14" i="38"/>
  <c r="Y14" i="38" s="1"/>
  <c r="T14" i="38"/>
  <c r="AF13" i="38"/>
  <c r="X13" i="38"/>
  <c r="W13" i="38"/>
  <c r="V13" i="38"/>
  <c r="U13" i="38"/>
  <c r="Y13" i="38" s="1"/>
  <c r="T13" i="38"/>
  <c r="AF12" i="38"/>
  <c r="AF11" i="38"/>
  <c r="AF10" i="38"/>
  <c r="AF9" i="38"/>
  <c r="AF8" i="38"/>
  <c r="J8" i="38"/>
  <c r="M45" i="38" s="1"/>
  <c r="AF7" i="38"/>
  <c r="AF6" i="38"/>
  <c r="AF5" i="38"/>
  <c r="AF4" i="38"/>
  <c r="AF3" i="38"/>
  <c r="AO29" i="38" l="1"/>
  <c r="AP29" i="38"/>
  <c r="BN49" i="38"/>
  <c r="R106" i="38"/>
  <c r="BO87" i="38" s="1"/>
  <c r="BJ50" i="38"/>
  <c r="BJ73" i="38"/>
  <c r="D204" i="38"/>
  <c r="D205" i="38" s="1"/>
  <c r="BJ77" i="38"/>
  <c r="BJ91" i="38"/>
  <c r="BJ38" i="38"/>
  <c r="S106" i="38"/>
  <c r="BO88" i="38" s="1"/>
  <c r="BM64" i="38"/>
  <c r="BN70" i="38"/>
  <c r="BK46" i="38"/>
  <c r="BK84" i="38"/>
  <c r="BK70" i="38"/>
  <c r="BN76" i="38"/>
  <c r="BJ44" i="38"/>
  <c r="BJ71" i="38"/>
  <c r="BK51" i="38"/>
  <c r="BJ52" i="38"/>
  <c r="BJ55" i="38"/>
  <c r="BK60" i="38"/>
  <c r="BJ61" i="38"/>
  <c r="BJ62" i="38"/>
  <c r="BI63" i="38"/>
  <c r="BJ88" i="38"/>
  <c r="BK49" i="38"/>
  <c r="BK67" i="38"/>
  <c r="BK75" i="38"/>
  <c r="BK41" i="38"/>
  <c r="BK80" i="38"/>
  <c r="T106" i="38"/>
  <c r="BO89" i="38" s="1"/>
  <c r="AP28" i="38"/>
  <c r="D32" i="38"/>
  <c r="R31" i="38"/>
  <c r="AP24" i="38"/>
  <c r="AP31" i="38" s="1"/>
  <c r="AP27" i="38"/>
  <c r="AO27" i="38"/>
  <c r="AO24" i="38"/>
  <c r="AO31" i="38" s="1"/>
  <c r="AO28" i="38"/>
  <c r="BJ34" i="38"/>
  <c r="BJ40" i="38"/>
  <c r="BJ42" i="38"/>
  <c r="K45" i="38"/>
  <c r="O45" i="38" s="1"/>
  <c r="BK47" i="38"/>
  <c r="BK50" i="38"/>
  <c r="BK52" i="38"/>
  <c r="BJ53" i="38"/>
  <c r="BK54" i="38"/>
  <c r="BK55" i="38"/>
  <c r="BJ56" i="38"/>
  <c r="BJ63" i="38"/>
  <c r="BI64" i="38"/>
  <c r="BJ65" i="38"/>
  <c r="BK71" i="38"/>
  <c r="BJ74" i="38"/>
  <c r="BK77" i="38"/>
  <c r="BJ79" i="38"/>
  <c r="BJ87" i="38"/>
  <c r="BK88" i="38"/>
  <c r="BJ89" i="38"/>
  <c r="BK90" i="38"/>
  <c r="BK91" i="38"/>
  <c r="BK34" i="38"/>
  <c r="BJ35" i="38"/>
  <c r="BK37" i="38"/>
  <c r="BJ39" i="38"/>
  <c r="BK40" i="38"/>
  <c r="BJ43" i="38"/>
  <c r="L45" i="38"/>
  <c r="BK45" i="38"/>
  <c r="BJ48" i="38"/>
  <c r="BK56" i="38"/>
  <c r="BJ57" i="38"/>
  <c r="BK58" i="38"/>
  <c r="BJ59" i="38"/>
  <c r="BJ64" i="38"/>
  <c r="BK65" i="38"/>
  <c r="BJ66" i="38"/>
  <c r="BK68" i="38"/>
  <c r="BK74" i="38"/>
  <c r="BK76" i="38"/>
  <c r="BJ81" i="38"/>
  <c r="BJ82" i="38"/>
  <c r="BJ83" i="38"/>
  <c r="BK86" i="38"/>
  <c r="D206" i="38"/>
  <c r="BJ90" i="38"/>
  <c r="BJ86" i="38"/>
  <c r="BJ84" i="38"/>
  <c r="BJ78" i="38"/>
  <c r="BJ76" i="38"/>
  <c r="BJ72" i="38"/>
  <c r="BJ68" i="38"/>
  <c r="BI62" i="38"/>
  <c r="BJ58" i="38"/>
  <c r="BJ54" i="38"/>
  <c r="BJ49" i="38"/>
  <c r="BJ47" i="38"/>
  <c r="BJ45" i="38"/>
  <c r="BJ41" i="38"/>
  <c r="BJ37" i="38"/>
  <c r="BK89" i="38"/>
  <c r="BK85" i="38"/>
  <c r="BK79" i="38"/>
  <c r="BK73" i="38"/>
  <c r="BK69" i="38"/>
  <c r="BK66" i="38"/>
  <c r="BK61" i="38"/>
  <c r="BK57" i="38"/>
  <c r="BK53" i="38"/>
  <c r="BK44" i="38"/>
  <c r="BK42" i="38"/>
  <c r="BK38" i="38"/>
  <c r="BK36" i="38"/>
  <c r="BK35" i="38"/>
  <c r="BJ36" i="38"/>
  <c r="BK39" i="38"/>
  <c r="BK43" i="38"/>
  <c r="N45" i="38"/>
  <c r="BJ46" i="38"/>
  <c r="BK48" i="38"/>
  <c r="BJ51" i="38"/>
  <c r="BK59" i="38"/>
  <c r="BJ60" i="38"/>
  <c r="BJ67" i="38"/>
  <c r="BJ69" i="38"/>
  <c r="BJ70" i="38"/>
  <c r="BK72" i="38"/>
  <c r="BJ75" i="38"/>
  <c r="BK78" i="38"/>
  <c r="BJ80" i="38"/>
  <c r="BK81" i="38"/>
  <c r="BK82" i="38"/>
  <c r="BK83" i="38"/>
  <c r="B208" i="38"/>
  <c r="G177" i="38" l="1"/>
  <c r="C136" i="38"/>
  <c r="D140" i="38" s="1"/>
  <c r="B211" i="38"/>
  <c r="D211" i="38" s="1"/>
  <c r="D208" i="38"/>
  <c r="D209" i="38" s="1"/>
  <c r="D212" i="38" l="1"/>
  <c r="G235" i="33" l="1"/>
  <c r="H235" i="33" s="1"/>
  <c r="G236" i="33"/>
  <c r="H236" i="33" s="1"/>
  <c r="G237" i="33"/>
  <c r="H237" i="33" s="1"/>
  <c r="G238" i="33"/>
  <c r="H238" i="33" s="1"/>
  <c r="G239" i="33"/>
  <c r="H239" i="33" s="1"/>
  <c r="G228" i="33"/>
  <c r="H228" i="33" s="1"/>
  <c r="G229" i="33"/>
  <c r="H229" i="33" s="1"/>
  <c r="G230" i="33"/>
  <c r="H230" i="33" s="1"/>
  <c r="G231" i="33"/>
  <c r="H231" i="33" s="1"/>
  <c r="G232" i="33"/>
  <c r="H232" i="33" s="1"/>
  <c r="G233" i="33"/>
  <c r="H233" i="33" s="1"/>
  <c r="G234" i="33"/>
  <c r="H234" i="33" s="1"/>
  <c r="D233" i="33"/>
  <c r="D232" i="33"/>
  <c r="D229" i="33"/>
  <c r="D228" i="33"/>
  <c r="D234" i="33" l="1"/>
  <c r="D217" i="34" l="1"/>
  <c r="D168" i="37" l="1"/>
  <c r="E156" i="37"/>
  <c r="D156" i="37"/>
  <c r="C156" i="37"/>
  <c r="L149" i="37"/>
  <c r="K149" i="37"/>
  <c r="L148" i="37"/>
  <c r="K148" i="37"/>
  <c r="L147" i="37"/>
  <c r="K147" i="37"/>
  <c r="D143" i="37"/>
  <c r="D142" i="37"/>
  <c r="D141" i="37"/>
  <c r="C137" i="37"/>
  <c r="M134" i="37"/>
  <c r="M133" i="37"/>
  <c r="M132" i="37"/>
  <c r="M131" i="37"/>
  <c r="M130" i="37"/>
  <c r="M129" i="37"/>
  <c r="M128" i="37"/>
  <c r="M127" i="37"/>
  <c r="M126" i="37"/>
  <c r="M125" i="37"/>
  <c r="M124" i="37"/>
  <c r="M123" i="37"/>
  <c r="M122" i="37"/>
  <c r="D118" i="37"/>
  <c r="E106" i="37"/>
  <c r="D106" i="37"/>
  <c r="C106" i="37"/>
  <c r="T105" i="37"/>
  <c r="S105" i="37"/>
  <c r="R105" i="37"/>
  <c r="P105" i="37"/>
  <c r="T104" i="37"/>
  <c r="S104" i="37"/>
  <c r="R104" i="37"/>
  <c r="P104" i="37"/>
  <c r="T103" i="37"/>
  <c r="S103" i="37"/>
  <c r="R103" i="37"/>
  <c r="P103" i="37"/>
  <c r="T102" i="37"/>
  <c r="S102" i="37"/>
  <c r="R102" i="37"/>
  <c r="P102" i="37"/>
  <c r="T101" i="37"/>
  <c r="S101" i="37"/>
  <c r="R101" i="37"/>
  <c r="P101" i="37"/>
  <c r="T100" i="37"/>
  <c r="S100" i="37"/>
  <c r="R100" i="37"/>
  <c r="P100" i="37"/>
  <c r="T99" i="37"/>
  <c r="S99" i="37"/>
  <c r="R99" i="37"/>
  <c r="P99" i="37"/>
  <c r="T98" i="37"/>
  <c r="S98" i="37"/>
  <c r="R98" i="37"/>
  <c r="P98" i="37"/>
  <c r="T97" i="37"/>
  <c r="S97" i="37"/>
  <c r="R97" i="37"/>
  <c r="P97" i="37"/>
  <c r="P92" i="37"/>
  <c r="E92" i="37"/>
  <c r="S92" i="37" s="1"/>
  <c r="D92" i="37"/>
  <c r="R92" i="37" s="1"/>
  <c r="BN91" i="37"/>
  <c r="P91" i="37"/>
  <c r="E91" i="37"/>
  <c r="S91" i="37" s="1"/>
  <c r="D91" i="37"/>
  <c r="R91" i="37" s="1"/>
  <c r="BO90" i="37"/>
  <c r="BN90" i="37"/>
  <c r="P90" i="37"/>
  <c r="E90" i="37"/>
  <c r="S90" i="37" s="1"/>
  <c r="D90" i="37"/>
  <c r="R90" i="37" s="1"/>
  <c r="BN89" i="37"/>
  <c r="P89" i="37"/>
  <c r="E89" i="37"/>
  <c r="S89" i="37" s="1"/>
  <c r="D89" i="37"/>
  <c r="R89" i="37" s="1"/>
  <c r="BN88" i="37"/>
  <c r="P88" i="37"/>
  <c r="E88" i="37"/>
  <c r="S88" i="37" s="1"/>
  <c r="D88" i="37"/>
  <c r="R88" i="37" s="1"/>
  <c r="BN87" i="37"/>
  <c r="P87" i="37"/>
  <c r="E87" i="37"/>
  <c r="S87" i="37" s="1"/>
  <c r="D87" i="37"/>
  <c r="R87" i="37" s="1"/>
  <c r="BN86" i="37"/>
  <c r="P86" i="37"/>
  <c r="S86" i="37" s="1"/>
  <c r="BN85" i="37"/>
  <c r="P85" i="37"/>
  <c r="S85" i="37"/>
  <c r="R85" i="37"/>
  <c r="BN84" i="37"/>
  <c r="BL84" i="37"/>
  <c r="BM84" i="37" s="1"/>
  <c r="P84" i="37"/>
  <c r="R84" i="37" s="1"/>
  <c r="S84" i="37"/>
  <c r="BN83" i="37"/>
  <c r="BL83" i="37"/>
  <c r="BM83" i="37" s="1"/>
  <c r="BO82" i="37"/>
  <c r="BN82" i="37"/>
  <c r="BO81" i="37"/>
  <c r="BN81" i="37"/>
  <c r="L81" i="37"/>
  <c r="K81" i="37"/>
  <c r="BO80" i="37"/>
  <c r="BN80" i="37"/>
  <c r="BM80" i="37"/>
  <c r="L80" i="37"/>
  <c r="K80" i="37"/>
  <c r="BO79" i="37"/>
  <c r="BN79" i="37"/>
  <c r="BM79" i="37"/>
  <c r="L79" i="37"/>
  <c r="K79" i="37"/>
  <c r="BO78" i="37"/>
  <c r="BN78" i="37"/>
  <c r="BM78" i="37"/>
  <c r="L78" i="37"/>
  <c r="K78" i="37"/>
  <c r="BO77" i="37"/>
  <c r="BN77" i="37"/>
  <c r="BM77" i="37"/>
  <c r="L77" i="37"/>
  <c r="K77" i="37"/>
  <c r="BM76" i="37"/>
  <c r="L76" i="37"/>
  <c r="K76" i="37"/>
  <c r="BO75" i="37"/>
  <c r="BN75" i="37"/>
  <c r="BM75" i="37"/>
  <c r="L75" i="37"/>
  <c r="K75" i="37"/>
  <c r="BO74" i="37"/>
  <c r="BN74" i="37"/>
  <c r="BM74" i="37"/>
  <c r="L74" i="37"/>
  <c r="K74" i="37"/>
  <c r="BO73" i="37"/>
  <c r="BN73" i="37"/>
  <c r="BM73" i="37"/>
  <c r="BO72" i="37"/>
  <c r="BN72" i="37"/>
  <c r="BM72" i="37"/>
  <c r="BO71" i="37"/>
  <c r="BN71" i="37"/>
  <c r="BM71" i="37"/>
  <c r="BM70" i="37"/>
  <c r="L70" i="37"/>
  <c r="BO69" i="37"/>
  <c r="BN69" i="37"/>
  <c r="BM69" i="37"/>
  <c r="L69" i="37"/>
  <c r="BO68" i="37"/>
  <c r="BN68" i="37"/>
  <c r="BM68" i="37"/>
  <c r="L68" i="37"/>
  <c r="BO67" i="37"/>
  <c r="BN67" i="37"/>
  <c r="BM67" i="37"/>
  <c r="BO66" i="37"/>
  <c r="BN66" i="37"/>
  <c r="BM66" i="37"/>
  <c r="BO65" i="37"/>
  <c r="BN65" i="37"/>
  <c r="BM65" i="37"/>
  <c r="D65" i="37"/>
  <c r="C65" i="37"/>
  <c r="B65" i="37"/>
  <c r="BL64" i="37"/>
  <c r="BN63" i="37"/>
  <c r="BM63" i="37"/>
  <c r="BL63" i="37"/>
  <c r="BN62" i="37"/>
  <c r="BM62" i="37"/>
  <c r="BL62" i="37"/>
  <c r="BO61" i="37"/>
  <c r="BN61" i="37"/>
  <c r="BM61" i="37"/>
  <c r="BO60" i="37"/>
  <c r="BN60" i="37"/>
  <c r="BM60" i="37"/>
  <c r="BO59" i="37"/>
  <c r="BN59" i="37"/>
  <c r="BM59" i="37"/>
  <c r="BO58" i="37"/>
  <c r="BN58" i="37"/>
  <c r="BM58" i="37"/>
  <c r="BO57" i="37"/>
  <c r="BN57" i="37"/>
  <c r="BM57" i="37"/>
  <c r="BO56" i="37"/>
  <c r="BN56" i="37"/>
  <c r="BM56" i="37"/>
  <c r="BO55" i="37"/>
  <c r="BN55" i="37"/>
  <c r="BM55" i="37"/>
  <c r="BM54" i="37"/>
  <c r="BO53" i="37"/>
  <c r="BN53" i="37"/>
  <c r="BM53" i="37"/>
  <c r="BO52" i="37"/>
  <c r="BN52" i="37"/>
  <c r="BM52" i="37"/>
  <c r="BO51" i="37"/>
  <c r="BN51" i="37"/>
  <c r="BM51" i="37"/>
  <c r="AF51" i="37"/>
  <c r="BO50" i="37"/>
  <c r="BN50" i="37"/>
  <c r="BM50" i="37"/>
  <c r="AF50" i="37"/>
  <c r="BO76" i="37" s="1"/>
  <c r="BM49" i="37"/>
  <c r="AF49" i="37"/>
  <c r="BO70" i="37" s="1"/>
  <c r="BO48" i="37"/>
  <c r="BN48" i="37"/>
  <c r="BM48" i="37"/>
  <c r="AF48" i="37"/>
  <c r="BN64" i="37" s="1"/>
  <c r="BO47" i="37"/>
  <c r="BN47" i="37"/>
  <c r="BM47" i="37"/>
  <c r="AF47" i="37"/>
  <c r="BO46" i="37"/>
  <c r="BN46" i="37"/>
  <c r="BM46" i="37"/>
  <c r="AF46" i="37"/>
  <c r="BO54" i="37" s="1"/>
  <c r="BO45" i="37"/>
  <c r="BN45" i="37"/>
  <c r="BM45" i="37"/>
  <c r="AF45" i="37"/>
  <c r="BO49" i="37" s="1"/>
  <c r="BO44" i="37"/>
  <c r="BN44" i="37"/>
  <c r="BM44" i="37"/>
  <c r="AF44" i="37"/>
  <c r="BO43" i="37"/>
  <c r="BN43" i="37"/>
  <c r="BM43" i="37"/>
  <c r="AF43" i="37"/>
  <c r="BO42" i="37"/>
  <c r="BN42" i="37"/>
  <c r="BM42" i="37"/>
  <c r="AF42" i="37"/>
  <c r="BO41" i="37"/>
  <c r="BN41" i="37"/>
  <c r="BM41" i="37"/>
  <c r="AF41" i="37"/>
  <c r="X41" i="37"/>
  <c r="W41" i="37"/>
  <c r="V41" i="37"/>
  <c r="U41" i="37"/>
  <c r="T41" i="37"/>
  <c r="R41" i="37"/>
  <c r="G41" i="37"/>
  <c r="F41" i="37"/>
  <c r="E41" i="37"/>
  <c r="BO40" i="37"/>
  <c r="BN40" i="37"/>
  <c r="BM40" i="37"/>
  <c r="AF40" i="37"/>
  <c r="X40" i="37"/>
  <c r="W40" i="37"/>
  <c r="V40" i="37"/>
  <c r="U40" i="37"/>
  <c r="T40" i="37"/>
  <c r="R40" i="37"/>
  <c r="G40" i="37"/>
  <c r="F40" i="37"/>
  <c r="E40" i="37"/>
  <c r="BO39" i="37"/>
  <c r="BN39" i="37"/>
  <c r="BM39" i="37"/>
  <c r="AF39" i="37"/>
  <c r="X39" i="37"/>
  <c r="W39" i="37"/>
  <c r="V39" i="37"/>
  <c r="U39" i="37"/>
  <c r="T39" i="37"/>
  <c r="R39" i="37"/>
  <c r="G39" i="37"/>
  <c r="F39" i="37"/>
  <c r="E39" i="37"/>
  <c r="BO38" i="37"/>
  <c r="BN38" i="37"/>
  <c r="BM38" i="37"/>
  <c r="AF38" i="37"/>
  <c r="X38" i="37"/>
  <c r="W38" i="37"/>
  <c r="V38" i="37"/>
  <c r="U38" i="37"/>
  <c r="T38" i="37"/>
  <c r="R38" i="37"/>
  <c r="D38" i="37" s="1"/>
  <c r="BO37" i="37"/>
  <c r="BN37" i="37"/>
  <c r="BM37" i="37"/>
  <c r="AF37" i="37"/>
  <c r="BO36" i="37"/>
  <c r="BN36" i="37"/>
  <c r="BM36" i="37"/>
  <c r="AF36" i="37"/>
  <c r="BO35" i="37"/>
  <c r="BN35" i="37"/>
  <c r="BM35" i="37"/>
  <c r="AF35" i="37"/>
  <c r="BO34" i="37"/>
  <c r="BN34" i="37"/>
  <c r="BM34" i="37"/>
  <c r="AF34" i="37"/>
  <c r="BN70" i="37" s="1"/>
  <c r="BM33" i="37"/>
  <c r="BK72" i="37" s="1"/>
  <c r="BL33" i="37"/>
  <c r="AF33" i="37"/>
  <c r="D33" i="37"/>
  <c r="BM32" i="37"/>
  <c r="BJ55" i="37" s="1"/>
  <c r="BL32" i="37"/>
  <c r="AF32" i="37"/>
  <c r="AF31" i="37"/>
  <c r="AD31" i="37"/>
  <c r="AC31" i="37"/>
  <c r="D31" i="37"/>
  <c r="BH30" i="37"/>
  <c r="BG30" i="37"/>
  <c r="BF30" i="37"/>
  <c r="BE30" i="37"/>
  <c r="BD30" i="37"/>
  <c r="BC30" i="37"/>
  <c r="BB30" i="37"/>
  <c r="BA30" i="37"/>
  <c r="AZ30" i="37"/>
  <c r="AY30" i="37"/>
  <c r="AX30" i="37"/>
  <c r="AW30" i="37"/>
  <c r="AV30" i="37"/>
  <c r="AU30" i="37"/>
  <c r="AT30" i="37"/>
  <c r="AS30" i="37"/>
  <c r="AR30" i="37"/>
  <c r="AQ30" i="37"/>
  <c r="AP30" i="37"/>
  <c r="AO30" i="37"/>
  <c r="AF30" i="37"/>
  <c r="AB30" i="37"/>
  <c r="X30" i="37"/>
  <c r="W30" i="37"/>
  <c r="V30" i="37"/>
  <c r="U30" i="37"/>
  <c r="Y30" i="37" s="1"/>
  <c r="T30" i="37"/>
  <c r="P30" i="37"/>
  <c r="O30" i="37"/>
  <c r="N30" i="37"/>
  <c r="M30" i="37"/>
  <c r="L30" i="37"/>
  <c r="K30" i="37"/>
  <c r="R30" i="37" s="1"/>
  <c r="I30" i="37"/>
  <c r="H30" i="37"/>
  <c r="AF29" i="37"/>
  <c r="K29" i="37"/>
  <c r="R29" i="37" s="1"/>
  <c r="I29" i="37"/>
  <c r="H29" i="37"/>
  <c r="AF28" i="37"/>
  <c r="K28" i="37"/>
  <c r="R28" i="37" s="1"/>
  <c r="I28" i="37"/>
  <c r="H28" i="37"/>
  <c r="AF27" i="37"/>
  <c r="K27" i="37"/>
  <c r="R27" i="37" s="1"/>
  <c r="I27" i="37"/>
  <c r="H27" i="37"/>
  <c r="BH26" i="37"/>
  <c r="BD26" i="37"/>
  <c r="AZ26" i="37"/>
  <c r="AV26" i="37"/>
  <c r="AR26" i="37"/>
  <c r="AF26" i="37"/>
  <c r="X26" i="37"/>
  <c r="W26" i="37"/>
  <c r="V26" i="37"/>
  <c r="U26" i="37"/>
  <c r="T26" i="37"/>
  <c r="P26" i="37"/>
  <c r="O26" i="37"/>
  <c r="N26" i="37"/>
  <c r="M26" i="37"/>
  <c r="L26" i="37"/>
  <c r="K26" i="37"/>
  <c r="R26" i="37" s="1"/>
  <c r="I26" i="37"/>
  <c r="BG26" i="37" s="1"/>
  <c r="H26" i="37"/>
  <c r="BH25" i="37"/>
  <c r="BG25" i="37"/>
  <c r="BF25" i="37"/>
  <c r="BE25" i="37"/>
  <c r="BD25" i="37"/>
  <c r="BC25" i="37"/>
  <c r="BB25" i="37"/>
  <c r="BA25" i="37"/>
  <c r="AZ25" i="37"/>
  <c r="AY25" i="37"/>
  <c r="AX25" i="37"/>
  <c r="AW25" i="37"/>
  <c r="AV25" i="37"/>
  <c r="AU25" i="37"/>
  <c r="AT25" i="37"/>
  <c r="AS25" i="37"/>
  <c r="AR25" i="37"/>
  <c r="AQ25" i="37"/>
  <c r="AP25" i="37"/>
  <c r="AO25" i="37"/>
  <c r="AF25" i="37"/>
  <c r="AB25" i="37"/>
  <c r="X25" i="37"/>
  <c r="W25" i="37"/>
  <c r="V25" i="37"/>
  <c r="U25" i="37"/>
  <c r="Y25" i="37" s="1"/>
  <c r="T25" i="37"/>
  <c r="P25" i="37"/>
  <c r="O25" i="37"/>
  <c r="N25" i="37"/>
  <c r="M25" i="37"/>
  <c r="L25" i="37"/>
  <c r="K25" i="37"/>
  <c r="R25" i="37" s="1"/>
  <c r="I25" i="37"/>
  <c r="H25" i="37"/>
  <c r="AF24" i="37"/>
  <c r="K24" i="37"/>
  <c r="R24" i="37" s="1"/>
  <c r="I24" i="37"/>
  <c r="H24" i="37"/>
  <c r="AF23" i="37"/>
  <c r="AF22" i="37"/>
  <c r="AF21" i="37"/>
  <c r="AF20" i="37"/>
  <c r="D20" i="37"/>
  <c r="AF19" i="37"/>
  <c r="AF18" i="37"/>
  <c r="AF17" i="37"/>
  <c r="AF16" i="37"/>
  <c r="AF15" i="37"/>
  <c r="AF14" i="37"/>
  <c r="AF13" i="37"/>
  <c r="AF12" i="37"/>
  <c r="AF11" i="37"/>
  <c r="AF10" i="37"/>
  <c r="AF9" i="37"/>
  <c r="AF8" i="37"/>
  <c r="J8" i="37"/>
  <c r="AF7" i="37"/>
  <c r="AF6" i="37"/>
  <c r="AF5" i="37"/>
  <c r="AF4" i="37"/>
  <c r="AF3" i="37"/>
  <c r="BJ56" i="37" l="1"/>
  <c r="T106" i="37"/>
  <c r="BO89" i="37" s="1"/>
  <c r="BM64" i="37"/>
  <c r="BJ80" i="37"/>
  <c r="D32" i="37"/>
  <c r="C136" i="37" s="1"/>
  <c r="BJ52" i="37"/>
  <c r="S106" i="37"/>
  <c r="BO88" i="37" s="1"/>
  <c r="BJ65" i="37"/>
  <c r="BJ70" i="37"/>
  <c r="AO29" i="37"/>
  <c r="AP29" i="37"/>
  <c r="R106" i="37"/>
  <c r="BO87" i="37" s="1"/>
  <c r="D140" i="37"/>
  <c r="R86" i="37"/>
  <c r="AP28" i="37"/>
  <c r="AO28" i="37"/>
  <c r="AO27" i="37"/>
  <c r="AP27" i="37"/>
  <c r="AO26" i="37"/>
  <c r="AS26" i="37"/>
  <c r="AW26" i="37"/>
  <c r="BA26" i="37"/>
  <c r="BE26" i="37"/>
  <c r="AP26" i="37"/>
  <c r="AT26" i="37"/>
  <c r="AX26" i="37"/>
  <c r="BB26" i="37"/>
  <c r="BF26" i="37"/>
  <c r="AB26" i="37"/>
  <c r="AQ26" i="37"/>
  <c r="AU26" i="37"/>
  <c r="AY26" i="37"/>
  <c r="BC26" i="37"/>
  <c r="AO24" i="37"/>
  <c r="AO31" i="37" s="1"/>
  <c r="AP24" i="37"/>
  <c r="AP31" i="37" s="1"/>
  <c r="R93" i="37"/>
  <c r="BO85" i="37" s="1"/>
  <c r="BK46" i="37"/>
  <c r="BJ62" i="37"/>
  <c r="BK74" i="37"/>
  <c r="BK37" i="37"/>
  <c r="BK34" i="37"/>
  <c r="BK49" i="37"/>
  <c r="BK51" i="37"/>
  <c r="BK54" i="37"/>
  <c r="BK70" i="37"/>
  <c r="BK81" i="37"/>
  <c r="BK55" i="37"/>
  <c r="BJ63" i="37"/>
  <c r="BK83" i="37"/>
  <c r="BK40" i="37"/>
  <c r="BK47" i="37"/>
  <c r="BK50" i="37"/>
  <c r="BK60" i="37"/>
  <c r="BK67" i="37"/>
  <c r="BK78" i="37"/>
  <c r="BK82" i="37"/>
  <c r="BK52" i="37"/>
  <c r="BJ39" i="37"/>
  <c r="BJ53" i="37"/>
  <c r="BJ61" i="37"/>
  <c r="BI63" i="37"/>
  <c r="BJ42" i="37"/>
  <c r="BJ50" i="37"/>
  <c r="BI64" i="37"/>
  <c r="BJ75" i="37"/>
  <c r="BJ40" i="37"/>
  <c r="BJ44" i="37"/>
  <c r="R31" i="37"/>
  <c r="S93" i="37"/>
  <c r="BO86" i="37" s="1"/>
  <c r="BJ90" i="37"/>
  <c r="BJ86" i="37"/>
  <c r="BJ84" i="37"/>
  <c r="BJ78" i="37"/>
  <c r="BJ76" i="37"/>
  <c r="BJ72" i="37"/>
  <c r="BJ68" i="37"/>
  <c r="BI62" i="37"/>
  <c r="BJ58" i="37"/>
  <c r="BJ54" i="37"/>
  <c r="BJ49" i="37"/>
  <c r="BJ47" i="37"/>
  <c r="BJ45" i="37"/>
  <c r="BJ41" i="37"/>
  <c r="BJ37" i="37"/>
  <c r="BJ36" i="37"/>
  <c r="BJ35" i="37"/>
  <c r="BJ34" i="37"/>
  <c r="BK89" i="37"/>
  <c r="BK85" i="37"/>
  <c r="BK79" i="37"/>
  <c r="BK73" i="37"/>
  <c r="BK69" i="37"/>
  <c r="BK66" i="37"/>
  <c r="BK61" i="37"/>
  <c r="BK57" i="37"/>
  <c r="BK53" i="37"/>
  <c r="BK44" i="37"/>
  <c r="BK42" i="37"/>
  <c r="BK38" i="37"/>
  <c r="BK36" i="37"/>
  <c r="BK39" i="37"/>
  <c r="BJ43" i="37"/>
  <c r="BK45" i="37"/>
  <c r="BJ48" i="37"/>
  <c r="BN49" i="37"/>
  <c r="BK56" i="37"/>
  <c r="BJ57" i="37"/>
  <c r="BK58" i="37"/>
  <c r="BJ59" i="37"/>
  <c r="BJ64" i="37"/>
  <c r="BK65" i="37"/>
  <c r="BJ66" i="37"/>
  <c r="BK68" i="37"/>
  <c r="BJ71" i="37"/>
  <c r="BJ73" i="37"/>
  <c r="BK75" i="37"/>
  <c r="BN76" i="37"/>
  <c r="BJ77" i="37"/>
  <c r="BK80" i="37"/>
  <c r="BK84" i="37"/>
  <c r="BJ88" i="37"/>
  <c r="BJ91" i="37"/>
  <c r="BK35" i="37"/>
  <c r="BJ38" i="37"/>
  <c r="BK41" i="37"/>
  <c r="BK43" i="37"/>
  <c r="BJ46" i="37"/>
  <c r="BK48" i="37"/>
  <c r="BJ51" i="37"/>
  <c r="BN54" i="37"/>
  <c r="BK59" i="37"/>
  <c r="BJ60" i="37"/>
  <c r="BJ67" i="37"/>
  <c r="BJ69" i="37"/>
  <c r="BK71" i="37"/>
  <c r="BJ74" i="37"/>
  <c r="BK77" i="37"/>
  <c r="BJ79" i="37"/>
  <c r="BJ87" i="37"/>
  <c r="BK88" i="37"/>
  <c r="BJ89" i="37"/>
  <c r="BK90" i="37"/>
  <c r="BK91" i="37"/>
  <c r="Y26" i="37"/>
  <c r="BK76" i="37"/>
  <c r="BJ81" i="37"/>
  <c r="BJ82" i="37"/>
  <c r="BJ83" i="37"/>
  <c r="BJ85" i="37"/>
  <c r="BK86" i="37"/>
  <c r="BK87" i="37"/>
  <c r="G177" i="37" l="1"/>
  <c r="H177" i="37"/>
  <c r="D20" i="34" l="1"/>
  <c r="B193" i="34" l="1"/>
  <c r="D192" i="34"/>
  <c r="C191" i="34"/>
  <c r="C192" i="34" s="1"/>
  <c r="D188" i="34"/>
  <c r="D194" i="34" s="1"/>
  <c r="C188" i="34"/>
  <c r="C193" i="34" l="1"/>
  <c r="D168" i="36"/>
  <c r="E156" i="36"/>
  <c r="D156" i="36"/>
  <c r="C156" i="36"/>
  <c r="L149" i="36"/>
  <c r="K149" i="36"/>
  <c r="L148" i="36"/>
  <c r="K148" i="36"/>
  <c r="L147" i="36"/>
  <c r="K147" i="36"/>
  <c r="D143" i="36"/>
  <c r="D142" i="36"/>
  <c r="D141" i="36"/>
  <c r="M134" i="36"/>
  <c r="M133" i="36"/>
  <c r="M132" i="36"/>
  <c r="M131" i="36"/>
  <c r="M130" i="36"/>
  <c r="M129" i="36"/>
  <c r="M128" i="36"/>
  <c r="M127" i="36"/>
  <c r="M126" i="36"/>
  <c r="M125" i="36"/>
  <c r="M124" i="36"/>
  <c r="M123" i="36"/>
  <c r="M122" i="36"/>
  <c r="D118" i="36"/>
  <c r="E106" i="36"/>
  <c r="D106" i="36"/>
  <c r="C106" i="36"/>
  <c r="T105" i="36"/>
  <c r="S105" i="36"/>
  <c r="R105" i="36"/>
  <c r="P105" i="36"/>
  <c r="T104" i="36"/>
  <c r="S104" i="36"/>
  <c r="R104" i="36"/>
  <c r="P104" i="36"/>
  <c r="T103" i="36"/>
  <c r="S103" i="36"/>
  <c r="R103" i="36"/>
  <c r="P103" i="36"/>
  <c r="T102" i="36"/>
  <c r="S102" i="36"/>
  <c r="R102" i="36"/>
  <c r="P102" i="36"/>
  <c r="T101" i="36"/>
  <c r="S101" i="36"/>
  <c r="R101" i="36"/>
  <c r="P101" i="36"/>
  <c r="T100" i="36"/>
  <c r="S100" i="36"/>
  <c r="R100" i="36"/>
  <c r="P100" i="36"/>
  <c r="T99" i="36"/>
  <c r="S99" i="36"/>
  <c r="R99" i="36"/>
  <c r="P99" i="36"/>
  <c r="T98" i="36"/>
  <c r="S98" i="36"/>
  <c r="R98" i="36"/>
  <c r="P98" i="36"/>
  <c r="T97" i="36"/>
  <c r="S97" i="36"/>
  <c r="R97" i="36"/>
  <c r="P97" i="36"/>
  <c r="P92" i="36"/>
  <c r="E92" i="36"/>
  <c r="S92" i="36" s="1"/>
  <c r="D92" i="36"/>
  <c r="R92" i="36" s="1"/>
  <c r="BN91" i="36"/>
  <c r="P91" i="36"/>
  <c r="E91" i="36"/>
  <c r="S91" i="36" s="1"/>
  <c r="D91" i="36"/>
  <c r="R91" i="36" s="1"/>
  <c r="BO90" i="36"/>
  <c r="BN90" i="36"/>
  <c r="P90" i="36"/>
  <c r="E90" i="36"/>
  <c r="S90" i="36" s="1"/>
  <c r="D90" i="36"/>
  <c r="R90" i="36" s="1"/>
  <c r="BN89" i="36"/>
  <c r="P89" i="36"/>
  <c r="E89" i="36"/>
  <c r="S89" i="36" s="1"/>
  <c r="D89" i="36"/>
  <c r="R89" i="36" s="1"/>
  <c r="BN88" i="36"/>
  <c r="P88" i="36"/>
  <c r="E88" i="36"/>
  <c r="S88" i="36" s="1"/>
  <c r="D88" i="36"/>
  <c r="R88" i="36" s="1"/>
  <c r="BN87" i="36"/>
  <c r="P87" i="36"/>
  <c r="E87" i="36"/>
  <c r="S87" i="36" s="1"/>
  <c r="D87" i="36"/>
  <c r="R87" i="36" s="1"/>
  <c r="BN86" i="36"/>
  <c r="P86" i="36"/>
  <c r="E86" i="36"/>
  <c r="S86" i="36" s="1"/>
  <c r="D86" i="36"/>
  <c r="R86" i="36" s="1"/>
  <c r="BN85" i="36"/>
  <c r="P85" i="36"/>
  <c r="BN84" i="36"/>
  <c r="BL84" i="36"/>
  <c r="BM84" i="36" s="1"/>
  <c r="P84" i="36"/>
  <c r="BN83" i="36"/>
  <c r="BL83" i="36"/>
  <c r="BM83" i="36" s="1"/>
  <c r="BO82" i="36"/>
  <c r="BN82" i="36"/>
  <c r="BO81" i="36"/>
  <c r="BN81" i="36"/>
  <c r="L81" i="36"/>
  <c r="K81" i="36"/>
  <c r="BO80" i="36"/>
  <c r="BN80" i="36"/>
  <c r="BM80" i="36"/>
  <c r="L80" i="36"/>
  <c r="K80" i="36"/>
  <c r="BO79" i="36"/>
  <c r="BN79" i="36"/>
  <c r="BM79" i="36"/>
  <c r="L79" i="36"/>
  <c r="K79" i="36"/>
  <c r="BO78" i="36"/>
  <c r="BN78" i="36"/>
  <c r="BM78" i="36"/>
  <c r="L78" i="36"/>
  <c r="K78" i="36"/>
  <c r="BO77" i="36"/>
  <c r="BN77" i="36"/>
  <c r="BM77" i="36"/>
  <c r="L77" i="36"/>
  <c r="K77" i="36"/>
  <c r="BO76" i="36"/>
  <c r="BM76" i="36"/>
  <c r="L76" i="36"/>
  <c r="K76" i="36"/>
  <c r="BO75" i="36"/>
  <c r="BN75" i="36"/>
  <c r="BM75" i="36"/>
  <c r="L75" i="36"/>
  <c r="K75" i="36"/>
  <c r="BO74" i="36"/>
  <c r="BN74" i="36"/>
  <c r="BM74" i="36"/>
  <c r="L74" i="36"/>
  <c r="K74" i="36"/>
  <c r="BO73" i="36"/>
  <c r="BN73" i="36"/>
  <c r="BM73" i="36"/>
  <c r="L73" i="36"/>
  <c r="BO72" i="36"/>
  <c r="BN72" i="36"/>
  <c r="BM72" i="36"/>
  <c r="BO71" i="36"/>
  <c r="BN71" i="36"/>
  <c r="BM71" i="36"/>
  <c r="L71" i="36"/>
  <c r="BM70" i="36"/>
  <c r="L70" i="36"/>
  <c r="BO69" i="36"/>
  <c r="BN69" i="36"/>
  <c r="BM69" i="36"/>
  <c r="L69" i="36"/>
  <c r="BO68" i="36"/>
  <c r="BN68" i="36"/>
  <c r="BM68" i="36"/>
  <c r="L68" i="36"/>
  <c r="BO67" i="36"/>
  <c r="BN67" i="36"/>
  <c r="BM67" i="36"/>
  <c r="BO66" i="36"/>
  <c r="BN66" i="36"/>
  <c r="BM66" i="36"/>
  <c r="BO65" i="36"/>
  <c r="BN65" i="36"/>
  <c r="BM65" i="36"/>
  <c r="D65" i="36"/>
  <c r="C65" i="36"/>
  <c r="B65" i="36"/>
  <c r="BL64" i="36"/>
  <c r="BN63" i="36"/>
  <c r="BM63" i="36"/>
  <c r="BL63" i="36"/>
  <c r="BN62" i="36"/>
  <c r="BM62" i="36"/>
  <c r="BL62" i="36"/>
  <c r="BO61" i="36"/>
  <c r="BN61" i="36"/>
  <c r="BM61" i="36"/>
  <c r="BO60" i="36"/>
  <c r="BN60" i="36"/>
  <c r="BM60" i="36"/>
  <c r="BO59" i="36"/>
  <c r="BN59" i="36"/>
  <c r="BM59" i="36"/>
  <c r="BO58" i="36"/>
  <c r="BN58" i="36"/>
  <c r="BM58" i="36"/>
  <c r="BO57" i="36"/>
  <c r="BN57" i="36"/>
  <c r="BM57" i="36"/>
  <c r="BO56" i="36"/>
  <c r="BN56" i="36"/>
  <c r="BM56" i="36"/>
  <c r="BO55" i="36"/>
  <c r="BN55" i="36"/>
  <c r="BM55" i="36"/>
  <c r="BM54" i="36"/>
  <c r="BO53" i="36"/>
  <c r="BN53" i="36"/>
  <c r="BM53" i="36"/>
  <c r="BO52" i="36"/>
  <c r="BN52" i="36"/>
  <c r="BM52" i="36"/>
  <c r="BO51" i="36"/>
  <c r="BN51" i="36"/>
  <c r="BM51" i="36"/>
  <c r="AF51" i="36"/>
  <c r="BO50" i="36"/>
  <c r="BN50" i="36"/>
  <c r="BM50" i="36"/>
  <c r="AF50" i="36"/>
  <c r="BM49" i="36"/>
  <c r="AF49" i="36"/>
  <c r="BO70" i="36" s="1"/>
  <c r="BO48" i="36"/>
  <c r="BN48" i="36"/>
  <c r="BM48" i="36"/>
  <c r="AF48" i="36"/>
  <c r="BN64" i="36" s="1"/>
  <c r="BO47" i="36"/>
  <c r="BN47" i="36"/>
  <c r="BM47" i="36"/>
  <c r="AF47" i="36"/>
  <c r="BO46" i="36"/>
  <c r="BN46" i="36"/>
  <c r="BM46" i="36"/>
  <c r="AF46" i="36"/>
  <c r="BO54" i="36" s="1"/>
  <c r="BO45" i="36"/>
  <c r="BN45" i="36"/>
  <c r="BM45" i="36"/>
  <c r="AF45" i="36"/>
  <c r="BO49" i="36" s="1"/>
  <c r="BO44" i="36"/>
  <c r="BN44" i="36"/>
  <c r="BM44" i="36"/>
  <c r="AF44" i="36"/>
  <c r="BO43" i="36"/>
  <c r="BN43" i="36"/>
  <c r="BM43" i="36"/>
  <c r="AF43" i="36"/>
  <c r="BO42" i="36"/>
  <c r="BN42" i="36"/>
  <c r="BM42" i="36"/>
  <c r="AF42" i="36"/>
  <c r="BO41" i="36"/>
  <c r="BN41" i="36"/>
  <c r="BM41" i="36"/>
  <c r="AF41" i="36"/>
  <c r="X41" i="36"/>
  <c r="W41" i="36"/>
  <c r="V41" i="36"/>
  <c r="U41" i="36"/>
  <c r="T41" i="36"/>
  <c r="R41" i="36"/>
  <c r="G41" i="36"/>
  <c r="F41" i="36"/>
  <c r="E41" i="36"/>
  <c r="BO40" i="36"/>
  <c r="BN40" i="36"/>
  <c r="BM40" i="36"/>
  <c r="AF40" i="36"/>
  <c r="X40" i="36"/>
  <c r="W40" i="36"/>
  <c r="V40" i="36"/>
  <c r="U40" i="36"/>
  <c r="T40" i="36"/>
  <c r="R40" i="36"/>
  <c r="G40" i="36"/>
  <c r="F40" i="36"/>
  <c r="E40" i="36"/>
  <c r="BO39" i="36"/>
  <c r="BN39" i="36"/>
  <c r="BM39" i="36"/>
  <c r="AF39" i="36"/>
  <c r="X39" i="36"/>
  <c r="W39" i="36"/>
  <c r="V39" i="36"/>
  <c r="U39" i="36"/>
  <c r="T39" i="36"/>
  <c r="R39" i="36"/>
  <c r="G39" i="36"/>
  <c r="F39" i="36"/>
  <c r="E39" i="36"/>
  <c r="BO38" i="36"/>
  <c r="BN38" i="36"/>
  <c r="BM38" i="36"/>
  <c r="AF38" i="36"/>
  <c r="X38" i="36"/>
  <c r="W38" i="36"/>
  <c r="V38" i="36"/>
  <c r="U38" i="36"/>
  <c r="T38" i="36"/>
  <c r="R38" i="36"/>
  <c r="D38" i="36" s="1"/>
  <c r="BO37" i="36"/>
  <c r="BN37" i="36"/>
  <c r="BM37" i="36"/>
  <c r="AF37" i="36"/>
  <c r="BO36" i="36"/>
  <c r="BN36" i="36"/>
  <c r="BM36" i="36"/>
  <c r="AF36" i="36"/>
  <c r="BO35" i="36"/>
  <c r="BN35" i="36"/>
  <c r="BM35" i="36"/>
  <c r="AF35" i="36"/>
  <c r="BO34" i="36"/>
  <c r="BN34" i="36"/>
  <c r="BM34" i="36"/>
  <c r="AF34" i="36"/>
  <c r="BN76" i="36" s="1"/>
  <c r="BM33" i="36"/>
  <c r="BK74" i="36" s="1"/>
  <c r="BL33" i="36"/>
  <c r="AF33" i="36"/>
  <c r="D33" i="36"/>
  <c r="BM32" i="36"/>
  <c r="BJ91" i="36" s="1"/>
  <c r="BL32" i="36"/>
  <c r="AF32" i="36"/>
  <c r="AF31" i="36"/>
  <c r="AD31" i="36"/>
  <c r="AC31" i="36"/>
  <c r="D31" i="36"/>
  <c r="BH30" i="36"/>
  <c r="BG30" i="36"/>
  <c r="BF30" i="36"/>
  <c r="BE30" i="36"/>
  <c r="BD30" i="36"/>
  <c r="BC30" i="36"/>
  <c r="BB30" i="36"/>
  <c r="BA30" i="36"/>
  <c r="AZ30" i="36"/>
  <c r="AY30" i="36"/>
  <c r="AX30" i="36"/>
  <c r="AW30" i="36"/>
  <c r="AV30" i="36"/>
  <c r="AU30" i="36"/>
  <c r="AT30" i="36"/>
  <c r="AS30" i="36"/>
  <c r="AR30" i="36"/>
  <c r="AQ30" i="36"/>
  <c r="AP30" i="36"/>
  <c r="AO30" i="36"/>
  <c r="AF30" i="36"/>
  <c r="AB30" i="36"/>
  <c r="X30" i="36"/>
  <c r="W30" i="36"/>
  <c r="V30" i="36"/>
  <c r="U30" i="36"/>
  <c r="Y30" i="36" s="1"/>
  <c r="T30" i="36"/>
  <c r="P30" i="36"/>
  <c r="O30" i="36"/>
  <c r="N30" i="36"/>
  <c r="M30" i="36"/>
  <c r="L30" i="36"/>
  <c r="K30" i="36"/>
  <c r="R30" i="36" s="1"/>
  <c r="I30" i="36"/>
  <c r="H30" i="36"/>
  <c r="BH29" i="36"/>
  <c r="BG29" i="36"/>
  <c r="BF29" i="36"/>
  <c r="BE29" i="36"/>
  <c r="BD29" i="36"/>
  <c r="BC29" i="36"/>
  <c r="BB29" i="36"/>
  <c r="BA29" i="36"/>
  <c r="AZ29" i="36"/>
  <c r="AY29" i="36"/>
  <c r="AX29" i="36"/>
  <c r="AW29" i="36"/>
  <c r="AV29" i="36"/>
  <c r="AU29" i="36"/>
  <c r="AT29" i="36"/>
  <c r="AS29" i="36"/>
  <c r="AR29" i="36"/>
  <c r="AQ29" i="36"/>
  <c r="AP29" i="36"/>
  <c r="AO29" i="36"/>
  <c r="AF29" i="36"/>
  <c r="AB29" i="36"/>
  <c r="X29" i="36"/>
  <c r="W29" i="36"/>
  <c r="V29" i="36"/>
  <c r="U29" i="36"/>
  <c r="Y29" i="36" s="1"/>
  <c r="T29" i="36"/>
  <c r="P29" i="36"/>
  <c r="O29" i="36"/>
  <c r="N29" i="36"/>
  <c r="M29" i="36"/>
  <c r="L29" i="36"/>
  <c r="K29" i="36"/>
  <c r="R29" i="36" s="1"/>
  <c r="I29" i="36"/>
  <c r="H29" i="36"/>
  <c r="BH28" i="36"/>
  <c r="BG28" i="36"/>
  <c r="BF28" i="36"/>
  <c r="BE28" i="36"/>
  <c r="BD28" i="36"/>
  <c r="BC28" i="36"/>
  <c r="BB28" i="36"/>
  <c r="BA28" i="36"/>
  <c r="AZ28" i="36"/>
  <c r="AY28" i="36"/>
  <c r="AX28" i="36"/>
  <c r="AW28" i="36"/>
  <c r="AV28" i="36"/>
  <c r="AU28" i="36"/>
  <c r="AT28" i="36"/>
  <c r="AS28" i="36"/>
  <c r="AR28" i="36"/>
  <c r="AQ28" i="36"/>
  <c r="AP28" i="36"/>
  <c r="AO28" i="36"/>
  <c r="AF28" i="36"/>
  <c r="AB28" i="36"/>
  <c r="X28" i="36"/>
  <c r="W28" i="36"/>
  <c r="V28" i="36"/>
  <c r="U28" i="36"/>
  <c r="Y28" i="36" s="1"/>
  <c r="T28" i="36"/>
  <c r="P28" i="36"/>
  <c r="O28" i="36"/>
  <c r="N28" i="36"/>
  <c r="M28" i="36"/>
  <c r="L28" i="36"/>
  <c r="K28" i="36"/>
  <c r="R28" i="36" s="1"/>
  <c r="I28" i="36"/>
  <c r="H28" i="36"/>
  <c r="BH27" i="36"/>
  <c r="BG27" i="36"/>
  <c r="BF27" i="36"/>
  <c r="BE27" i="36"/>
  <c r="BD27" i="36"/>
  <c r="BC27" i="36"/>
  <c r="BB27" i="36"/>
  <c r="BA27" i="36"/>
  <c r="AZ27" i="36"/>
  <c r="AY27" i="36"/>
  <c r="AX27" i="36"/>
  <c r="AW27" i="36"/>
  <c r="AV27" i="36"/>
  <c r="AU27" i="36"/>
  <c r="AT27" i="36"/>
  <c r="AS27" i="36"/>
  <c r="AR27" i="36"/>
  <c r="AQ27" i="36"/>
  <c r="AP27" i="36"/>
  <c r="AO27" i="36"/>
  <c r="AF27" i="36"/>
  <c r="AB27" i="36"/>
  <c r="X27" i="36"/>
  <c r="W27" i="36"/>
  <c r="V27" i="36"/>
  <c r="U27" i="36"/>
  <c r="Y27" i="36" s="1"/>
  <c r="T27" i="36"/>
  <c r="P27" i="36"/>
  <c r="O27" i="36"/>
  <c r="N27" i="36"/>
  <c r="M27" i="36"/>
  <c r="L27" i="36"/>
  <c r="K27" i="36"/>
  <c r="R27" i="36" s="1"/>
  <c r="I27" i="36"/>
  <c r="H27" i="36"/>
  <c r="BH26" i="36"/>
  <c r="BG26" i="36"/>
  <c r="BF26" i="36"/>
  <c r="BE26" i="36"/>
  <c r="BD26" i="36"/>
  <c r="BC26" i="36"/>
  <c r="BB26" i="36"/>
  <c r="BA26" i="36"/>
  <c r="AZ26" i="36"/>
  <c r="AY26" i="36"/>
  <c r="AX26" i="36"/>
  <c r="AW26" i="36"/>
  <c r="AV26" i="36"/>
  <c r="AU26" i="36"/>
  <c r="AT26" i="36"/>
  <c r="AS26" i="36"/>
  <c r="AR26" i="36"/>
  <c r="AQ26" i="36"/>
  <c r="AP26" i="36"/>
  <c r="AO26" i="36"/>
  <c r="AF26" i="36"/>
  <c r="AB26" i="36"/>
  <c r="X26" i="36"/>
  <c r="W26" i="36"/>
  <c r="V26" i="36"/>
  <c r="U26" i="36"/>
  <c r="Y26" i="36" s="1"/>
  <c r="T26" i="36"/>
  <c r="P26" i="36"/>
  <c r="O26" i="36"/>
  <c r="N26" i="36"/>
  <c r="M26" i="36"/>
  <c r="L26" i="36"/>
  <c r="K26" i="36"/>
  <c r="R26" i="36" s="1"/>
  <c r="I26" i="36"/>
  <c r="H26" i="36"/>
  <c r="BH25" i="36"/>
  <c r="BG25" i="36"/>
  <c r="BF25" i="36"/>
  <c r="BE25" i="36"/>
  <c r="BD25" i="36"/>
  <c r="BC25" i="36"/>
  <c r="BB25" i="36"/>
  <c r="BA25" i="36"/>
  <c r="AZ25" i="36"/>
  <c r="AY25" i="36"/>
  <c r="AX25" i="36"/>
  <c r="AW25" i="36"/>
  <c r="AV25" i="36"/>
  <c r="AU25" i="36"/>
  <c r="AT25" i="36"/>
  <c r="AS25" i="36"/>
  <c r="AR25" i="36"/>
  <c r="AQ25" i="36"/>
  <c r="AP25" i="36"/>
  <c r="AO25" i="36"/>
  <c r="AF25" i="36"/>
  <c r="AB25" i="36"/>
  <c r="X25" i="36"/>
  <c r="W25" i="36"/>
  <c r="V25" i="36"/>
  <c r="U25" i="36"/>
  <c r="Y25" i="36" s="1"/>
  <c r="T25" i="36"/>
  <c r="P25" i="36"/>
  <c r="O25" i="36"/>
  <c r="N25" i="36"/>
  <c r="M25" i="36"/>
  <c r="L25" i="36"/>
  <c r="K25" i="36"/>
  <c r="R25" i="36" s="1"/>
  <c r="I25" i="36"/>
  <c r="H25" i="36"/>
  <c r="BH24" i="36"/>
  <c r="BG24" i="36"/>
  <c r="BF24" i="36"/>
  <c r="BE24" i="36"/>
  <c r="BD24" i="36"/>
  <c r="BC24" i="36"/>
  <c r="BB24" i="36"/>
  <c r="BA24" i="36"/>
  <c r="AZ24" i="36"/>
  <c r="AY24" i="36"/>
  <c r="AX24" i="36"/>
  <c r="AW24" i="36"/>
  <c r="AV24" i="36"/>
  <c r="AU24" i="36"/>
  <c r="AT24" i="36"/>
  <c r="AS24" i="36"/>
  <c r="AR24" i="36"/>
  <c r="AQ24" i="36"/>
  <c r="AP24" i="36"/>
  <c r="AO24" i="36"/>
  <c r="AF24" i="36"/>
  <c r="AB24" i="36"/>
  <c r="X24" i="36"/>
  <c r="W24" i="36"/>
  <c r="V24" i="36"/>
  <c r="U24" i="36"/>
  <c r="T24" i="36"/>
  <c r="P24" i="36"/>
  <c r="O24" i="36"/>
  <c r="N24" i="36"/>
  <c r="M24" i="36"/>
  <c r="L24" i="36"/>
  <c r="K24" i="36"/>
  <c r="R24" i="36" s="1"/>
  <c r="I24" i="36"/>
  <c r="H24" i="36"/>
  <c r="AF23" i="36"/>
  <c r="AF22" i="36"/>
  <c r="AF21" i="36"/>
  <c r="AF20" i="36"/>
  <c r="D20" i="36"/>
  <c r="AF19" i="36"/>
  <c r="AF18" i="36"/>
  <c r="AF17" i="36"/>
  <c r="AF16" i="36"/>
  <c r="AF15" i="36"/>
  <c r="AF14" i="36"/>
  <c r="AF13" i="36"/>
  <c r="AF12" i="36"/>
  <c r="AF11" i="36"/>
  <c r="AF10" i="36"/>
  <c r="AF9" i="36"/>
  <c r="AF8" i="36"/>
  <c r="J8" i="36"/>
  <c r="N45" i="36" s="1"/>
  <c r="AF7" i="36"/>
  <c r="AF6" i="36"/>
  <c r="AF5" i="36"/>
  <c r="AF4" i="36"/>
  <c r="AF3" i="36"/>
  <c r="D168" i="35"/>
  <c r="E156" i="35"/>
  <c r="D156" i="35"/>
  <c r="C156" i="35"/>
  <c r="L149" i="35"/>
  <c r="K149" i="35"/>
  <c r="L148" i="35"/>
  <c r="K148" i="35"/>
  <c r="L147" i="35"/>
  <c r="K147" i="35"/>
  <c r="D143" i="35"/>
  <c r="D142" i="35"/>
  <c r="D141" i="35"/>
  <c r="C137" i="35"/>
  <c r="M134" i="35"/>
  <c r="M133" i="35"/>
  <c r="M132" i="35"/>
  <c r="M131" i="35"/>
  <c r="M130" i="35"/>
  <c r="M129" i="35"/>
  <c r="M128" i="35"/>
  <c r="M127" i="35"/>
  <c r="M126" i="35"/>
  <c r="M125" i="35"/>
  <c r="M124" i="35"/>
  <c r="M123" i="35"/>
  <c r="M122" i="35"/>
  <c r="D118" i="35"/>
  <c r="E106" i="35"/>
  <c r="D106" i="35"/>
  <c r="C106" i="35"/>
  <c r="T105" i="35"/>
  <c r="S105" i="35"/>
  <c r="R105" i="35"/>
  <c r="P105" i="35"/>
  <c r="T104" i="35"/>
  <c r="S104" i="35"/>
  <c r="R104" i="35"/>
  <c r="P104" i="35"/>
  <c r="T103" i="35"/>
  <c r="S103" i="35"/>
  <c r="R103" i="35"/>
  <c r="P103" i="35"/>
  <c r="T102" i="35"/>
  <c r="S102" i="35"/>
  <c r="R102" i="35"/>
  <c r="P102" i="35"/>
  <c r="T101" i="35"/>
  <c r="S101" i="35"/>
  <c r="R101" i="35"/>
  <c r="P101" i="35"/>
  <c r="T100" i="35"/>
  <c r="S100" i="35"/>
  <c r="R100" i="35"/>
  <c r="P100" i="35"/>
  <c r="T99" i="35"/>
  <c r="S99" i="35"/>
  <c r="R99" i="35"/>
  <c r="P99" i="35"/>
  <c r="T98" i="35"/>
  <c r="S98" i="35"/>
  <c r="R98" i="35"/>
  <c r="P98" i="35"/>
  <c r="T97" i="35"/>
  <c r="S97" i="35"/>
  <c r="R97" i="35"/>
  <c r="P97" i="35"/>
  <c r="P92" i="35"/>
  <c r="E92" i="35"/>
  <c r="S92" i="35" s="1"/>
  <c r="D92" i="35"/>
  <c r="R92" i="35" s="1"/>
  <c r="BN91" i="35"/>
  <c r="P91" i="35"/>
  <c r="E91" i="35"/>
  <c r="S91" i="35" s="1"/>
  <c r="D91" i="35"/>
  <c r="R91" i="35" s="1"/>
  <c r="BO90" i="35"/>
  <c r="BN90" i="35"/>
  <c r="P90" i="35"/>
  <c r="E90" i="35"/>
  <c r="S90" i="35" s="1"/>
  <c r="D90" i="35"/>
  <c r="R90" i="35" s="1"/>
  <c r="BN89" i="35"/>
  <c r="P89" i="35"/>
  <c r="E89" i="35"/>
  <c r="S89" i="35" s="1"/>
  <c r="D89" i="35"/>
  <c r="R89" i="35" s="1"/>
  <c r="BN88" i="35"/>
  <c r="P88" i="35"/>
  <c r="E88" i="35"/>
  <c r="S88" i="35" s="1"/>
  <c r="D88" i="35"/>
  <c r="R88" i="35" s="1"/>
  <c r="BN87" i="35"/>
  <c r="P87" i="35"/>
  <c r="E87" i="35"/>
  <c r="S87" i="35" s="1"/>
  <c r="D87" i="35"/>
  <c r="R87" i="35" s="1"/>
  <c r="BN86" i="35"/>
  <c r="P86" i="35"/>
  <c r="E86" i="35"/>
  <c r="S86" i="35" s="1"/>
  <c r="D86" i="35"/>
  <c r="R86" i="35" s="1"/>
  <c r="BN85" i="35"/>
  <c r="P85" i="35"/>
  <c r="BN84" i="35"/>
  <c r="BL84" i="35"/>
  <c r="BM84" i="35" s="1"/>
  <c r="P84" i="35"/>
  <c r="BN83" i="35"/>
  <c r="BL83" i="35"/>
  <c r="BM83" i="35" s="1"/>
  <c r="BO82" i="35"/>
  <c r="BN82" i="35"/>
  <c r="BO81" i="35"/>
  <c r="BN81" i="35"/>
  <c r="L81" i="35"/>
  <c r="K81" i="35"/>
  <c r="BO80" i="35"/>
  <c r="BN80" i="35"/>
  <c r="BM80" i="35"/>
  <c r="L80" i="35"/>
  <c r="K80" i="35"/>
  <c r="BO79" i="35"/>
  <c r="BN79" i="35"/>
  <c r="BM79" i="35"/>
  <c r="L79" i="35"/>
  <c r="K79" i="35"/>
  <c r="BO78" i="35"/>
  <c r="BN78" i="35"/>
  <c r="BM78" i="35"/>
  <c r="L78" i="35"/>
  <c r="K78" i="35"/>
  <c r="BO77" i="35"/>
  <c r="BN77" i="35"/>
  <c r="BM77" i="35"/>
  <c r="L77" i="35"/>
  <c r="K77" i="35"/>
  <c r="BM76" i="35"/>
  <c r="L76" i="35"/>
  <c r="K76" i="35"/>
  <c r="BO75" i="35"/>
  <c r="BN75" i="35"/>
  <c r="BM75" i="35"/>
  <c r="L75" i="35"/>
  <c r="K75" i="35"/>
  <c r="BO74" i="35"/>
  <c r="BN74" i="35"/>
  <c r="BM74" i="35"/>
  <c r="L74" i="35"/>
  <c r="K74" i="35"/>
  <c r="BO73" i="35"/>
  <c r="BN73" i="35"/>
  <c r="BM73" i="35"/>
  <c r="L73" i="35"/>
  <c r="BO72" i="35"/>
  <c r="BN72" i="35"/>
  <c r="BM72" i="35"/>
  <c r="BO71" i="35"/>
  <c r="BN71" i="35"/>
  <c r="BM71" i="35"/>
  <c r="L71" i="35"/>
  <c r="BM70" i="35"/>
  <c r="L70" i="35"/>
  <c r="BO69" i="35"/>
  <c r="BN69" i="35"/>
  <c r="BM69" i="35"/>
  <c r="L69" i="35"/>
  <c r="BO68" i="35"/>
  <c r="BN68" i="35"/>
  <c r="BM68" i="35"/>
  <c r="L68" i="35"/>
  <c r="BO67" i="35"/>
  <c r="BN67" i="35"/>
  <c r="BM67" i="35"/>
  <c r="BO66" i="35"/>
  <c r="BN66" i="35"/>
  <c r="BM66" i="35"/>
  <c r="BO65" i="35"/>
  <c r="BN65" i="35"/>
  <c r="BM65" i="35"/>
  <c r="D65" i="35"/>
  <c r="C65" i="35"/>
  <c r="B65" i="35"/>
  <c r="BL64" i="35"/>
  <c r="BN63" i="35"/>
  <c r="BM63" i="35"/>
  <c r="BL63" i="35"/>
  <c r="BN62" i="35"/>
  <c r="BM62" i="35"/>
  <c r="BL62" i="35"/>
  <c r="BO61" i="35"/>
  <c r="BN61" i="35"/>
  <c r="BM61" i="35"/>
  <c r="BO60" i="35"/>
  <c r="BN60" i="35"/>
  <c r="BM60" i="35"/>
  <c r="BO59" i="35"/>
  <c r="BN59" i="35"/>
  <c r="BM59" i="35"/>
  <c r="BO58" i="35"/>
  <c r="BN58" i="35"/>
  <c r="BM58" i="35"/>
  <c r="BO57" i="35"/>
  <c r="BN57" i="35"/>
  <c r="BM57" i="35"/>
  <c r="BO56" i="35"/>
  <c r="BN56" i="35"/>
  <c r="BM56" i="35"/>
  <c r="BO55" i="35"/>
  <c r="BN55" i="35"/>
  <c r="BM55" i="35"/>
  <c r="BM54" i="35"/>
  <c r="BO53" i="35"/>
  <c r="BN53" i="35"/>
  <c r="BM53" i="35"/>
  <c r="BO52" i="35"/>
  <c r="BN52" i="35"/>
  <c r="BM52" i="35"/>
  <c r="BO51" i="35"/>
  <c r="BN51" i="35"/>
  <c r="BM51" i="35"/>
  <c r="AF51" i="35"/>
  <c r="BO50" i="35"/>
  <c r="BN50" i="35"/>
  <c r="BM50" i="35"/>
  <c r="AF50" i="35"/>
  <c r="BO76" i="35" s="1"/>
  <c r="BM49" i="35"/>
  <c r="AF49" i="35"/>
  <c r="BO70" i="35" s="1"/>
  <c r="BO48" i="35"/>
  <c r="BN48" i="35"/>
  <c r="BM48" i="35"/>
  <c r="AF48" i="35"/>
  <c r="BN64" i="35" s="1"/>
  <c r="BO47" i="35"/>
  <c r="BN47" i="35"/>
  <c r="BM47" i="35"/>
  <c r="AF47" i="35"/>
  <c r="BO46" i="35"/>
  <c r="BN46" i="35"/>
  <c r="BM46" i="35"/>
  <c r="AF46" i="35"/>
  <c r="BO54" i="35" s="1"/>
  <c r="BO45" i="35"/>
  <c r="BN45" i="35"/>
  <c r="BM45" i="35"/>
  <c r="AF45" i="35"/>
  <c r="BO49" i="35" s="1"/>
  <c r="BO44" i="35"/>
  <c r="BN44" i="35"/>
  <c r="BM44" i="35"/>
  <c r="AF44" i="35"/>
  <c r="BO43" i="35"/>
  <c r="BN43" i="35"/>
  <c r="BM43" i="35"/>
  <c r="AF43" i="35"/>
  <c r="BO42" i="35"/>
  <c r="BN42" i="35"/>
  <c r="BM42" i="35"/>
  <c r="AF42" i="35"/>
  <c r="BO41" i="35"/>
  <c r="BN41" i="35"/>
  <c r="BM41" i="35"/>
  <c r="AF41" i="35"/>
  <c r="X41" i="35"/>
  <c r="W41" i="35"/>
  <c r="V41" i="35"/>
  <c r="U41" i="35"/>
  <c r="T41" i="35"/>
  <c r="R41" i="35"/>
  <c r="G41" i="35"/>
  <c r="F41" i="35"/>
  <c r="E41" i="35"/>
  <c r="BO40" i="35"/>
  <c r="BN40" i="35"/>
  <c r="BM40" i="35"/>
  <c r="AF40" i="35"/>
  <c r="X40" i="35"/>
  <c r="W40" i="35"/>
  <c r="V40" i="35"/>
  <c r="U40" i="35"/>
  <c r="T40" i="35"/>
  <c r="R40" i="35"/>
  <c r="G40" i="35"/>
  <c r="F40" i="35"/>
  <c r="E40" i="35"/>
  <c r="BO39" i="35"/>
  <c r="BN39" i="35"/>
  <c r="BM39" i="35"/>
  <c r="AF39" i="35"/>
  <c r="X39" i="35"/>
  <c r="W39" i="35"/>
  <c r="V39" i="35"/>
  <c r="U39" i="35"/>
  <c r="T39" i="35"/>
  <c r="R39" i="35"/>
  <c r="G39" i="35"/>
  <c r="F39" i="35"/>
  <c r="E39" i="35"/>
  <c r="BO38" i="35"/>
  <c r="BN38" i="35"/>
  <c r="BM38" i="35"/>
  <c r="AF38" i="35"/>
  <c r="X38" i="35"/>
  <c r="W38" i="35"/>
  <c r="V38" i="35"/>
  <c r="U38" i="35"/>
  <c r="T38" i="35"/>
  <c r="R38" i="35"/>
  <c r="D38" i="35" s="1"/>
  <c r="BO37" i="35"/>
  <c r="BN37" i="35"/>
  <c r="BM37" i="35"/>
  <c r="AF37" i="35"/>
  <c r="BO36" i="35"/>
  <c r="BN36" i="35"/>
  <c r="BM36" i="35"/>
  <c r="AF36" i="35"/>
  <c r="BO35" i="35"/>
  <c r="BN35" i="35"/>
  <c r="BM35" i="35"/>
  <c r="AF35" i="35"/>
  <c r="BO34" i="35"/>
  <c r="BN34" i="35"/>
  <c r="BM34" i="35"/>
  <c r="AF34" i="35"/>
  <c r="BN54" i="35" s="1"/>
  <c r="BM33" i="35"/>
  <c r="BK91" i="35" s="1"/>
  <c r="BL33" i="35"/>
  <c r="AF33" i="35"/>
  <c r="D33" i="35"/>
  <c r="BM32" i="35"/>
  <c r="BJ90" i="35" s="1"/>
  <c r="BL32" i="35"/>
  <c r="AF32" i="35"/>
  <c r="AF31" i="35"/>
  <c r="AD31" i="35"/>
  <c r="AC31" i="35"/>
  <c r="D31" i="35"/>
  <c r="BH30" i="35"/>
  <c r="BG30" i="35"/>
  <c r="BF30" i="35"/>
  <c r="BE30" i="35"/>
  <c r="BD30" i="35"/>
  <c r="BC30" i="35"/>
  <c r="BB30" i="35"/>
  <c r="BA30" i="35"/>
  <c r="AZ30" i="35"/>
  <c r="AY30" i="35"/>
  <c r="AX30" i="35"/>
  <c r="AW30" i="35"/>
  <c r="AV30" i="35"/>
  <c r="AU30" i="35"/>
  <c r="AT30" i="35"/>
  <c r="AS30" i="35"/>
  <c r="AR30" i="35"/>
  <c r="AQ30" i="35"/>
  <c r="AP30" i="35"/>
  <c r="AO30" i="35"/>
  <c r="AF30" i="35"/>
  <c r="AB30" i="35"/>
  <c r="X30" i="35"/>
  <c r="W30" i="35"/>
  <c r="V30" i="35"/>
  <c r="U30" i="35"/>
  <c r="Y30" i="35" s="1"/>
  <c r="T30" i="35"/>
  <c r="P30" i="35"/>
  <c r="O30" i="35"/>
  <c r="N30" i="35"/>
  <c r="M30" i="35"/>
  <c r="L30" i="35"/>
  <c r="K30" i="35"/>
  <c r="R30" i="35" s="1"/>
  <c r="I30" i="35"/>
  <c r="H30" i="35"/>
  <c r="BH29" i="35"/>
  <c r="BG29" i="35"/>
  <c r="BF29" i="35"/>
  <c r="BE29" i="35"/>
  <c r="BD29" i="35"/>
  <c r="BC29" i="35"/>
  <c r="BB29" i="35"/>
  <c r="BA29" i="35"/>
  <c r="AZ29" i="35"/>
  <c r="AY29" i="35"/>
  <c r="AX29" i="35"/>
  <c r="AW29" i="35"/>
  <c r="AV29" i="35"/>
  <c r="AU29" i="35"/>
  <c r="AT29" i="35"/>
  <c r="AS29" i="35"/>
  <c r="AR29" i="35"/>
  <c r="AQ29" i="35"/>
  <c r="AP29" i="35"/>
  <c r="AO29" i="35"/>
  <c r="AF29" i="35"/>
  <c r="AB29" i="35"/>
  <c r="X29" i="35"/>
  <c r="W29" i="35"/>
  <c r="V29" i="35"/>
  <c r="U29" i="35"/>
  <c r="Y29" i="35" s="1"/>
  <c r="T29" i="35"/>
  <c r="P29" i="35"/>
  <c r="O29" i="35"/>
  <c r="N29" i="35"/>
  <c r="M29" i="35"/>
  <c r="L29" i="35"/>
  <c r="K29" i="35"/>
  <c r="R29" i="35" s="1"/>
  <c r="I29" i="35"/>
  <c r="H29" i="35"/>
  <c r="BH28" i="35"/>
  <c r="BG28" i="35"/>
  <c r="BF28" i="35"/>
  <c r="BE28" i="35"/>
  <c r="BD28" i="35"/>
  <c r="BC28" i="35"/>
  <c r="BB28" i="35"/>
  <c r="BA28" i="35"/>
  <c r="AZ28" i="35"/>
  <c r="AY28" i="35"/>
  <c r="AX28" i="35"/>
  <c r="AW28" i="35"/>
  <c r="AV28" i="35"/>
  <c r="AU28" i="35"/>
  <c r="AT28" i="35"/>
  <c r="AS28" i="35"/>
  <c r="AR28" i="35"/>
  <c r="AQ28" i="35"/>
  <c r="AP28" i="35"/>
  <c r="AO28" i="35"/>
  <c r="AF28" i="35"/>
  <c r="AB28" i="35"/>
  <c r="X28" i="35"/>
  <c r="W28" i="35"/>
  <c r="V28" i="35"/>
  <c r="U28" i="35"/>
  <c r="Y28" i="35" s="1"/>
  <c r="T28" i="35"/>
  <c r="P28" i="35"/>
  <c r="O28" i="35"/>
  <c r="N28" i="35"/>
  <c r="M28" i="35"/>
  <c r="L28" i="35"/>
  <c r="K28" i="35"/>
  <c r="R28" i="35" s="1"/>
  <c r="I28" i="35"/>
  <c r="H28" i="35"/>
  <c r="BH27" i="35"/>
  <c r="BG27" i="35"/>
  <c r="BF27" i="35"/>
  <c r="BE27" i="35"/>
  <c r="BD27" i="35"/>
  <c r="BC27" i="35"/>
  <c r="BB27" i="35"/>
  <c r="BA27" i="35"/>
  <c r="AZ27" i="35"/>
  <c r="AY27" i="35"/>
  <c r="AX27" i="35"/>
  <c r="AW27" i="35"/>
  <c r="AV27" i="35"/>
  <c r="AU27" i="35"/>
  <c r="AT27" i="35"/>
  <c r="AS27" i="35"/>
  <c r="AR27" i="35"/>
  <c r="AQ27" i="35"/>
  <c r="AP27" i="35"/>
  <c r="AO27" i="35"/>
  <c r="AF27" i="35"/>
  <c r="AB27" i="35"/>
  <c r="X27" i="35"/>
  <c r="W27" i="35"/>
  <c r="V27" i="35"/>
  <c r="U27" i="35"/>
  <c r="Y27" i="35" s="1"/>
  <c r="T27" i="35"/>
  <c r="P27" i="35"/>
  <c r="O27" i="35"/>
  <c r="N27" i="35"/>
  <c r="M27" i="35"/>
  <c r="L27" i="35"/>
  <c r="K27" i="35"/>
  <c r="R27" i="35" s="1"/>
  <c r="I27" i="35"/>
  <c r="H27" i="35"/>
  <c r="BH26" i="35"/>
  <c r="BG26" i="35"/>
  <c r="BF26" i="35"/>
  <c r="BE26" i="35"/>
  <c r="BD26" i="35"/>
  <c r="BC26" i="35"/>
  <c r="BB26" i="35"/>
  <c r="BA26" i="35"/>
  <c r="AZ26" i="35"/>
  <c r="AY26" i="35"/>
  <c r="AX26" i="35"/>
  <c r="AW26" i="35"/>
  <c r="AV26" i="35"/>
  <c r="AU26" i="35"/>
  <c r="AT26" i="35"/>
  <c r="AS26" i="35"/>
  <c r="AR26" i="35"/>
  <c r="AQ26" i="35"/>
  <c r="AP26" i="35"/>
  <c r="AO26" i="35"/>
  <c r="AF26" i="35"/>
  <c r="AB26" i="35"/>
  <c r="X26" i="35"/>
  <c r="W26" i="35"/>
  <c r="V26" i="35"/>
  <c r="U26" i="35"/>
  <c r="Y26" i="35" s="1"/>
  <c r="T26" i="35"/>
  <c r="P26" i="35"/>
  <c r="O26" i="35"/>
  <c r="N26" i="35"/>
  <c r="M26" i="35"/>
  <c r="L26" i="35"/>
  <c r="K26" i="35"/>
  <c r="R26" i="35" s="1"/>
  <c r="I26" i="35"/>
  <c r="H26" i="35"/>
  <c r="BH25" i="35"/>
  <c r="BG25" i="35"/>
  <c r="BF25" i="35"/>
  <c r="BE25" i="35"/>
  <c r="BD25" i="35"/>
  <c r="BC25" i="35"/>
  <c r="BB25" i="35"/>
  <c r="BA25" i="35"/>
  <c r="AZ25" i="35"/>
  <c r="AY25" i="35"/>
  <c r="AX25" i="35"/>
  <c r="AW25" i="35"/>
  <c r="AV25" i="35"/>
  <c r="AU25" i="35"/>
  <c r="AT25" i="35"/>
  <c r="AS25" i="35"/>
  <c r="AR25" i="35"/>
  <c r="AQ25" i="35"/>
  <c r="AP25" i="35"/>
  <c r="AO25" i="35"/>
  <c r="AF25" i="35"/>
  <c r="AB25" i="35"/>
  <c r="X25" i="35"/>
  <c r="W25" i="35"/>
  <c r="V25" i="35"/>
  <c r="U25" i="35"/>
  <c r="Y25" i="35" s="1"/>
  <c r="T25" i="35"/>
  <c r="P25" i="35"/>
  <c r="O25" i="35"/>
  <c r="N25" i="35"/>
  <c r="M25" i="35"/>
  <c r="L25" i="35"/>
  <c r="K25" i="35"/>
  <c r="R25" i="35" s="1"/>
  <c r="I25" i="35"/>
  <c r="H25" i="35"/>
  <c r="BH24" i="35"/>
  <c r="BG24" i="35"/>
  <c r="BF24" i="35"/>
  <c r="BE24" i="35"/>
  <c r="BD24" i="35"/>
  <c r="BC24" i="35"/>
  <c r="BB24" i="35"/>
  <c r="BA24" i="35"/>
  <c r="AZ24" i="35"/>
  <c r="AY24" i="35"/>
  <c r="AX24" i="35"/>
  <c r="AW24" i="35"/>
  <c r="AV24" i="35"/>
  <c r="AU24" i="35"/>
  <c r="AT24" i="35"/>
  <c r="AS24" i="35"/>
  <c r="AR24" i="35"/>
  <c r="AQ24" i="35"/>
  <c r="AP24" i="35"/>
  <c r="AO24" i="35"/>
  <c r="AF24" i="35"/>
  <c r="AB24" i="35"/>
  <c r="X24" i="35"/>
  <c r="W24" i="35"/>
  <c r="V24" i="35"/>
  <c r="U24" i="35"/>
  <c r="T24" i="35"/>
  <c r="P24" i="35"/>
  <c r="O24" i="35"/>
  <c r="N24" i="35"/>
  <c r="M24" i="35"/>
  <c r="L24" i="35"/>
  <c r="K24" i="35"/>
  <c r="R24" i="35" s="1"/>
  <c r="I24" i="35"/>
  <c r="H24" i="35"/>
  <c r="AF23" i="35"/>
  <c r="AF22" i="35"/>
  <c r="AF21" i="35"/>
  <c r="AF20" i="35"/>
  <c r="D20" i="35"/>
  <c r="AF19" i="35"/>
  <c r="AF18" i="35"/>
  <c r="AF17" i="35"/>
  <c r="AF16" i="35"/>
  <c r="AF15" i="35"/>
  <c r="AF14" i="35"/>
  <c r="AF13" i="35"/>
  <c r="AF12" i="35"/>
  <c r="AF11" i="35"/>
  <c r="AF10" i="35"/>
  <c r="AF9" i="35"/>
  <c r="AF8" i="35"/>
  <c r="J8" i="35"/>
  <c r="AF7" i="35"/>
  <c r="AF6" i="35"/>
  <c r="AF5" i="35"/>
  <c r="AF4" i="35"/>
  <c r="AF3" i="35"/>
  <c r="AO5" i="28"/>
  <c r="AO6" i="28"/>
  <c r="AO7" i="28"/>
  <c r="AO8" i="28"/>
  <c r="AO9" i="28"/>
  <c r="AO10" i="28"/>
  <c r="AO11" i="28"/>
  <c r="AO12" i="28"/>
  <c r="AO13" i="28"/>
  <c r="AO14" i="28"/>
  <c r="AO15" i="28"/>
  <c r="AO4" i="28"/>
  <c r="D230" i="34"/>
  <c r="C241" i="34"/>
  <c r="B241" i="34"/>
  <c r="D215" i="34"/>
  <c r="D214" i="34"/>
  <c r="C205" i="34"/>
  <c r="C209" i="34" s="1"/>
  <c r="C212" i="34" s="1"/>
  <c r="B205" i="34"/>
  <c r="D203" i="34"/>
  <c r="D202" i="34"/>
  <c r="D233" i="34" s="1"/>
  <c r="D168" i="34"/>
  <c r="E156" i="34"/>
  <c r="D156" i="34"/>
  <c r="C156" i="34"/>
  <c r="L149" i="34"/>
  <c r="K149" i="34"/>
  <c r="L148" i="34"/>
  <c r="K148" i="34"/>
  <c r="L147" i="34"/>
  <c r="K147" i="34"/>
  <c r="D143" i="34"/>
  <c r="D142" i="34"/>
  <c r="D141" i="34"/>
  <c r="C137" i="34"/>
  <c r="M134" i="34"/>
  <c r="M133" i="34"/>
  <c r="M132" i="34"/>
  <c r="M131" i="34"/>
  <c r="M130" i="34"/>
  <c r="M129" i="34"/>
  <c r="M128" i="34"/>
  <c r="M127" i="34"/>
  <c r="M126" i="34"/>
  <c r="M125" i="34"/>
  <c r="M124" i="34"/>
  <c r="M123" i="34"/>
  <c r="M122" i="34"/>
  <c r="D118" i="34"/>
  <c r="BO90" i="34" s="1"/>
  <c r="E106" i="34"/>
  <c r="D106" i="34"/>
  <c r="C106" i="34"/>
  <c r="T105" i="34"/>
  <c r="S105" i="34"/>
  <c r="R105" i="34"/>
  <c r="P105" i="34"/>
  <c r="T104" i="34"/>
  <c r="S104" i="34"/>
  <c r="R104" i="34"/>
  <c r="P104" i="34"/>
  <c r="T103" i="34"/>
  <c r="S103" i="34"/>
  <c r="R103" i="34"/>
  <c r="P103" i="34"/>
  <c r="T102" i="34"/>
  <c r="S102" i="34"/>
  <c r="R102" i="34"/>
  <c r="P102" i="34"/>
  <c r="T101" i="34"/>
  <c r="S101" i="34"/>
  <c r="R101" i="34"/>
  <c r="P101" i="34"/>
  <c r="T100" i="34"/>
  <c r="S100" i="34"/>
  <c r="R100" i="34"/>
  <c r="P100" i="34"/>
  <c r="T99" i="34"/>
  <c r="S99" i="34"/>
  <c r="R99" i="34"/>
  <c r="P99" i="34"/>
  <c r="T98" i="34"/>
  <c r="S98" i="34"/>
  <c r="R98" i="34"/>
  <c r="P98" i="34"/>
  <c r="T97" i="34"/>
  <c r="S97" i="34"/>
  <c r="R97" i="34"/>
  <c r="P97" i="34"/>
  <c r="P92" i="34"/>
  <c r="E92" i="34"/>
  <c r="S92" i="34" s="1"/>
  <c r="D92" i="34"/>
  <c r="R92" i="34" s="1"/>
  <c r="BN91" i="34"/>
  <c r="P91" i="34"/>
  <c r="E91" i="34"/>
  <c r="S91" i="34" s="1"/>
  <c r="D91" i="34"/>
  <c r="R91" i="34" s="1"/>
  <c r="BN90" i="34"/>
  <c r="P90" i="34"/>
  <c r="E90" i="34"/>
  <c r="S90" i="34" s="1"/>
  <c r="D90" i="34"/>
  <c r="R90" i="34" s="1"/>
  <c r="BN89" i="34"/>
  <c r="P89" i="34"/>
  <c r="E89" i="34"/>
  <c r="S89" i="34" s="1"/>
  <c r="D89" i="34"/>
  <c r="R89" i="34" s="1"/>
  <c r="BN88" i="34"/>
  <c r="P88" i="34"/>
  <c r="E88" i="34"/>
  <c r="S88" i="34" s="1"/>
  <c r="D88" i="34"/>
  <c r="R88" i="34" s="1"/>
  <c r="BN87" i="34"/>
  <c r="P87" i="34"/>
  <c r="E87" i="34"/>
  <c r="S87" i="34" s="1"/>
  <c r="D87" i="34"/>
  <c r="R87" i="34" s="1"/>
  <c r="BN86" i="34"/>
  <c r="P86" i="34"/>
  <c r="BN85" i="34"/>
  <c r="P85" i="34"/>
  <c r="E85" i="34"/>
  <c r="S85" i="34" s="1"/>
  <c r="D85" i="34"/>
  <c r="R85" i="34" s="1"/>
  <c r="BN84" i="34"/>
  <c r="BL84" i="34"/>
  <c r="BM84" i="34" s="1"/>
  <c r="P84" i="34"/>
  <c r="BN83" i="34"/>
  <c r="BL83" i="34"/>
  <c r="BM83" i="34" s="1"/>
  <c r="BO82" i="34"/>
  <c r="BN82" i="34"/>
  <c r="BO81" i="34"/>
  <c r="BN81" i="34"/>
  <c r="L81" i="34"/>
  <c r="K81" i="34"/>
  <c r="BO80" i="34"/>
  <c r="BN80" i="34"/>
  <c r="BM80" i="34"/>
  <c r="L80" i="34"/>
  <c r="K80" i="34"/>
  <c r="BO79" i="34"/>
  <c r="BN79" i="34"/>
  <c r="BM79" i="34"/>
  <c r="L79" i="34"/>
  <c r="K79" i="34"/>
  <c r="BO78" i="34"/>
  <c r="BN78" i="34"/>
  <c r="BM78" i="34"/>
  <c r="L78" i="34"/>
  <c r="K78" i="34"/>
  <c r="BO77" i="34"/>
  <c r="BN77" i="34"/>
  <c r="BM77" i="34"/>
  <c r="L77" i="34"/>
  <c r="K77" i="34"/>
  <c r="BM76" i="34"/>
  <c r="L76" i="34"/>
  <c r="K76" i="34"/>
  <c r="BO75" i="34"/>
  <c r="BN75" i="34"/>
  <c r="BM75" i="34"/>
  <c r="L75" i="34"/>
  <c r="K75" i="34"/>
  <c r="BO74" i="34"/>
  <c r="BN74" i="34"/>
  <c r="BM74" i="34"/>
  <c r="L74" i="34"/>
  <c r="K74" i="34"/>
  <c r="BO73" i="34"/>
  <c r="BN73" i="34"/>
  <c r="BM73" i="34"/>
  <c r="BO72" i="34"/>
  <c r="BN72" i="34"/>
  <c r="BM72" i="34"/>
  <c r="BO71" i="34"/>
  <c r="BN71" i="34"/>
  <c r="BM71" i="34"/>
  <c r="BM70" i="34"/>
  <c r="L70" i="34"/>
  <c r="BO69" i="34"/>
  <c r="BN69" i="34"/>
  <c r="BM69" i="34"/>
  <c r="L69" i="34"/>
  <c r="BO68" i="34"/>
  <c r="BN68" i="34"/>
  <c r="BM68" i="34"/>
  <c r="L68" i="34"/>
  <c r="BO67" i="34"/>
  <c r="BN67" i="34"/>
  <c r="BM67" i="34"/>
  <c r="BO66" i="34"/>
  <c r="BN66" i="34"/>
  <c r="BM66" i="34"/>
  <c r="BO65" i="34"/>
  <c r="BN65" i="34"/>
  <c r="BM65" i="34"/>
  <c r="D65" i="34"/>
  <c r="C65" i="34"/>
  <c r="B65" i="34"/>
  <c r="BL64" i="34"/>
  <c r="BN63" i="34"/>
  <c r="BM63" i="34"/>
  <c r="BL63" i="34"/>
  <c r="BN62" i="34"/>
  <c r="BM62" i="34"/>
  <c r="BL62" i="34"/>
  <c r="BO61" i="34"/>
  <c r="BN61" i="34"/>
  <c r="BM61" i="34"/>
  <c r="BO60" i="34"/>
  <c r="BN60" i="34"/>
  <c r="BM60" i="34"/>
  <c r="BO59" i="34"/>
  <c r="BN59" i="34"/>
  <c r="BM59" i="34"/>
  <c r="BO58" i="34"/>
  <c r="BN58" i="34"/>
  <c r="BM58" i="34"/>
  <c r="BO57" i="34"/>
  <c r="BN57" i="34"/>
  <c r="BM57" i="34"/>
  <c r="BO56" i="34"/>
  <c r="BN56" i="34"/>
  <c r="BM56" i="34"/>
  <c r="BO55" i="34"/>
  <c r="BN55" i="34"/>
  <c r="BM55" i="34"/>
  <c r="BM54" i="34"/>
  <c r="BO53" i="34"/>
  <c r="BN53" i="34"/>
  <c r="BM53" i="34"/>
  <c r="BO52" i="34"/>
  <c r="BN52" i="34"/>
  <c r="BM52" i="34"/>
  <c r="BO51" i="34"/>
  <c r="BN51" i="34"/>
  <c r="BM51" i="34"/>
  <c r="AF51" i="34"/>
  <c r="BO50" i="34"/>
  <c r="BN50" i="34"/>
  <c r="BM50" i="34"/>
  <c r="AF50" i="34"/>
  <c r="BO76" i="34" s="1"/>
  <c r="BM49" i="34"/>
  <c r="AF49" i="34"/>
  <c r="BO70" i="34" s="1"/>
  <c r="BO48" i="34"/>
  <c r="BN48" i="34"/>
  <c r="BM48" i="34"/>
  <c r="AF48" i="34"/>
  <c r="BN64" i="34" s="1"/>
  <c r="BO47" i="34"/>
  <c r="BN47" i="34"/>
  <c r="BM47" i="34"/>
  <c r="AF47" i="34"/>
  <c r="BO46" i="34"/>
  <c r="BN46" i="34"/>
  <c r="BM46" i="34"/>
  <c r="AF46" i="34"/>
  <c r="BO54" i="34" s="1"/>
  <c r="BO45" i="34"/>
  <c r="BN45" i="34"/>
  <c r="BM45" i="34"/>
  <c r="AF45" i="34"/>
  <c r="BO49" i="34" s="1"/>
  <c r="BO44" i="34"/>
  <c r="BN44" i="34"/>
  <c r="BM44" i="34"/>
  <c r="AF44" i="34"/>
  <c r="BO43" i="34"/>
  <c r="BN43" i="34"/>
  <c r="BM43" i="34"/>
  <c r="AF43" i="34"/>
  <c r="BO42" i="34"/>
  <c r="BN42" i="34"/>
  <c r="BM42" i="34"/>
  <c r="AF42" i="34"/>
  <c r="BO41" i="34"/>
  <c r="BN41" i="34"/>
  <c r="BM41" i="34"/>
  <c r="AF41" i="34"/>
  <c r="X41" i="34"/>
  <c r="W41" i="34"/>
  <c r="V41" i="34"/>
  <c r="U41" i="34"/>
  <c r="T41" i="34"/>
  <c r="R41" i="34"/>
  <c r="G41" i="34"/>
  <c r="F41" i="34"/>
  <c r="E41" i="34"/>
  <c r="BO40" i="34"/>
  <c r="BN40" i="34"/>
  <c r="BM40" i="34"/>
  <c r="AF40" i="34"/>
  <c r="X40" i="34"/>
  <c r="W40" i="34"/>
  <c r="V40" i="34"/>
  <c r="U40" i="34"/>
  <c r="T40" i="34"/>
  <c r="R40" i="34"/>
  <c r="G40" i="34"/>
  <c r="F40" i="34"/>
  <c r="E40" i="34"/>
  <c r="BO39" i="34"/>
  <c r="BN39" i="34"/>
  <c r="BM39" i="34"/>
  <c r="AF39" i="34"/>
  <c r="X39" i="34"/>
  <c r="W39" i="34"/>
  <c r="V39" i="34"/>
  <c r="U39" i="34"/>
  <c r="T39" i="34"/>
  <c r="R39" i="34"/>
  <c r="G39" i="34"/>
  <c r="F39" i="34"/>
  <c r="E39" i="34"/>
  <c r="BO38" i="34"/>
  <c r="BN38" i="34"/>
  <c r="BM38" i="34"/>
  <c r="AF38" i="34"/>
  <c r="X38" i="34"/>
  <c r="W38" i="34"/>
  <c r="V38" i="34"/>
  <c r="U38" i="34"/>
  <c r="T38" i="34"/>
  <c r="R38" i="34"/>
  <c r="D38" i="34" s="1"/>
  <c r="BO37" i="34"/>
  <c r="BN37" i="34"/>
  <c r="BM37" i="34"/>
  <c r="AF37" i="34"/>
  <c r="BO36" i="34"/>
  <c r="BN36" i="34"/>
  <c r="BM36" i="34"/>
  <c r="AF36" i="34"/>
  <c r="BO35" i="34"/>
  <c r="BN35" i="34"/>
  <c r="BM35" i="34"/>
  <c r="AF35" i="34"/>
  <c r="BO34" i="34"/>
  <c r="BN34" i="34"/>
  <c r="BM34" i="34"/>
  <c r="AF34" i="34"/>
  <c r="BM64" i="34" s="1"/>
  <c r="BM33" i="34"/>
  <c r="BK90" i="34" s="1"/>
  <c r="BL33" i="34"/>
  <c r="AF33" i="34"/>
  <c r="D33" i="34"/>
  <c r="BM32" i="34"/>
  <c r="BJ90" i="34" s="1"/>
  <c r="BL32" i="34"/>
  <c r="AF32" i="34"/>
  <c r="AF31" i="34"/>
  <c r="AD31" i="34"/>
  <c r="AC31" i="34"/>
  <c r="D31" i="34"/>
  <c r="BH30" i="34"/>
  <c r="BG30" i="34"/>
  <c r="BF30" i="34"/>
  <c r="BE30" i="34"/>
  <c r="BD30" i="34"/>
  <c r="BC30" i="34"/>
  <c r="BB30" i="34"/>
  <c r="BA30" i="34"/>
  <c r="AZ30" i="34"/>
  <c r="AY30" i="34"/>
  <c r="AX30" i="34"/>
  <c r="AW30" i="34"/>
  <c r="AV30" i="34"/>
  <c r="AU30" i="34"/>
  <c r="AT30" i="34"/>
  <c r="AS30" i="34"/>
  <c r="AR30" i="34"/>
  <c r="AQ30" i="34"/>
  <c r="AP30" i="34"/>
  <c r="AO30" i="34"/>
  <c r="AF30" i="34"/>
  <c r="AB30" i="34"/>
  <c r="X30" i="34"/>
  <c r="W30" i="34"/>
  <c r="V30" i="34"/>
  <c r="U30" i="34"/>
  <c r="Y30" i="34" s="1"/>
  <c r="T30" i="34"/>
  <c r="P30" i="34"/>
  <c r="O30" i="34"/>
  <c r="N30" i="34"/>
  <c r="M30" i="34"/>
  <c r="L30" i="34"/>
  <c r="K30" i="34"/>
  <c r="R30" i="34" s="1"/>
  <c r="I30" i="34"/>
  <c r="H30" i="34"/>
  <c r="BH29" i="34"/>
  <c r="BG29" i="34"/>
  <c r="BF29" i="34"/>
  <c r="BE29" i="34"/>
  <c r="BD29" i="34"/>
  <c r="BC29" i="34"/>
  <c r="BB29" i="34"/>
  <c r="BA29" i="34"/>
  <c r="AZ29" i="34"/>
  <c r="AY29" i="34"/>
  <c r="AX29" i="34"/>
  <c r="AW29" i="34"/>
  <c r="AV29" i="34"/>
  <c r="AU29" i="34"/>
  <c r="AT29" i="34"/>
  <c r="AS29" i="34"/>
  <c r="AR29" i="34"/>
  <c r="AQ29" i="34"/>
  <c r="AP29" i="34"/>
  <c r="AO29" i="34"/>
  <c r="AF29" i="34"/>
  <c r="AB29" i="34"/>
  <c r="X29" i="34"/>
  <c r="W29" i="34"/>
  <c r="V29" i="34"/>
  <c r="U29" i="34"/>
  <c r="Y29" i="34" s="1"/>
  <c r="T29" i="34"/>
  <c r="P29" i="34"/>
  <c r="O29" i="34"/>
  <c r="N29" i="34"/>
  <c r="M29" i="34"/>
  <c r="L29" i="34"/>
  <c r="K29" i="34"/>
  <c r="R29" i="34" s="1"/>
  <c r="I29" i="34"/>
  <c r="H29" i="34"/>
  <c r="AF28" i="34"/>
  <c r="K28" i="34"/>
  <c r="R28" i="34" s="1"/>
  <c r="I28" i="34"/>
  <c r="H28" i="34"/>
  <c r="AF27" i="34"/>
  <c r="K27" i="34"/>
  <c r="R27" i="34" s="1"/>
  <c r="I27" i="34"/>
  <c r="AP27" i="34" s="1"/>
  <c r="H27" i="34"/>
  <c r="BH26" i="34"/>
  <c r="BG26" i="34"/>
  <c r="BF26" i="34"/>
  <c r="BE26" i="34"/>
  <c r="BD26" i="34"/>
  <c r="BC26" i="34"/>
  <c r="BB26" i="34"/>
  <c r="BA26" i="34"/>
  <c r="AZ26" i="34"/>
  <c r="AY26" i="34"/>
  <c r="AX26" i="34"/>
  <c r="AW26" i="34"/>
  <c r="AV26" i="34"/>
  <c r="AU26" i="34"/>
  <c r="AT26" i="34"/>
  <c r="AS26" i="34"/>
  <c r="AR26" i="34"/>
  <c r="AQ26" i="34"/>
  <c r="AP26" i="34"/>
  <c r="AO26" i="34"/>
  <c r="AF26" i="34"/>
  <c r="AB26" i="34"/>
  <c r="X26" i="34"/>
  <c r="W26" i="34"/>
  <c r="V26" i="34"/>
  <c r="U26" i="34"/>
  <c r="Y26" i="34" s="1"/>
  <c r="T26" i="34"/>
  <c r="P26" i="34"/>
  <c r="O26" i="34"/>
  <c r="N26" i="34"/>
  <c r="M26" i="34"/>
  <c r="L26" i="34"/>
  <c r="K26" i="34"/>
  <c r="R26" i="34" s="1"/>
  <c r="I26" i="34"/>
  <c r="H26" i="34"/>
  <c r="BH25" i="34"/>
  <c r="BG25" i="34"/>
  <c r="BF25" i="34"/>
  <c r="BE25" i="34"/>
  <c r="BD25" i="34"/>
  <c r="BC25" i="34"/>
  <c r="BB25" i="34"/>
  <c r="BA25" i="34"/>
  <c r="AZ25" i="34"/>
  <c r="AY25" i="34"/>
  <c r="AX25" i="34"/>
  <c r="AW25" i="34"/>
  <c r="AV25" i="34"/>
  <c r="AU25" i="34"/>
  <c r="AT25" i="34"/>
  <c r="AS25" i="34"/>
  <c r="AR25" i="34"/>
  <c r="AQ25" i="34"/>
  <c r="AP25" i="34"/>
  <c r="AO25" i="34"/>
  <c r="AF25" i="34"/>
  <c r="AB25" i="34"/>
  <c r="X25" i="34"/>
  <c r="W25" i="34"/>
  <c r="V25" i="34"/>
  <c r="U25" i="34"/>
  <c r="Y25" i="34" s="1"/>
  <c r="T25" i="34"/>
  <c r="P25" i="34"/>
  <c r="O25" i="34"/>
  <c r="N25" i="34"/>
  <c r="M25" i="34"/>
  <c r="L25" i="34"/>
  <c r="K25" i="34"/>
  <c r="R25" i="34" s="1"/>
  <c r="I25" i="34"/>
  <c r="H25" i="34"/>
  <c r="AF24" i="34"/>
  <c r="K24" i="34"/>
  <c r="R24" i="34" s="1"/>
  <c r="I24" i="34"/>
  <c r="H24" i="34"/>
  <c r="AF23" i="34"/>
  <c r="AF22" i="34"/>
  <c r="AF21" i="34"/>
  <c r="AF20" i="34"/>
  <c r="AF19" i="34"/>
  <c r="AF18" i="34"/>
  <c r="AF17" i="34"/>
  <c r="AF16" i="34"/>
  <c r="AF15" i="34"/>
  <c r="AF14" i="34"/>
  <c r="AF13" i="34"/>
  <c r="X13" i="34"/>
  <c r="W13" i="34"/>
  <c r="V13" i="34"/>
  <c r="U13" i="34"/>
  <c r="Y13" i="34" s="1"/>
  <c r="T13" i="34"/>
  <c r="AF12" i="34"/>
  <c r="AF11" i="34"/>
  <c r="AF10" i="34"/>
  <c r="AF9" i="34"/>
  <c r="AF8" i="34"/>
  <c r="J8" i="34"/>
  <c r="AF7" i="34"/>
  <c r="AF6" i="34"/>
  <c r="AF5" i="34"/>
  <c r="AF4" i="34"/>
  <c r="AF3" i="34"/>
  <c r="D239" i="33"/>
  <c r="D238" i="33"/>
  <c r="D237" i="33"/>
  <c r="D236" i="33"/>
  <c r="D235" i="33"/>
  <c r="D231" i="33"/>
  <c r="D230" i="33"/>
  <c r="AN5" i="28"/>
  <c r="AN6" i="28"/>
  <c r="AN7" i="28"/>
  <c r="AN8" i="28"/>
  <c r="AN9" i="28"/>
  <c r="AN10" i="28"/>
  <c r="AN11" i="28"/>
  <c r="AN12" i="28"/>
  <c r="AN13" i="28"/>
  <c r="AN14" i="28"/>
  <c r="AN15" i="28"/>
  <c r="AN4" i="28"/>
  <c r="D216" i="33"/>
  <c r="D214" i="33"/>
  <c r="D213" i="33"/>
  <c r="C204" i="33"/>
  <c r="C208" i="33" s="1"/>
  <c r="C211" i="33" s="1"/>
  <c r="B204" i="33"/>
  <c r="B208" i="33" s="1"/>
  <c r="D168" i="33"/>
  <c r="E156" i="33"/>
  <c r="D156" i="33"/>
  <c r="C156" i="33"/>
  <c r="L149" i="33"/>
  <c r="K149" i="33"/>
  <c r="L148" i="33"/>
  <c r="K148" i="33"/>
  <c r="L147" i="33"/>
  <c r="K147" i="33"/>
  <c r="D143" i="33"/>
  <c r="D142" i="33"/>
  <c r="D141" i="33"/>
  <c r="C137" i="33"/>
  <c r="M134" i="33"/>
  <c r="M133" i="33"/>
  <c r="M132" i="33"/>
  <c r="M131" i="33"/>
  <c r="M130" i="33"/>
  <c r="M129" i="33"/>
  <c r="M128" i="33"/>
  <c r="M127" i="33"/>
  <c r="M126" i="33"/>
  <c r="M125" i="33"/>
  <c r="M124" i="33"/>
  <c r="M123" i="33"/>
  <c r="M122" i="33"/>
  <c r="D118" i="33"/>
  <c r="BO90" i="33" s="1"/>
  <c r="E106" i="33"/>
  <c r="D106" i="33"/>
  <c r="C106" i="33"/>
  <c r="T105" i="33"/>
  <c r="S105" i="33"/>
  <c r="R105" i="33"/>
  <c r="P105" i="33"/>
  <c r="T104" i="33"/>
  <c r="S104" i="33"/>
  <c r="R104" i="33"/>
  <c r="P104" i="33"/>
  <c r="T103" i="33"/>
  <c r="S103" i="33"/>
  <c r="R103" i="33"/>
  <c r="P103" i="33"/>
  <c r="T102" i="33"/>
  <c r="S102" i="33"/>
  <c r="R102" i="33"/>
  <c r="P102" i="33"/>
  <c r="T101" i="33"/>
  <c r="S101" i="33"/>
  <c r="R101" i="33"/>
  <c r="P101" i="33"/>
  <c r="T100" i="33"/>
  <c r="S100" i="33"/>
  <c r="R100" i="33"/>
  <c r="P100" i="33"/>
  <c r="T99" i="33"/>
  <c r="S99" i="33"/>
  <c r="R99" i="33"/>
  <c r="P99" i="33"/>
  <c r="T98" i="33"/>
  <c r="S98" i="33"/>
  <c r="R98" i="33"/>
  <c r="P98" i="33"/>
  <c r="T97" i="33"/>
  <c r="S97" i="33"/>
  <c r="R97" i="33"/>
  <c r="P97" i="33"/>
  <c r="P92" i="33"/>
  <c r="E92" i="33"/>
  <c r="S92" i="33" s="1"/>
  <c r="D92" i="33"/>
  <c r="R92" i="33" s="1"/>
  <c r="BN91" i="33"/>
  <c r="P91" i="33"/>
  <c r="E91" i="33"/>
  <c r="S91" i="33" s="1"/>
  <c r="D91" i="33"/>
  <c r="R91" i="33" s="1"/>
  <c r="BN90" i="33"/>
  <c r="P90" i="33"/>
  <c r="E90" i="33"/>
  <c r="S90" i="33" s="1"/>
  <c r="D90" i="33"/>
  <c r="R90" i="33" s="1"/>
  <c r="BN89" i="33"/>
  <c r="P89" i="33"/>
  <c r="E89" i="33"/>
  <c r="S89" i="33" s="1"/>
  <c r="D89" i="33"/>
  <c r="R89" i="33" s="1"/>
  <c r="BN88" i="33"/>
  <c r="P88" i="33"/>
  <c r="E88" i="33"/>
  <c r="S88" i="33" s="1"/>
  <c r="D88" i="33"/>
  <c r="R88" i="33" s="1"/>
  <c r="BN87" i="33"/>
  <c r="P87" i="33"/>
  <c r="E87" i="33"/>
  <c r="S87" i="33" s="1"/>
  <c r="D87" i="33"/>
  <c r="R87" i="33" s="1"/>
  <c r="BN86" i="33"/>
  <c r="P86" i="33"/>
  <c r="BN85" i="33"/>
  <c r="P85" i="33"/>
  <c r="E85" i="33"/>
  <c r="S85" i="33" s="1"/>
  <c r="D85" i="33"/>
  <c r="R85" i="33" s="1"/>
  <c r="BN84" i="33"/>
  <c r="BL84" i="33"/>
  <c r="BM84" i="33" s="1"/>
  <c r="P84" i="33"/>
  <c r="BN83" i="33"/>
  <c r="BL83" i="33"/>
  <c r="BM83" i="33" s="1"/>
  <c r="BO82" i="33"/>
  <c r="BN82" i="33"/>
  <c r="BO81" i="33"/>
  <c r="BN81" i="33"/>
  <c r="L81" i="33"/>
  <c r="K81" i="33"/>
  <c r="BO80" i="33"/>
  <c r="BN80" i="33"/>
  <c r="BM80" i="33"/>
  <c r="L80" i="33"/>
  <c r="K80" i="33"/>
  <c r="BO79" i="33"/>
  <c r="BN79" i="33"/>
  <c r="BM79" i="33"/>
  <c r="L79" i="33"/>
  <c r="K79" i="33"/>
  <c r="BO78" i="33"/>
  <c r="BN78" i="33"/>
  <c r="BM78" i="33"/>
  <c r="L78" i="33"/>
  <c r="K78" i="33"/>
  <c r="BO77" i="33"/>
  <c r="BN77" i="33"/>
  <c r="BM77" i="33"/>
  <c r="L77" i="33"/>
  <c r="K77" i="33"/>
  <c r="BM76" i="33"/>
  <c r="L76" i="33"/>
  <c r="K76" i="33"/>
  <c r="BO75" i="33"/>
  <c r="BN75" i="33"/>
  <c r="BM75" i="33"/>
  <c r="L75" i="33"/>
  <c r="K75" i="33"/>
  <c r="BO74" i="33"/>
  <c r="BN74" i="33"/>
  <c r="BM74" i="33"/>
  <c r="L74" i="33"/>
  <c r="K74" i="33"/>
  <c r="BO73" i="33"/>
  <c r="BN73" i="33"/>
  <c r="BM73" i="33"/>
  <c r="L73" i="33"/>
  <c r="K73" i="33"/>
  <c r="BO72" i="33"/>
  <c r="BN72" i="33"/>
  <c r="BM72" i="33"/>
  <c r="BO71" i="33"/>
  <c r="BN71" i="33"/>
  <c r="BM71" i="33"/>
  <c r="BM70" i="33"/>
  <c r="L70" i="33"/>
  <c r="BO69" i="33"/>
  <c r="BN69" i="33"/>
  <c r="BM69" i="33"/>
  <c r="L69" i="33"/>
  <c r="BO68" i="33"/>
  <c r="BN68" i="33"/>
  <c r="BM68" i="33"/>
  <c r="L68" i="33"/>
  <c r="BO67" i="33"/>
  <c r="BN67" i="33"/>
  <c r="BM67" i="33"/>
  <c r="BO66" i="33"/>
  <c r="BN66" i="33"/>
  <c r="BM66" i="33"/>
  <c r="BO65" i="33"/>
  <c r="BN65" i="33"/>
  <c r="BM65" i="33"/>
  <c r="D65" i="33"/>
  <c r="C65" i="33"/>
  <c r="B65" i="33"/>
  <c r="BL64" i="33"/>
  <c r="BN63" i="33"/>
  <c r="BM63" i="33"/>
  <c r="BL63" i="33"/>
  <c r="BN62" i="33"/>
  <c r="BM62" i="33"/>
  <c r="BL62" i="33"/>
  <c r="BO61" i="33"/>
  <c r="BN61" i="33"/>
  <c r="BM61" i="33"/>
  <c r="BO60" i="33"/>
  <c r="BN60" i="33"/>
  <c r="BM60" i="33"/>
  <c r="BO59" i="33"/>
  <c r="BN59" i="33"/>
  <c r="BM59" i="33"/>
  <c r="BO58" i="33"/>
  <c r="BN58" i="33"/>
  <c r="BM58" i="33"/>
  <c r="BO57" i="33"/>
  <c r="BN57" i="33"/>
  <c r="BM57" i="33"/>
  <c r="BO56" i="33"/>
  <c r="BN56" i="33"/>
  <c r="BM56" i="33"/>
  <c r="BO55" i="33"/>
  <c r="BN55" i="33"/>
  <c r="BM55" i="33"/>
  <c r="BM54" i="33"/>
  <c r="BO53" i="33"/>
  <c r="BN53" i="33"/>
  <c r="BM53" i="33"/>
  <c r="BO52" i="33"/>
  <c r="BN52" i="33"/>
  <c r="BM52" i="33"/>
  <c r="BO51" i="33"/>
  <c r="BN51" i="33"/>
  <c r="BM51" i="33"/>
  <c r="AF51" i="33"/>
  <c r="BO50" i="33"/>
  <c r="BN50" i="33"/>
  <c r="BM50" i="33"/>
  <c r="AF50" i="33"/>
  <c r="BO76" i="33" s="1"/>
  <c r="BM49" i="33"/>
  <c r="AF49" i="33"/>
  <c r="BO70" i="33" s="1"/>
  <c r="BO48" i="33"/>
  <c r="BN48" i="33"/>
  <c r="BM48" i="33"/>
  <c r="AF48" i="33"/>
  <c r="BN64" i="33" s="1"/>
  <c r="BO47" i="33"/>
  <c r="BN47" i="33"/>
  <c r="BM47" i="33"/>
  <c r="AF47" i="33"/>
  <c r="BO46" i="33"/>
  <c r="BN46" i="33"/>
  <c r="BM46" i="33"/>
  <c r="AF46" i="33"/>
  <c r="BO54" i="33" s="1"/>
  <c r="BO45" i="33"/>
  <c r="BN45" i="33"/>
  <c r="BM45" i="33"/>
  <c r="AF45" i="33"/>
  <c r="BO49" i="33" s="1"/>
  <c r="BO44" i="33"/>
  <c r="BN44" i="33"/>
  <c r="BM44" i="33"/>
  <c r="AF44" i="33"/>
  <c r="BO43" i="33"/>
  <c r="BN43" i="33"/>
  <c r="BM43" i="33"/>
  <c r="AF43" i="33"/>
  <c r="BO42" i="33"/>
  <c r="BN42" i="33"/>
  <c r="BM42" i="33"/>
  <c r="AF42" i="33"/>
  <c r="BO41" i="33"/>
  <c r="BN41" i="33"/>
  <c r="BM41" i="33"/>
  <c r="AF41" i="33"/>
  <c r="X41" i="33"/>
  <c r="W41" i="33"/>
  <c r="V41" i="33"/>
  <c r="U41" i="33"/>
  <c r="T41" i="33"/>
  <c r="R41" i="33"/>
  <c r="G41" i="33"/>
  <c r="F41" i="33"/>
  <c r="E41" i="33"/>
  <c r="BO40" i="33"/>
  <c r="BN40" i="33"/>
  <c r="BM40" i="33"/>
  <c r="AF40" i="33"/>
  <c r="X40" i="33"/>
  <c r="W40" i="33"/>
  <c r="V40" i="33"/>
  <c r="U40" i="33"/>
  <c r="T40" i="33"/>
  <c r="R40" i="33"/>
  <c r="G40" i="33"/>
  <c r="F40" i="33"/>
  <c r="BO39" i="33"/>
  <c r="BN39" i="33"/>
  <c r="BM39" i="33"/>
  <c r="AF39" i="33"/>
  <c r="X39" i="33"/>
  <c r="W39" i="33"/>
  <c r="V39" i="33"/>
  <c r="U39" i="33"/>
  <c r="T39" i="33"/>
  <c r="R39" i="33"/>
  <c r="G39" i="33"/>
  <c r="F39" i="33"/>
  <c r="E39" i="33"/>
  <c r="BO38" i="33"/>
  <c r="BN38" i="33"/>
  <c r="BM38" i="33"/>
  <c r="AF38" i="33"/>
  <c r="BO37" i="33"/>
  <c r="BN37" i="33"/>
  <c r="BM37" i="33"/>
  <c r="AF37" i="33"/>
  <c r="BO36" i="33"/>
  <c r="BN36" i="33"/>
  <c r="BM36" i="33"/>
  <c r="AF36" i="33"/>
  <c r="BO35" i="33"/>
  <c r="BN35" i="33"/>
  <c r="BM35" i="33"/>
  <c r="AF35" i="33"/>
  <c r="BO34" i="33"/>
  <c r="BN34" i="33"/>
  <c r="BM34" i="33"/>
  <c r="AF34" i="33"/>
  <c r="BN76" i="33" s="1"/>
  <c r="BM33" i="33"/>
  <c r="BK74" i="33" s="1"/>
  <c r="BL33" i="33"/>
  <c r="AF33" i="33"/>
  <c r="D33" i="33"/>
  <c r="BM32" i="33"/>
  <c r="BJ85" i="33" s="1"/>
  <c r="BL32" i="33"/>
  <c r="AF32" i="33"/>
  <c r="AF31" i="33"/>
  <c r="AD31" i="33"/>
  <c r="AC31" i="33"/>
  <c r="D31" i="33"/>
  <c r="BH30" i="33"/>
  <c r="BG30" i="33"/>
  <c r="BF30" i="33"/>
  <c r="BE30" i="33"/>
  <c r="BD30" i="33"/>
  <c r="BC30" i="33"/>
  <c r="BB30" i="33"/>
  <c r="BA30" i="33"/>
  <c r="AZ30" i="33"/>
  <c r="AY30" i="33"/>
  <c r="AX30" i="33"/>
  <c r="AW30" i="33"/>
  <c r="AV30" i="33"/>
  <c r="AU30" i="33"/>
  <c r="AT30" i="33"/>
  <c r="AS30" i="33"/>
  <c r="AR30" i="33"/>
  <c r="AQ30" i="33"/>
  <c r="AP30" i="33"/>
  <c r="AO30" i="33"/>
  <c r="AF30" i="33"/>
  <c r="AB30" i="33"/>
  <c r="X30" i="33"/>
  <c r="W30" i="33"/>
  <c r="V30" i="33"/>
  <c r="U30" i="33"/>
  <c r="Y30" i="33" s="1"/>
  <c r="T30" i="33"/>
  <c r="P30" i="33"/>
  <c r="O30" i="33"/>
  <c r="N30" i="33"/>
  <c r="M30" i="33"/>
  <c r="L30" i="33"/>
  <c r="K30" i="33"/>
  <c r="R30" i="33" s="1"/>
  <c r="I30" i="33"/>
  <c r="H30" i="33"/>
  <c r="BH29" i="33"/>
  <c r="BG29" i="33"/>
  <c r="BF29" i="33"/>
  <c r="BE29" i="33"/>
  <c r="BD29" i="33"/>
  <c r="BC29" i="33"/>
  <c r="BB29" i="33"/>
  <c r="BA29" i="33"/>
  <c r="AZ29" i="33"/>
  <c r="AY29" i="33"/>
  <c r="AX29" i="33"/>
  <c r="AW29" i="33"/>
  <c r="AV29" i="33"/>
  <c r="AU29" i="33"/>
  <c r="AT29" i="33"/>
  <c r="AS29" i="33"/>
  <c r="AR29" i="33"/>
  <c r="AQ29" i="33"/>
  <c r="AP29" i="33"/>
  <c r="AO29" i="33"/>
  <c r="AF29" i="33"/>
  <c r="AB29" i="33"/>
  <c r="X29" i="33"/>
  <c r="W29" i="33"/>
  <c r="V29" i="33"/>
  <c r="U29" i="33"/>
  <c r="Y29" i="33" s="1"/>
  <c r="T29" i="33"/>
  <c r="P29" i="33"/>
  <c r="O29" i="33"/>
  <c r="N29" i="33"/>
  <c r="M29" i="33"/>
  <c r="L29" i="33"/>
  <c r="K29" i="33"/>
  <c r="R29" i="33" s="1"/>
  <c r="I29" i="33"/>
  <c r="H29" i="33"/>
  <c r="AF28" i="33"/>
  <c r="K28" i="33"/>
  <c r="R28" i="33" s="1"/>
  <c r="I28" i="33"/>
  <c r="H28" i="33"/>
  <c r="AF27" i="33"/>
  <c r="K27" i="33"/>
  <c r="R27" i="33" s="1"/>
  <c r="I27" i="33"/>
  <c r="H27" i="33"/>
  <c r="AF26" i="33"/>
  <c r="K26" i="33"/>
  <c r="R26" i="33" s="1"/>
  <c r="I26" i="33"/>
  <c r="H26" i="33"/>
  <c r="BH25" i="33"/>
  <c r="BG25" i="33"/>
  <c r="BF25" i="33"/>
  <c r="BE25" i="33"/>
  <c r="BD25" i="33"/>
  <c r="BC25" i="33"/>
  <c r="BB25" i="33"/>
  <c r="BA25" i="33"/>
  <c r="AZ25" i="33"/>
  <c r="AY25" i="33"/>
  <c r="AX25" i="33"/>
  <c r="AW25" i="33"/>
  <c r="AV25" i="33"/>
  <c r="AU25" i="33"/>
  <c r="AT25" i="33"/>
  <c r="AS25" i="33"/>
  <c r="AR25" i="33"/>
  <c r="AQ25" i="33"/>
  <c r="AP25" i="33"/>
  <c r="AO25" i="33"/>
  <c r="AF25" i="33"/>
  <c r="AB25" i="33"/>
  <c r="X25" i="33"/>
  <c r="W25" i="33"/>
  <c r="V25" i="33"/>
  <c r="U25" i="33"/>
  <c r="Y25" i="33" s="1"/>
  <c r="T25" i="33"/>
  <c r="P25" i="33"/>
  <c r="O25" i="33"/>
  <c r="N25" i="33"/>
  <c r="M25" i="33"/>
  <c r="L25" i="33"/>
  <c r="K25" i="33"/>
  <c r="R25" i="33" s="1"/>
  <c r="I25" i="33"/>
  <c r="H25" i="33"/>
  <c r="AF24" i="33"/>
  <c r="K24" i="33"/>
  <c r="R24" i="33" s="1"/>
  <c r="I24" i="33"/>
  <c r="H24" i="33"/>
  <c r="AF23" i="33"/>
  <c r="AF22" i="33"/>
  <c r="AF21" i="33"/>
  <c r="AF20" i="33"/>
  <c r="D20" i="33"/>
  <c r="AF19" i="33"/>
  <c r="AF18" i="33"/>
  <c r="AF17" i="33"/>
  <c r="AF16" i="33"/>
  <c r="AF15" i="33"/>
  <c r="AF14" i="33"/>
  <c r="X14" i="33"/>
  <c r="W14" i="33"/>
  <c r="V14" i="33"/>
  <c r="U14" i="33"/>
  <c r="Y14" i="33" s="1"/>
  <c r="T14" i="33"/>
  <c r="AF13" i="33"/>
  <c r="X13" i="33"/>
  <c r="W13" i="33"/>
  <c r="V13" i="33"/>
  <c r="U13" i="33"/>
  <c r="Y13" i="33" s="1"/>
  <c r="T13" i="33"/>
  <c r="AF12" i="33"/>
  <c r="AF11" i="33"/>
  <c r="AF10" i="33"/>
  <c r="AF9" i="33"/>
  <c r="AF8" i="33"/>
  <c r="J8" i="33"/>
  <c r="AF7" i="33"/>
  <c r="AF6" i="33"/>
  <c r="AF5" i="33"/>
  <c r="AF4" i="33"/>
  <c r="AF3" i="33"/>
  <c r="T106" i="36" l="1"/>
  <c r="BO89" i="36" s="1"/>
  <c r="R106" i="35"/>
  <c r="BO87" i="35" s="1"/>
  <c r="D236" i="34"/>
  <c r="D235" i="34"/>
  <c r="BJ40" i="34"/>
  <c r="BJ56" i="34"/>
  <c r="BJ71" i="34"/>
  <c r="D234" i="34"/>
  <c r="BJ44" i="35"/>
  <c r="BK84" i="35"/>
  <c r="BJ39" i="35"/>
  <c r="BJ59" i="35"/>
  <c r="BI64" i="35"/>
  <c r="D238" i="34"/>
  <c r="BK54" i="35"/>
  <c r="BJ82" i="35"/>
  <c r="BJ38" i="35"/>
  <c r="BJ77" i="35"/>
  <c r="S106" i="36"/>
  <c r="BO88" i="36" s="1"/>
  <c r="BJ50" i="35"/>
  <c r="BJ55" i="35"/>
  <c r="BJ91" i="35"/>
  <c r="R106" i="36"/>
  <c r="BO87" i="36" s="1"/>
  <c r="AO26" i="33"/>
  <c r="AP26" i="33"/>
  <c r="BJ66" i="36"/>
  <c r="BJ35" i="36"/>
  <c r="BJ48" i="36"/>
  <c r="BJ56" i="36"/>
  <c r="BJ58" i="36"/>
  <c r="BJ73" i="36"/>
  <c r="BJ86" i="36"/>
  <c r="BJ36" i="36"/>
  <c r="BK90" i="35"/>
  <c r="BJ45" i="36"/>
  <c r="R106" i="33"/>
  <c r="BO87" i="33" s="1"/>
  <c r="G232" i="34"/>
  <c r="H232" i="34" s="1"/>
  <c r="G240" i="34"/>
  <c r="H240" i="34" s="1"/>
  <c r="G233" i="34"/>
  <c r="H233" i="34" s="1"/>
  <c r="G229" i="34"/>
  <c r="H229" i="34" s="1"/>
  <c r="G231" i="34"/>
  <c r="H231" i="34" s="1"/>
  <c r="G234" i="34"/>
  <c r="H234" i="34" s="1"/>
  <c r="D229" i="34"/>
  <c r="G236" i="34"/>
  <c r="H236" i="34" s="1"/>
  <c r="G235" i="34"/>
  <c r="H235" i="34" s="1"/>
  <c r="G239" i="34"/>
  <c r="H239" i="34" s="1"/>
  <c r="G237" i="34"/>
  <c r="H237" i="34" s="1"/>
  <c r="G230" i="34"/>
  <c r="H230" i="34" s="1"/>
  <c r="G238" i="34"/>
  <c r="H238" i="34" s="1"/>
  <c r="D240" i="34"/>
  <c r="D232" i="34"/>
  <c r="BK41" i="35"/>
  <c r="BK47" i="35"/>
  <c r="BJ53" i="35"/>
  <c r="BJ74" i="35"/>
  <c r="T106" i="35"/>
  <c r="BO89" i="35" s="1"/>
  <c r="BJ40" i="36"/>
  <c r="BJ49" i="36"/>
  <c r="BJ65" i="36"/>
  <c r="BJ69" i="36"/>
  <c r="BJ38" i="36"/>
  <c r="G177" i="36"/>
  <c r="BJ74" i="36"/>
  <c r="BJ53" i="36"/>
  <c r="S106" i="33"/>
  <c r="BO88" i="33" s="1"/>
  <c r="D239" i="34"/>
  <c r="D231" i="34"/>
  <c r="BJ43" i="35"/>
  <c r="BJ48" i="35"/>
  <c r="BJ51" i="35"/>
  <c r="BN70" i="35"/>
  <c r="BJ85" i="35"/>
  <c r="BJ37" i="36"/>
  <c r="BJ61" i="36"/>
  <c r="BJ40" i="35"/>
  <c r="BJ56" i="35"/>
  <c r="BI63" i="35"/>
  <c r="BJ67" i="35"/>
  <c r="BJ34" i="36"/>
  <c r="BJ39" i="36"/>
  <c r="BJ42" i="36"/>
  <c r="BJ72" i="36"/>
  <c r="BJ85" i="36"/>
  <c r="D237" i="34"/>
  <c r="BJ61" i="35"/>
  <c r="BJ65" i="35"/>
  <c r="BJ69" i="35"/>
  <c r="BJ71" i="35"/>
  <c r="BK76" i="35"/>
  <c r="S106" i="35"/>
  <c r="BO88" i="35" s="1"/>
  <c r="BJ44" i="36"/>
  <c r="BJ50" i="36"/>
  <c r="BJ57" i="36"/>
  <c r="BI64" i="36"/>
  <c r="D208" i="33"/>
  <c r="B211" i="33"/>
  <c r="D211" i="33" s="1"/>
  <c r="BJ51" i="33"/>
  <c r="BJ59" i="33"/>
  <c r="BJ77" i="33"/>
  <c r="BJ91" i="33"/>
  <c r="BJ38" i="33"/>
  <c r="BK47" i="33"/>
  <c r="BJ71" i="33"/>
  <c r="BK84" i="33"/>
  <c r="D206" i="33"/>
  <c r="BK41" i="33"/>
  <c r="BK54" i="33"/>
  <c r="BJ62" i="33"/>
  <c r="BK90" i="33"/>
  <c r="BJ40" i="33"/>
  <c r="BK68" i="33"/>
  <c r="BJ82" i="33"/>
  <c r="BJ57" i="34"/>
  <c r="BJ74" i="34"/>
  <c r="BJ82" i="34"/>
  <c r="BJ50" i="34"/>
  <c r="BJ65" i="34"/>
  <c r="BJ66" i="34"/>
  <c r="BJ91" i="34"/>
  <c r="BJ39" i="34"/>
  <c r="BJ42" i="34"/>
  <c r="BJ48" i="34"/>
  <c r="BJ51" i="34"/>
  <c r="BJ73" i="34"/>
  <c r="BJ77" i="34"/>
  <c r="BJ59" i="34"/>
  <c r="BI64" i="34"/>
  <c r="AO31" i="35"/>
  <c r="AO31" i="36"/>
  <c r="AP31" i="35"/>
  <c r="AP31" i="36"/>
  <c r="W31" i="35"/>
  <c r="AV31" i="35"/>
  <c r="V31" i="36"/>
  <c r="V31" i="35"/>
  <c r="BD31" i="35"/>
  <c r="T31" i="35"/>
  <c r="AQ31" i="35"/>
  <c r="AY31" i="35"/>
  <c r="BG31" i="35"/>
  <c r="BN70" i="34"/>
  <c r="BN49" i="34"/>
  <c r="AR31" i="36"/>
  <c r="AZ31" i="36"/>
  <c r="BH31" i="36"/>
  <c r="AB31" i="36"/>
  <c r="AW31" i="35"/>
  <c r="BE31" i="35"/>
  <c r="X31" i="36"/>
  <c r="AV31" i="36"/>
  <c r="BD31" i="36"/>
  <c r="AX31" i="35"/>
  <c r="BF31" i="35"/>
  <c r="T31" i="36"/>
  <c r="AX31" i="36"/>
  <c r="BF31" i="36"/>
  <c r="AW31" i="36"/>
  <c r="BE31" i="36"/>
  <c r="U31" i="35"/>
  <c r="U31" i="36"/>
  <c r="AQ31" i="36"/>
  <c r="AY31" i="36"/>
  <c r="BG31" i="36"/>
  <c r="AS31" i="35"/>
  <c r="BA31" i="35"/>
  <c r="X31" i="35"/>
  <c r="W31" i="36"/>
  <c r="AS31" i="36"/>
  <c r="BA31" i="36"/>
  <c r="AT31" i="35"/>
  <c r="BB31" i="35"/>
  <c r="AT31" i="36"/>
  <c r="BB31" i="36"/>
  <c r="AB31" i="35"/>
  <c r="AU31" i="35"/>
  <c r="BC31" i="35"/>
  <c r="AR31" i="35"/>
  <c r="AZ31" i="35"/>
  <c r="BH31" i="35"/>
  <c r="AU31" i="36"/>
  <c r="BC31" i="36"/>
  <c r="E118" i="36"/>
  <c r="BO91" i="36" s="1"/>
  <c r="D32" i="36"/>
  <c r="BK53" i="36"/>
  <c r="BK85" i="36"/>
  <c r="BK69" i="36"/>
  <c r="BK38" i="36"/>
  <c r="BK44" i="36"/>
  <c r="BK61" i="36"/>
  <c r="R31" i="36"/>
  <c r="BK34" i="36"/>
  <c r="BK35" i="36"/>
  <c r="BK36" i="36"/>
  <c r="BK37" i="36"/>
  <c r="BJ43" i="36"/>
  <c r="BK45" i="36"/>
  <c r="BK49" i="36"/>
  <c r="BJ55" i="36"/>
  <c r="BK58" i="36"/>
  <c r="BI63" i="36"/>
  <c r="BM64" i="36"/>
  <c r="BJ67" i="36"/>
  <c r="BK72" i="36"/>
  <c r="BJ75" i="36"/>
  <c r="BJ81" i="36"/>
  <c r="BJ83" i="36"/>
  <c r="BK86" i="36"/>
  <c r="BJ87" i="36"/>
  <c r="BK43" i="36"/>
  <c r="K45" i="36"/>
  <c r="O45" i="36" s="1"/>
  <c r="BJ46" i="36"/>
  <c r="BJ52" i="36"/>
  <c r="BK55" i="36"/>
  <c r="BJ60" i="36"/>
  <c r="BJ63" i="36"/>
  <c r="BK67" i="36"/>
  <c r="BJ70" i="36"/>
  <c r="BK75" i="36"/>
  <c r="BJ80" i="36"/>
  <c r="BK81" i="36"/>
  <c r="BK83" i="36"/>
  <c r="BK87" i="36"/>
  <c r="BJ88" i="36"/>
  <c r="Y24" i="36"/>
  <c r="Y31" i="36" s="1"/>
  <c r="L45" i="36"/>
  <c r="BK46" i="36"/>
  <c r="BN49" i="36"/>
  <c r="BK52" i="36"/>
  <c r="BK60" i="36"/>
  <c r="BK70" i="36"/>
  <c r="BJ79" i="36"/>
  <c r="BK80" i="36"/>
  <c r="BK88" i="36"/>
  <c r="BJ89" i="36"/>
  <c r="BJ41" i="36"/>
  <c r="BK42" i="36"/>
  <c r="M45" i="36"/>
  <c r="BJ47" i="36"/>
  <c r="BJ54" i="36"/>
  <c r="BK57" i="36"/>
  <c r="BI62" i="36"/>
  <c r="BK66" i="36"/>
  <c r="BJ68" i="36"/>
  <c r="BK73" i="36"/>
  <c r="BJ76" i="36"/>
  <c r="BJ78" i="36"/>
  <c r="BK79" i="36"/>
  <c r="BJ84" i="36"/>
  <c r="BK89" i="36"/>
  <c r="BJ90" i="36"/>
  <c r="BK41" i="36"/>
  <c r="BK47" i="36"/>
  <c r="BJ51" i="36"/>
  <c r="BK54" i="36"/>
  <c r="BJ59" i="36"/>
  <c r="BJ62" i="36"/>
  <c r="BK68" i="36"/>
  <c r="BN70" i="36"/>
  <c r="BJ71" i="36"/>
  <c r="BK76" i="36"/>
  <c r="BJ77" i="36"/>
  <c r="BK78" i="36"/>
  <c r="BJ82" i="36"/>
  <c r="BK84" i="36"/>
  <c r="BK90" i="36"/>
  <c r="BK40" i="36"/>
  <c r="BK51" i="36"/>
  <c r="BK59" i="36"/>
  <c r="BK71" i="36"/>
  <c r="BK77" i="36"/>
  <c r="BK82" i="36"/>
  <c r="BK91" i="36"/>
  <c r="BK39" i="36"/>
  <c r="BK48" i="36"/>
  <c r="BK50" i="36"/>
  <c r="BN54" i="36"/>
  <c r="BK56" i="36"/>
  <c r="BJ64" i="36"/>
  <c r="BK65" i="36"/>
  <c r="E118" i="35"/>
  <c r="BO91" i="35" s="1"/>
  <c r="BK68" i="35"/>
  <c r="BK78" i="35"/>
  <c r="BJ62" i="35"/>
  <c r="R31" i="35"/>
  <c r="M45" i="35"/>
  <c r="L45" i="35"/>
  <c r="K45" i="35"/>
  <c r="O45" i="35" s="1"/>
  <c r="N45" i="35"/>
  <c r="BK39" i="35"/>
  <c r="BK48" i="35"/>
  <c r="D32" i="35"/>
  <c r="BJ34" i="35"/>
  <c r="BJ35" i="35"/>
  <c r="BJ36" i="35"/>
  <c r="BJ37" i="35"/>
  <c r="BK38" i="35"/>
  <c r="BK44" i="35"/>
  <c r="BJ45" i="35"/>
  <c r="BJ49" i="35"/>
  <c r="BK53" i="35"/>
  <c r="BJ58" i="35"/>
  <c r="BK61" i="35"/>
  <c r="BK69" i="35"/>
  <c r="BJ72" i="35"/>
  <c r="BK85" i="35"/>
  <c r="BJ86" i="35"/>
  <c r="BK56" i="35"/>
  <c r="BK74" i="35"/>
  <c r="BN76" i="35"/>
  <c r="BK34" i="35"/>
  <c r="BK35" i="35"/>
  <c r="BK36" i="35"/>
  <c r="BK37" i="35"/>
  <c r="BK45" i="35"/>
  <c r="BK49" i="35"/>
  <c r="BK58" i="35"/>
  <c r="BM64" i="35"/>
  <c r="BK72" i="35"/>
  <c r="BJ75" i="35"/>
  <c r="BJ81" i="35"/>
  <c r="BJ83" i="35"/>
  <c r="BK86" i="35"/>
  <c r="BJ87" i="35"/>
  <c r="BK43" i="35"/>
  <c r="BJ46" i="35"/>
  <c r="BJ52" i="35"/>
  <c r="BK55" i="35"/>
  <c r="BJ60" i="35"/>
  <c r="BJ63" i="35"/>
  <c r="BK67" i="35"/>
  <c r="BJ70" i="35"/>
  <c r="BK75" i="35"/>
  <c r="BJ80" i="35"/>
  <c r="BK81" i="35"/>
  <c r="BK83" i="35"/>
  <c r="BK87" i="35"/>
  <c r="BJ88" i="35"/>
  <c r="Y24" i="35"/>
  <c r="Y31" i="35" s="1"/>
  <c r="BJ42" i="35"/>
  <c r="BK46" i="35"/>
  <c r="BN49" i="35"/>
  <c r="BK52" i="35"/>
  <c r="BJ57" i="35"/>
  <c r="BK60" i="35"/>
  <c r="BJ66" i="35"/>
  <c r="BK70" i="35"/>
  <c r="BJ73" i="35"/>
  <c r="BJ79" i="35"/>
  <c r="BK80" i="35"/>
  <c r="BK88" i="35"/>
  <c r="BJ89" i="35"/>
  <c r="BK50" i="35"/>
  <c r="BJ64" i="35"/>
  <c r="BK65" i="35"/>
  <c r="BJ41" i="35"/>
  <c r="BK42" i="35"/>
  <c r="BJ47" i="35"/>
  <c r="BJ54" i="35"/>
  <c r="BK57" i="35"/>
  <c r="BI62" i="35"/>
  <c r="BK66" i="35"/>
  <c r="BJ68" i="35"/>
  <c r="BK73" i="35"/>
  <c r="BJ76" i="35"/>
  <c r="BJ78" i="35"/>
  <c r="BK79" i="35"/>
  <c r="BJ84" i="35"/>
  <c r="BK89" i="35"/>
  <c r="BK40" i="35"/>
  <c r="BK51" i="35"/>
  <c r="BK59" i="35"/>
  <c r="BK71" i="35"/>
  <c r="BK77" i="35"/>
  <c r="BK82" i="35"/>
  <c r="S106" i="34"/>
  <c r="BO88" i="34" s="1"/>
  <c r="AP28" i="34"/>
  <c r="T106" i="34"/>
  <c r="BO89" i="34" s="1"/>
  <c r="R106" i="34"/>
  <c r="BO87" i="34" s="1"/>
  <c r="D205" i="34"/>
  <c r="D206" i="34" s="1"/>
  <c r="R31" i="34"/>
  <c r="AO24" i="34"/>
  <c r="BK82" i="34"/>
  <c r="AP24" i="34"/>
  <c r="BJ38" i="34"/>
  <c r="BK39" i="34"/>
  <c r="BJ44" i="34"/>
  <c r="BK48" i="34"/>
  <c r="BK50" i="34"/>
  <c r="BJ53" i="34"/>
  <c r="BN54" i="34"/>
  <c r="BK56" i="34"/>
  <c r="BJ61" i="34"/>
  <c r="BJ64" i="34"/>
  <c r="BK65" i="34"/>
  <c r="BJ69" i="34"/>
  <c r="BK74" i="34"/>
  <c r="BN76" i="34"/>
  <c r="BJ85" i="34"/>
  <c r="B209" i="34"/>
  <c r="D32" i="34"/>
  <c r="BJ34" i="34"/>
  <c r="BJ35" i="34"/>
  <c r="BJ36" i="34"/>
  <c r="BJ37" i="34"/>
  <c r="BK38" i="34"/>
  <c r="BK44" i="34"/>
  <c r="BJ45" i="34"/>
  <c r="BJ49" i="34"/>
  <c r="BK53" i="34"/>
  <c r="BJ58" i="34"/>
  <c r="BK61" i="34"/>
  <c r="BK69" i="34"/>
  <c r="BJ72" i="34"/>
  <c r="BK85" i="34"/>
  <c r="BJ86" i="34"/>
  <c r="BK59" i="34"/>
  <c r="BK71" i="34"/>
  <c r="BK91" i="34"/>
  <c r="BK34" i="34"/>
  <c r="BK35" i="34"/>
  <c r="BK36" i="34"/>
  <c r="BK37" i="34"/>
  <c r="BJ43" i="34"/>
  <c r="BK45" i="34"/>
  <c r="BK49" i="34"/>
  <c r="BJ55" i="34"/>
  <c r="BK58" i="34"/>
  <c r="BI63" i="34"/>
  <c r="BJ67" i="34"/>
  <c r="BK72" i="34"/>
  <c r="BJ75" i="34"/>
  <c r="BJ81" i="34"/>
  <c r="BJ83" i="34"/>
  <c r="BK86" i="34"/>
  <c r="BJ87" i="34"/>
  <c r="BK77" i="34"/>
  <c r="AO28" i="34"/>
  <c r="BK43" i="34"/>
  <c r="BJ46" i="34"/>
  <c r="BJ52" i="34"/>
  <c r="BK55" i="34"/>
  <c r="BJ60" i="34"/>
  <c r="BJ63" i="34"/>
  <c r="BK67" i="34"/>
  <c r="BJ70" i="34"/>
  <c r="BK75" i="34"/>
  <c r="BJ80" i="34"/>
  <c r="BK81" i="34"/>
  <c r="BK83" i="34"/>
  <c r="BK87" i="34"/>
  <c r="BJ88" i="34"/>
  <c r="BK46" i="34"/>
  <c r="BK52" i="34"/>
  <c r="BK60" i="34"/>
  <c r="BK70" i="34"/>
  <c r="BJ79" i="34"/>
  <c r="BK80" i="34"/>
  <c r="BK88" i="34"/>
  <c r="BJ89" i="34"/>
  <c r="BK40" i="34"/>
  <c r="BK51" i="34"/>
  <c r="BJ41" i="34"/>
  <c r="BK42" i="34"/>
  <c r="BJ47" i="34"/>
  <c r="BJ54" i="34"/>
  <c r="BK57" i="34"/>
  <c r="BI62" i="34"/>
  <c r="BK66" i="34"/>
  <c r="BJ68" i="34"/>
  <c r="BK73" i="34"/>
  <c r="BJ76" i="34"/>
  <c r="BJ78" i="34"/>
  <c r="BK79" i="34"/>
  <c r="BJ84" i="34"/>
  <c r="BK89" i="34"/>
  <c r="AO27" i="34"/>
  <c r="BK41" i="34"/>
  <c r="BK47" i="34"/>
  <c r="BK54" i="34"/>
  <c r="BJ62" i="34"/>
  <c r="BK68" i="34"/>
  <c r="BK76" i="34"/>
  <c r="BK78" i="34"/>
  <c r="BK84" i="34"/>
  <c r="T106" i="33"/>
  <c r="BO89" i="33" s="1"/>
  <c r="R31" i="33"/>
  <c r="BN70" i="33"/>
  <c r="D205" i="33"/>
  <c r="BK76" i="33"/>
  <c r="BK78" i="33"/>
  <c r="G177" i="33"/>
  <c r="D32" i="33"/>
  <c r="BJ34" i="33"/>
  <c r="BJ35" i="33"/>
  <c r="BJ36" i="33"/>
  <c r="BJ37" i="33"/>
  <c r="BK38" i="33"/>
  <c r="BK44" i="33"/>
  <c r="BJ45" i="33"/>
  <c r="BJ49" i="33"/>
  <c r="BK53" i="33"/>
  <c r="BJ58" i="33"/>
  <c r="BK61" i="33"/>
  <c r="BK69" i="33"/>
  <c r="BJ72" i="33"/>
  <c r="BK85" i="33"/>
  <c r="BJ86" i="33"/>
  <c r="BK34" i="33"/>
  <c r="BK35" i="33"/>
  <c r="BK36" i="33"/>
  <c r="BK37" i="33"/>
  <c r="BJ43" i="33"/>
  <c r="BK45" i="33"/>
  <c r="BK49" i="33"/>
  <c r="BJ55" i="33"/>
  <c r="BK58" i="33"/>
  <c r="BI63" i="33"/>
  <c r="BM64" i="33"/>
  <c r="BJ67" i="33"/>
  <c r="BK72" i="33"/>
  <c r="BJ75" i="33"/>
  <c r="BJ81" i="33"/>
  <c r="BJ83" i="33"/>
  <c r="BK86" i="33"/>
  <c r="BJ87" i="33"/>
  <c r="AO28" i="33"/>
  <c r="BK43" i="33"/>
  <c r="BJ46" i="33"/>
  <c r="BJ52" i="33"/>
  <c r="BK55" i="33"/>
  <c r="BJ60" i="33"/>
  <c r="BJ63" i="33"/>
  <c r="BK67" i="33"/>
  <c r="BJ70" i="33"/>
  <c r="BK75" i="33"/>
  <c r="BJ80" i="33"/>
  <c r="BK81" i="33"/>
  <c r="BK83" i="33"/>
  <c r="BK87" i="33"/>
  <c r="BJ88" i="33"/>
  <c r="AP28" i="33"/>
  <c r="BJ42" i="33"/>
  <c r="BK46" i="33"/>
  <c r="BN49" i="33"/>
  <c r="BK52" i="33"/>
  <c r="BJ57" i="33"/>
  <c r="BK60" i="33"/>
  <c r="BJ66" i="33"/>
  <c r="BK70" i="33"/>
  <c r="BJ73" i="33"/>
  <c r="BJ79" i="33"/>
  <c r="BK80" i="33"/>
  <c r="BK88" i="33"/>
  <c r="BJ89" i="33"/>
  <c r="BJ41" i="33"/>
  <c r="BK42" i="33"/>
  <c r="BJ47" i="33"/>
  <c r="BJ54" i="33"/>
  <c r="BK57" i="33"/>
  <c r="BI62" i="33"/>
  <c r="BK66" i="33"/>
  <c r="BJ68" i="33"/>
  <c r="BK73" i="33"/>
  <c r="BJ76" i="33"/>
  <c r="BJ78" i="33"/>
  <c r="BK79" i="33"/>
  <c r="BJ84" i="33"/>
  <c r="BK89" i="33"/>
  <c r="BJ90" i="33"/>
  <c r="AO24" i="33"/>
  <c r="AO31" i="33" s="1"/>
  <c r="AP27" i="33"/>
  <c r="BJ39" i="33"/>
  <c r="BK40" i="33"/>
  <c r="BJ48" i="33"/>
  <c r="BJ50" i="33"/>
  <c r="BK51" i="33"/>
  <c r="BJ56" i="33"/>
  <c r="BK59" i="33"/>
  <c r="BI64" i="33"/>
  <c r="BJ65" i="33"/>
  <c r="BK71" i="33"/>
  <c r="BJ74" i="33"/>
  <c r="BK77" i="33"/>
  <c r="BK82" i="33"/>
  <c r="BK91" i="33"/>
  <c r="AO27" i="33"/>
  <c r="AP24" i="33"/>
  <c r="AP31" i="33" s="1"/>
  <c r="BK39" i="33"/>
  <c r="BJ44" i="33"/>
  <c r="BK48" i="33"/>
  <c r="BK50" i="33"/>
  <c r="BJ53" i="33"/>
  <c r="BN54" i="33"/>
  <c r="BK56" i="33"/>
  <c r="BJ61" i="33"/>
  <c r="BJ64" i="33"/>
  <c r="BK65" i="33"/>
  <c r="BJ69" i="33"/>
  <c r="C136" i="36" l="1"/>
  <c r="D140" i="36" s="1"/>
  <c r="G177" i="35"/>
  <c r="D140" i="35"/>
  <c r="C136" i="35"/>
  <c r="C136" i="33"/>
  <c r="D140" i="33" s="1"/>
  <c r="D140" i="34"/>
  <c r="C136" i="34"/>
  <c r="AP31" i="34"/>
  <c r="D209" i="33"/>
  <c r="D241" i="34"/>
  <c r="D212" i="33"/>
  <c r="AO31" i="34"/>
  <c r="G177" i="34"/>
  <c r="D207" i="34"/>
  <c r="B212" i="34"/>
  <c r="D212" i="34" s="1"/>
  <c r="D209" i="34"/>
  <c r="D210" i="34" s="1"/>
  <c r="K45" i="34" l="1"/>
  <c r="O45" i="34" s="1"/>
  <c r="L45" i="34"/>
  <c r="D213" i="34"/>
  <c r="M45" i="34"/>
  <c r="N45" i="34"/>
  <c r="M45" i="33"/>
  <c r="N45" i="33"/>
  <c r="K45" i="33"/>
  <c r="O45" i="33" s="1"/>
  <c r="L45" i="33"/>
  <c r="C137" i="30" l="1"/>
  <c r="D168" i="30" l="1"/>
  <c r="E156" i="30"/>
  <c r="D156" i="30"/>
  <c r="C156" i="30"/>
  <c r="L149" i="30"/>
  <c r="K149" i="30"/>
  <c r="L148" i="30"/>
  <c r="K148" i="30"/>
  <c r="L147" i="30"/>
  <c r="K147" i="30"/>
  <c r="D143" i="30"/>
  <c r="D142" i="30"/>
  <c r="D141" i="30"/>
  <c r="M134" i="30"/>
  <c r="M133" i="30"/>
  <c r="M132" i="30"/>
  <c r="M131" i="30"/>
  <c r="M130" i="30"/>
  <c r="M129" i="30"/>
  <c r="M128" i="30"/>
  <c r="M127" i="30"/>
  <c r="M126" i="30"/>
  <c r="M125" i="30"/>
  <c r="M124" i="30"/>
  <c r="M123" i="30"/>
  <c r="M122" i="30"/>
  <c r="D118" i="30"/>
  <c r="BO90" i="30" s="1"/>
  <c r="E106" i="30"/>
  <c r="D106" i="30"/>
  <c r="C106" i="30"/>
  <c r="T105" i="30"/>
  <c r="S105" i="30"/>
  <c r="R105" i="30"/>
  <c r="P105" i="30"/>
  <c r="T104" i="30"/>
  <c r="S104" i="30"/>
  <c r="R104" i="30"/>
  <c r="P104" i="30"/>
  <c r="T103" i="30"/>
  <c r="S103" i="30"/>
  <c r="R103" i="30"/>
  <c r="P103" i="30"/>
  <c r="T102" i="30"/>
  <c r="S102" i="30"/>
  <c r="R102" i="30"/>
  <c r="P102" i="30"/>
  <c r="T101" i="30"/>
  <c r="S101" i="30"/>
  <c r="R101" i="30"/>
  <c r="P101" i="30"/>
  <c r="T100" i="30"/>
  <c r="S100" i="30"/>
  <c r="R100" i="30"/>
  <c r="P100" i="30"/>
  <c r="T99" i="30"/>
  <c r="S99" i="30"/>
  <c r="R99" i="30"/>
  <c r="P99" i="30"/>
  <c r="T98" i="30"/>
  <c r="S98" i="30"/>
  <c r="R98" i="30"/>
  <c r="P98" i="30"/>
  <c r="T97" i="30"/>
  <c r="S97" i="30"/>
  <c r="S106" i="30" s="1"/>
  <c r="BO88" i="30" s="1"/>
  <c r="R97" i="30"/>
  <c r="P97" i="30"/>
  <c r="P92" i="30"/>
  <c r="E92" i="30"/>
  <c r="S92" i="30" s="1"/>
  <c r="D92" i="30"/>
  <c r="R92" i="30" s="1"/>
  <c r="BN91" i="30"/>
  <c r="P91" i="30"/>
  <c r="E91" i="30"/>
  <c r="S91" i="30" s="1"/>
  <c r="D91" i="30"/>
  <c r="R91" i="30" s="1"/>
  <c r="BN90" i="30"/>
  <c r="P90" i="30"/>
  <c r="E90" i="30"/>
  <c r="S90" i="30" s="1"/>
  <c r="D90" i="30"/>
  <c r="R90" i="30" s="1"/>
  <c r="BN89" i="30"/>
  <c r="P89" i="30"/>
  <c r="E89" i="30"/>
  <c r="S89" i="30" s="1"/>
  <c r="D89" i="30"/>
  <c r="R89" i="30" s="1"/>
  <c r="BN88" i="30"/>
  <c r="P88" i="30"/>
  <c r="E88" i="30"/>
  <c r="S88" i="30" s="1"/>
  <c r="D88" i="30"/>
  <c r="R88" i="30" s="1"/>
  <c r="BN87" i="30"/>
  <c r="P87" i="30"/>
  <c r="E87" i="30"/>
  <c r="S87" i="30" s="1"/>
  <c r="D87" i="30"/>
  <c r="R87" i="30" s="1"/>
  <c r="BN86" i="30"/>
  <c r="P86" i="30"/>
  <c r="E86" i="30"/>
  <c r="S86" i="30" s="1"/>
  <c r="D86" i="30"/>
  <c r="R86" i="30" s="1"/>
  <c r="BN85" i="30"/>
  <c r="P85" i="30"/>
  <c r="BN84" i="30"/>
  <c r="BL84" i="30"/>
  <c r="BM84" i="30" s="1"/>
  <c r="P84" i="30"/>
  <c r="BN83" i="30"/>
  <c r="BL83" i="30"/>
  <c r="BM83" i="30" s="1"/>
  <c r="BO82" i="30"/>
  <c r="BN82" i="30"/>
  <c r="BO81" i="30"/>
  <c r="BN81" i="30"/>
  <c r="L81" i="30"/>
  <c r="K81" i="30"/>
  <c r="BO80" i="30"/>
  <c r="BN80" i="30"/>
  <c r="BM80" i="30"/>
  <c r="L80" i="30"/>
  <c r="K80" i="30"/>
  <c r="BO79" i="30"/>
  <c r="BN79" i="30"/>
  <c r="BM79" i="30"/>
  <c r="L79" i="30"/>
  <c r="K79" i="30"/>
  <c r="BO78" i="30"/>
  <c r="BN78" i="30"/>
  <c r="BM78" i="30"/>
  <c r="L78" i="30"/>
  <c r="K78" i="30"/>
  <c r="BO77" i="30"/>
  <c r="BN77" i="30"/>
  <c r="BM77" i="30"/>
  <c r="L77" i="30"/>
  <c r="K77" i="30"/>
  <c r="BM76" i="30"/>
  <c r="L76" i="30"/>
  <c r="K76" i="30"/>
  <c r="BO75" i="30"/>
  <c r="BN75" i="30"/>
  <c r="BM75" i="30"/>
  <c r="L75" i="30"/>
  <c r="K75" i="30"/>
  <c r="BO74" i="30"/>
  <c r="BN74" i="30"/>
  <c r="BM74" i="30"/>
  <c r="L74" i="30"/>
  <c r="K74" i="30"/>
  <c r="BO73" i="30"/>
  <c r="BN73" i="30"/>
  <c r="BM73" i="30"/>
  <c r="L73" i="30"/>
  <c r="K73" i="30"/>
  <c r="BO72" i="30"/>
  <c r="BN72" i="30"/>
  <c r="BM72" i="30"/>
  <c r="BO71" i="30"/>
  <c r="BN71" i="30"/>
  <c r="BM71" i="30"/>
  <c r="L71" i="30"/>
  <c r="BM70" i="30"/>
  <c r="L70" i="30"/>
  <c r="BO69" i="30"/>
  <c r="BN69" i="30"/>
  <c r="BM69" i="30"/>
  <c r="L69" i="30"/>
  <c r="BO68" i="30"/>
  <c r="BN68" i="30"/>
  <c r="BM68" i="30"/>
  <c r="L68" i="30"/>
  <c r="BO67" i="30"/>
  <c r="BN67" i="30"/>
  <c r="BM67" i="30"/>
  <c r="BO66" i="30"/>
  <c r="BN66" i="30"/>
  <c r="BM66" i="30"/>
  <c r="BO65" i="30"/>
  <c r="BN65" i="30"/>
  <c r="BM65" i="30"/>
  <c r="D65" i="30"/>
  <c r="C65" i="30"/>
  <c r="B65" i="30"/>
  <c r="BL64" i="30"/>
  <c r="BN63" i="30"/>
  <c r="BM63" i="30"/>
  <c r="BL63" i="30"/>
  <c r="BN62" i="30"/>
  <c r="BM62" i="30"/>
  <c r="BL62" i="30"/>
  <c r="BO61" i="30"/>
  <c r="BN61" i="30"/>
  <c r="BM61" i="30"/>
  <c r="BO60" i="30"/>
  <c r="BN60" i="30"/>
  <c r="BM60" i="30"/>
  <c r="BO59" i="30"/>
  <c r="BN59" i="30"/>
  <c r="BM59" i="30"/>
  <c r="BO58" i="30"/>
  <c r="BN58" i="30"/>
  <c r="BM58" i="30"/>
  <c r="BO57" i="30"/>
  <c r="BN57" i="30"/>
  <c r="BM57" i="30"/>
  <c r="BO56" i="30"/>
  <c r="BN56" i="30"/>
  <c r="BM56" i="30"/>
  <c r="BO55" i="30"/>
  <c r="BN55" i="30"/>
  <c r="BM55" i="30"/>
  <c r="BM54" i="30"/>
  <c r="BO53" i="30"/>
  <c r="BN53" i="30"/>
  <c r="BM53" i="30"/>
  <c r="BO52" i="30"/>
  <c r="BN52" i="30"/>
  <c r="BM52" i="30"/>
  <c r="BO51" i="30"/>
  <c r="BN51" i="30"/>
  <c r="BM51" i="30"/>
  <c r="AF51" i="30"/>
  <c r="BO50" i="30"/>
  <c r="BN50" i="30"/>
  <c r="BM50" i="30"/>
  <c r="AF50" i="30"/>
  <c r="BO76" i="30" s="1"/>
  <c r="BM49" i="30"/>
  <c r="AF49" i="30"/>
  <c r="BO70" i="30" s="1"/>
  <c r="BO48" i="30"/>
  <c r="BN48" i="30"/>
  <c r="BM48" i="30"/>
  <c r="AF48" i="30"/>
  <c r="BN64" i="30" s="1"/>
  <c r="BO47" i="30"/>
  <c r="BN47" i="30"/>
  <c r="BM47" i="30"/>
  <c r="AF47" i="30"/>
  <c r="BO46" i="30"/>
  <c r="BN46" i="30"/>
  <c r="BM46" i="30"/>
  <c r="AF46" i="30"/>
  <c r="BO54" i="30" s="1"/>
  <c r="BO45" i="30"/>
  <c r="BN45" i="30"/>
  <c r="BM45" i="30"/>
  <c r="AF45" i="30"/>
  <c r="BO49" i="30" s="1"/>
  <c r="BO44" i="30"/>
  <c r="BN44" i="30"/>
  <c r="BM44" i="30"/>
  <c r="AF44" i="30"/>
  <c r="BO43" i="30"/>
  <c r="BN43" i="30"/>
  <c r="BM43" i="30"/>
  <c r="AF43" i="30"/>
  <c r="BO42" i="30"/>
  <c r="BN42" i="30"/>
  <c r="BM42" i="30"/>
  <c r="AF42" i="30"/>
  <c r="BO41" i="30"/>
  <c r="BN41" i="30"/>
  <c r="BM41" i="30"/>
  <c r="AF41" i="30"/>
  <c r="X41" i="30"/>
  <c r="W41" i="30"/>
  <c r="V41" i="30"/>
  <c r="U41" i="30"/>
  <c r="T41" i="30"/>
  <c r="R41" i="30"/>
  <c r="G41" i="30"/>
  <c r="F41" i="30"/>
  <c r="E41" i="30"/>
  <c r="BO40" i="30"/>
  <c r="BN40" i="30"/>
  <c r="BM40" i="30"/>
  <c r="AF40" i="30"/>
  <c r="X40" i="30"/>
  <c r="W40" i="30"/>
  <c r="V40" i="30"/>
  <c r="U40" i="30"/>
  <c r="T40" i="30"/>
  <c r="R40" i="30"/>
  <c r="G40" i="30"/>
  <c r="F40" i="30"/>
  <c r="E40" i="30"/>
  <c r="BO39" i="30"/>
  <c r="BN39" i="30"/>
  <c r="BM39" i="30"/>
  <c r="AF39" i="30"/>
  <c r="X39" i="30"/>
  <c r="W39" i="30"/>
  <c r="V39" i="30"/>
  <c r="U39" i="30"/>
  <c r="T39" i="30"/>
  <c r="R39" i="30"/>
  <c r="G39" i="30"/>
  <c r="F39" i="30"/>
  <c r="E39" i="30"/>
  <c r="BO38" i="30"/>
  <c r="BN38" i="30"/>
  <c r="BM38" i="30"/>
  <c r="AF38" i="30"/>
  <c r="X38" i="30"/>
  <c r="W38" i="30"/>
  <c r="V38" i="30"/>
  <c r="U38" i="30"/>
  <c r="T38" i="30"/>
  <c r="R38" i="30"/>
  <c r="D38" i="30" s="1"/>
  <c r="BO37" i="30"/>
  <c r="BN37" i="30"/>
  <c r="BM37" i="30"/>
  <c r="AF37" i="30"/>
  <c r="BO36" i="30"/>
  <c r="BN36" i="30"/>
  <c r="BM36" i="30"/>
  <c r="AF36" i="30"/>
  <c r="BO35" i="30"/>
  <c r="BN35" i="30"/>
  <c r="BM35" i="30"/>
  <c r="AF35" i="30"/>
  <c r="BO34" i="30"/>
  <c r="BN34" i="30"/>
  <c r="BM34" i="30"/>
  <c r="AF34" i="30"/>
  <c r="BN76" i="30" s="1"/>
  <c r="BM33" i="30"/>
  <c r="BK88" i="30" s="1"/>
  <c r="BL33" i="30"/>
  <c r="AF33" i="30"/>
  <c r="D33" i="30"/>
  <c r="BM32" i="30"/>
  <c r="BJ89" i="30" s="1"/>
  <c r="BL32" i="30"/>
  <c r="AF32" i="30"/>
  <c r="AF31" i="30"/>
  <c r="AD31" i="30"/>
  <c r="AC31" i="30"/>
  <c r="D31" i="30"/>
  <c r="BH30" i="30"/>
  <c r="BG30" i="30"/>
  <c r="BF30" i="30"/>
  <c r="BE30" i="30"/>
  <c r="BD30" i="30"/>
  <c r="BC30" i="30"/>
  <c r="BB30" i="30"/>
  <c r="BA30" i="30"/>
  <c r="AZ30" i="30"/>
  <c r="AY30" i="30"/>
  <c r="AX30" i="30"/>
  <c r="AW30" i="30"/>
  <c r="AV30" i="30"/>
  <c r="AU30" i="30"/>
  <c r="AT30" i="30"/>
  <c r="AS30" i="30"/>
  <c r="AR30" i="30"/>
  <c r="AQ30" i="30"/>
  <c r="AP30" i="30"/>
  <c r="AO30" i="30"/>
  <c r="AF30" i="30"/>
  <c r="AB30" i="30"/>
  <c r="X30" i="30"/>
  <c r="W30" i="30"/>
  <c r="V30" i="30"/>
  <c r="U30" i="30"/>
  <c r="Y30" i="30" s="1"/>
  <c r="T30" i="30"/>
  <c r="P30" i="30"/>
  <c r="O30" i="30"/>
  <c r="N30" i="30"/>
  <c r="M30" i="30"/>
  <c r="L30" i="30"/>
  <c r="K30" i="30"/>
  <c r="R30" i="30" s="1"/>
  <c r="I30" i="30"/>
  <c r="H30" i="30"/>
  <c r="BH29" i="30"/>
  <c r="BG29" i="30"/>
  <c r="BF29" i="30"/>
  <c r="BE29" i="30"/>
  <c r="BD29" i="30"/>
  <c r="BC29" i="30"/>
  <c r="BB29" i="30"/>
  <c r="BA29" i="30"/>
  <c r="AZ29" i="30"/>
  <c r="AY29" i="30"/>
  <c r="AX29" i="30"/>
  <c r="AW29" i="30"/>
  <c r="AV29" i="30"/>
  <c r="AU29" i="30"/>
  <c r="AT29" i="30"/>
  <c r="AS29" i="30"/>
  <c r="AR29" i="30"/>
  <c r="AQ29" i="30"/>
  <c r="AP29" i="30"/>
  <c r="AO29" i="30"/>
  <c r="AF29" i="30"/>
  <c r="AB29" i="30"/>
  <c r="X29" i="30"/>
  <c r="W29" i="30"/>
  <c r="V29" i="30"/>
  <c r="U29" i="30"/>
  <c r="Y29" i="30" s="1"/>
  <c r="T29" i="30"/>
  <c r="P29" i="30"/>
  <c r="O29" i="30"/>
  <c r="N29" i="30"/>
  <c r="M29" i="30"/>
  <c r="L29" i="30"/>
  <c r="K29" i="30"/>
  <c r="R29" i="30" s="1"/>
  <c r="I29" i="30"/>
  <c r="H29" i="30"/>
  <c r="BH28" i="30"/>
  <c r="BG28" i="30"/>
  <c r="BF28" i="30"/>
  <c r="BE28" i="30"/>
  <c r="BD28" i="30"/>
  <c r="BC28" i="30"/>
  <c r="BB28" i="30"/>
  <c r="BA28" i="30"/>
  <c r="AZ28" i="30"/>
  <c r="AY28" i="30"/>
  <c r="AX28" i="30"/>
  <c r="AW28" i="30"/>
  <c r="AV28" i="30"/>
  <c r="AU28" i="30"/>
  <c r="AT28" i="30"/>
  <c r="AS28" i="30"/>
  <c r="AR28" i="30"/>
  <c r="AQ28" i="30"/>
  <c r="AP28" i="30"/>
  <c r="AO28" i="30"/>
  <c r="AF28" i="30"/>
  <c r="AB28" i="30"/>
  <c r="X28" i="30"/>
  <c r="W28" i="30"/>
  <c r="V28" i="30"/>
  <c r="U28" i="30"/>
  <c r="Y28" i="30" s="1"/>
  <c r="T28" i="30"/>
  <c r="P28" i="30"/>
  <c r="O28" i="30"/>
  <c r="N28" i="30"/>
  <c r="M28" i="30"/>
  <c r="L28" i="30"/>
  <c r="K28" i="30"/>
  <c r="R28" i="30" s="1"/>
  <c r="I28" i="30"/>
  <c r="H28" i="30"/>
  <c r="BH27" i="30"/>
  <c r="BG27" i="30"/>
  <c r="BF27" i="30"/>
  <c r="BE27" i="30"/>
  <c r="BD27" i="30"/>
  <c r="BC27" i="30"/>
  <c r="BB27" i="30"/>
  <c r="BA27" i="30"/>
  <c r="AZ27" i="30"/>
  <c r="AY27" i="30"/>
  <c r="AX27" i="30"/>
  <c r="AW27" i="30"/>
  <c r="AV27" i="30"/>
  <c r="AU27" i="30"/>
  <c r="AT27" i="30"/>
  <c r="AS27" i="30"/>
  <c r="AR27" i="30"/>
  <c r="AQ27" i="30"/>
  <c r="AP27" i="30"/>
  <c r="AO27" i="30"/>
  <c r="AF27" i="30"/>
  <c r="AB27" i="30"/>
  <c r="X27" i="30"/>
  <c r="W27" i="30"/>
  <c r="V27" i="30"/>
  <c r="U27" i="30"/>
  <c r="Y27" i="30" s="1"/>
  <c r="T27" i="30"/>
  <c r="P27" i="30"/>
  <c r="O27" i="30"/>
  <c r="N27" i="30"/>
  <c r="M27" i="30"/>
  <c r="L27" i="30"/>
  <c r="K27" i="30"/>
  <c r="R27" i="30" s="1"/>
  <c r="I27" i="30"/>
  <c r="H27" i="30"/>
  <c r="BH26" i="30"/>
  <c r="BG26" i="30"/>
  <c r="BF26" i="30"/>
  <c r="BE26" i="30"/>
  <c r="BD26" i="30"/>
  <c r="BC26" i="30"/>
  <c r="BB26" i="30"/>
  <c r="BA26" i="30"/>
  <c r="AZ26" i="30"/>
  <c r="AY26" i="30"/>
  <c r="AX26" i="30"/>
  <c r="AW26" i="30"/>
  <c r="AV26" i="30"/>
  <c r="AU26" i="30"/>
  <c r="AT26" i="30"/>
  <c r="AS26" i="30"/>
  <c r="AR26" i="30"/>
  <c r="AQ26" i="30"/>
  <c r="AP26" i="30"/>
  <c r="AO26" i="30"/>
  <c r="AF26" i="30"/>
  <c r="AB26" i="30"/>
  <c r="X26" i="30"/>
  <c r="W26" i="30"/>
  <c r="V26" i="30"/>
  <c r="U26" i="30"/>
  <c r="Y26" i="30" s="1"/>
  <c r="T26" i="30"/>
  <c r="P26" i="30"/>
  <c r="O26" i="30"/>
  <c r="N26" i="30"/>
  <c r="M26" i="30"/>
  <c r="L26" i="30"/>
  <c r="K26" i="30"/>
  <c r="R26" i="30" s="1"/>
  <c r="I26" i="30"/>
  <c r="H26" i="30"/>
  <c r="BH25" i="30"/>
  <c r="BG25" i="30"/>
  <c r="BF25" i="30"/>
  <c r="BE25" i="30"/>
  <c r="BD25" i="30"/>
  <c r="BC25" i="30"/>
  <c r="BB25" i="30"/>
  <c r="BA25" i="30"/>
  <c r="AZ25" i="30"/>
  <c r="AY25" i="30"/>
  <c r="AX25" i="30"/>
  <c r="AW25" i="30"/>
  <c r="AV25" i="30"/>
  <c r="AU25" i="30"/>
  <c r="AT25" i="30"/>
  <c r="AS25" i="30"/>
  <c r="AR25" i="30"/>
  <c r="AQ25" i="30"/>
  <c r="AP25" i="30"/>
  <c r="AO25" i="30"/>
  <c r="AF25" i="30"/>
  <c r="AB25" i="30"/>
  <c r="X25" i="30"/>
  <c r="W25" i="30"/>
  <c r="V25" i="30"/>
  <c r="U25" i="30"/>
  <c r="Y25" i="30" s="1"/>
  <c r="T25" i="30"/>
  <c r="P25" i="30"/>
  <c r="O25" i="30"/>
  <c r="N25" i="30"/>
  <c r="M25" i="30"/>
  <c r="L25" i="30"/>
  <c r="K25" i="30"/>
  <c r="R25" i="30" s="1"/>
  <c r="I25" i="30"/>
  <c r="H25" i="30"/>
  <c r="BH24" i="30"/>
  <c r="BG24" i="30"/>
  <c r="BF24" i="30"/>
  <c r="BE24" i="30"/>
  <c r="BD24" i="30"/>
  <c r="BC24" i="30"/>
  <c r="BB24" i="30"/>
  <c r="BA24" i="30"/>
  <c r="AZ24" i="30"/>
  <c r="AY24" i="30"/>
  <c r="AX24" i="30"/>
  <c r="AW24" i="30"/>
  <c r="AV24" i="30"/>
  <c r="AU24" i="30"/>
  <c r="AT24" i="30"/>
  <c r="AS24" i="30"/>
  <c r="AR24" i="30"/>
  <c r="AQ24" i="30"/>
  <c r="AP24" i="30"/>
  <c r="AO24" i="30"/>
  <c r="AF24" i="30"/>
  <c r="AB24" i="30"/>
  <c r="X24" i="30"/>
  <c r="W24" i="30"/>
  <c r="V24" i="30"/>
  <c r="U24" i="30"/>
  <c r="T24" i="30"/>
  <c r="P24" i="30"/>
  <c r="O24" i="30"/>
  <c r="N24" i="30"/>
  <c r="M24" i="30"/>
  <c r="L24" i="30"/>
  <c r="K24" i="30"/>
  <c r="R24" i="30" s="1"/>
  <c r="I24" i="30"/>
  <c r="H24" i="30"/>
  <c r="AF23" i="30"/>
  <c r="AF22" i="30"/>
  <c r="AF21" i="30"/>
  <c r="AF20" i="30"/>
  <c r="D20" i="30"/>
  <c r="D32" i="30" s="1"/>
  <c r="C136" i="30" s="1"/>
  <c r="AF19" i="30"/>
  <c r="AF18" i="30"/>
  <c r="AF17" i="30"/>
  <c r="AF16" i="30"/>
  <c r="X16" i="30"/>
  <c r="W16" i="30"/>
  <c r="V16" i="30"/>
  <c r="U16" i="30"/>
  <c r="Y16" i="30" s="1"/>
  <c r="T16" i="30"/>
  <c r="AF15" i="30"/>
  <c r="AF14" i="30"/>
  <c r="X14" i="30"/>
  <c r="W14" i="30"/>
  <c r="V14" i="30"/>
  <c r="U14" i="30"/>
  <c r="Y14" i="30" s="1"/>
  <c r="T14" i="30"/>
  <c r="AF13" i="30"/>
  <c r="AF12" i="30"/>
  <c r="AF11" i="30"/>
  <c r="AF10" i="30"/>
  <c r="AF9" i="30"/>
  <c r="AF8" i="30"/>
  <c r="J8" i="30"/>
  <c r="N45" i="30" s="1"/>
  <c r="AF7" i="30"/>
  <c r="AF6" i="30"/>
  <c r="AF5" i="30"/>
  <c r="AF4" i="30"/>
  <c r="AF3" i="30"/>
  <c r="BK45" i="30" l="1"/>
  <c r="BK54" i="30"/>
  <c r="BK57" i="30"/>
  <c r="BK72" i="30"/>
  <c r="BK86" i="30"/>
  <c r="T106" i="30"/>
  <c r="BO89" i="30" s="1"/>
  <c r="R106" i="30"/>
  <c r="G177" i="30" s="1"/>
  <c r="BK41" i="30"/>
  <c r="BK47" i="30"/>
  <c r="AP31" i="30"/>
  <c r="BK35" i="30"/>
  <c r="BK49" i="30"/>
  <c r="BK61" i="30"/>
  <c r="BK73" i="30"/>
  <c r="BK76" i="30"/>
  <c r="BK37" i="30"/>
  <c r="BK78" i="30"/>
  <c r="BK84" i="30"/>
  <c r="BK34" i="30"/>
  <c r="BK68" i="30"/>
  <c r="BK66" i="30"/>
  <c r="BK42" i="30"/>
  <c r="BJ62" i="30"/>
  <c r="BM64" i="30"/>
  <c r="BK90" i="30"/>
  <c r="BK44" i="30"/>
  <c r="BN70" i="30"/>
  <c r="BK85" i="30"/>
  <c r="BK53" i="30"/>
  <c r="BK58" i="30"/>
  <c r="BK38" i="30"/>
  <c r="AO31" i="30"/>
  <c r="R31" i="30"/>
  <c r="D140" i="30"/>
  <c r="AT31" i="30"/>
  <c r="AR31" i="30"/>
  <c r="AV31" i="30"/>
  <c r="AZ31" i="30"/>
  <c r="BD31" i="30"/>
  <c r="BH31" i="30"/>
  <c r="W31" i="30"/>
  <c r="BF31" i="30"/>
  <c r="U31" i="30"/>
  <c r="AB31" i="30"/>
  <c r="AQ31" i="30"/>
  <c r="AU31" i="30"/>
  <c r="AY31" i="30"/>
  <c r="BC31" i="30"/>
  <c r="BG31" i="30"/>
  <c r="AS31" i="30"/>
  <c r="AW31" i="30"/>
  <c r="BA31" i="30"/>
  <c r="BE31" i="30"/>
  <c r="AX31" i="30"/>
  <c r="BB31" i="30"/>
  <c r="T31" i="30"/>
  <c r="X31" i="30"/>
  <c r="E118" i="30"/>
  <c r="BO91" i="30" s="1"/>
  <c r="BK36" i="30"/>
  <c r="BK69" i="30"/>
  <c r="BK79" i="30"/>
  <c r="BJ45" i="30"/>
  <c r="BJ67" i="30"/>
  <c r="BJ77" i="30"/>
  <c r="BJ81" i="30"/>
  <c r="BJ51" i="30"/>
  <c r="BJ34" i="30"/>
  <c r="BJ35" i="30"/>
  <c r="BJ36" i="30"/>
  <c r="BJ37" i="30"/>
  <c r="BJ41" i="30"/>
  <c r="BJ47" i="30"/>
  <c r="BJ58" i="30"/>
  <c r="BI62" i="30"/>
  <c r="BJ72" i="30"/>
  <c r="BJ78" i="30"/>
  <c r="BJ83" i="30"/>
  <c r="BJ84" i="30"/>
  <c r="BJ91" i="30"/>
  <c r="BJ40" i="30"/>
  <c r="BJ49" i="30"/>
  <c r="BJ54" i="30"/>
  <c r="BJ75" i="30"/>
  <c r="BJ87" i="30"/>
  <c r="BJ43" i="30"/>
  <c r="BJ55" i="30"/>
  <c r="BJ59" i="30"/>
  <c r="BI63" i="30"/>
  <c r="BJ68" i="30"/>
  <c r="BJ71" i="30"/>
  <c r="BJ76" i="30"/>
  <c r="BJ82" i="30"/>
  <c r="V31" i="30"/>
  <c r="L45" i="30"/>
  <c r="K45" i="30"/>
  <c r="O45" i="30" s="1"/>
  <c r="M45" i="30"/>
  <c r="BJ86" i="30"/>
  <c r="BK89" i="30"/>
  <c r="BJ90" i="30"/>
  <c r="BJ39" i="30"/>
  <c r="BK40" i="30"/>
  <c r="BK43" i="30"/>
  <c r="BJ46" i="30"/>
  <c r="BJ48" i="30"/>
  <c r="BJ50" i="30"/>
  <c r="BK51" i="30"/>
  <c r="BJ52" i="30"/>
  <c r="BK55" i="30"/>
  <c r="BJ56" i="30"/>
  <c r="BK59" i="30"/>
  <c r="BJ60" i="30"/>
  <c r="BJ63" i="30"/>
  <c r="BI64" i="30"/>
  <c r="BJ65" i="30"/>
  <c r="BK67" i="30"/>
  <c r="BJ70" i="30"/>
  <c r="BK71" i="30"/>
  <c r="BJ74" i="30"/>
  <c r="BK75" i="30"/>
  <c r="BK77" i="30"/>
  <c r="BJ80" i="30"/>
  <c r="BK81" i="30"/>
  <c r="BK82" i="30"/>
  <c r="BK83" i="30"/>
  <c r="BK87" i="30"/>
  <c r="BJ88" i="30"/>
  <c r="BK91" i="30"/>
  <c r="Y24" i="30"/>
  <c r="Y31" i="30" s="1"/>
  <c r="BJ38" i="30"/>
  <c r="BK39" i="30"/>
  <c r="BJ42" i="30"/>
  <c r="BJ44" i="30"/>
  <c r="BK46" i="30"/>
  <c r="BK48" i="30"/>
  <c r="BN49" i="30"/>
  <c r="BK50" i="30"/>
  <c r="BK52" i="30"/>
  <c r="BJ53" i="30"/>
  <c r="BN54" i="30"/>
  <c r="BK56" i="30"/>
  <c r="BJ57" i="30"/>
  <c r="BK60" i="30"/>
  <c r="BJ61" i="30"/>
  <c r="BJ64" i="30"/>
  <c r="BK65" i="30"/>
  <c r="BJ66" i="30"/>
  <c r="BJ69" i="30"/>
  <c r="BK70" i="30"/>
  <c r="BJ73" i="30"/>
  <c r="BK74" i="30"/>
  <c r="BJ79" i="30"/>
  <c r="BK80" i="30"/>
  <c r="BJ85" i="30"/>
  <c r="BO87" i="30" l="1"/>
  <c r="D168" i="27" l="1"/>
  <c r="E156" i="27"/>
  <c r="D156" i="27"/>
  <c r="C156" i="27"/>
  <c r="L149" i="27"/>
  <c r="K149" i="27"/>
  <c r="L148" i="27"/>
  <c r="K148" i="27"/>
  <c r="L147" i="27"/>
  <c r="K147" i="27"/>
  <c r="D143" i="27"/>
  <c r="D142" i="27"/>
  <c r="D141" i="27"/>
  <c r="C137" i="27"/>
  <c r="M134" i="27"/>
  <c r="M133" i="27"/>
  <c r="M132" i="27"/>
  <c r="M131" i="27"/>
  <c r="M130" i="27"/>
  <c r="M129" i="27"/>
  <c r="M128" i="27"/>
  <c r="M127" i="27"/>
  <c r="M126" i="27"/>
  <c r="M125" i="27"/>
  <c r="M124" i="27"/>
  <c r="M123" i="27"/>
  <c r="M122" i="27"/>
  <c r="D118" i="27"/>
  <c r="BO90" i="27" s="1"/>
  <c r="E106" i="27"/>
  <c r="D106" i="27"/>
  <c r="C106" i="27"/>
  <c r="T105" i="27"/>
  <c r="S105" i="27"/>
  <c r="R105" i="27"/>
  <c r="P105" i="27"/>
  <c r="T104" i="27"/>
  <c r="S104" i="27"/>
  <c r="R104" i="27"/>
  <c r="P104" i="27"/>
  <c r="T103" i="27"/>
  <c r="S103" i="27"/>
  <c r="R103" i="27"/>
  <c r="P103" i="27"/>
  <c r="T102" i="27"/>
  <c r="S102" i="27"/>
  <c r="R102" i="27"/>
  <c r="P102" i="27"/>
  <c r="T101" i="27"/>
  <c r="S101" i="27"/>
  <c r="R101" i="27"/>
  <c r="P101" i="27"/>
  <c r="T100" i="27"/>
  <c r="S100" i="27"/>
  <c r="R100" i="27"/>
  <c r="P100" i="27"/>
  <c r="T99" i="27"/>
  <c r="S99" i="27"/>
  <c r="R99" i="27"/>
  <c r="P99" i="27"/>
  <c r="T98" i="27"/>
  <c r="S98" i="27"/>
  <c r="R98" i="27"/>
  <c r="P98" i="27"/>
  <c r="T97" i="27"/>
  <c r="S97" i="27"/>
  <c r="R97" i="27"/>
  <c r="P97" i="27"/>
  <c r="P92" i="27"/>
  <c r="E92" i="27"/>
  <c r="S92" i="27" s="1"/>
  <c r="D92" i="27"/>
  <c r="R92" i="27" s="1"/>
  <c r="BN91" i="27"/>
  <c r="P91" i="27"/>
  <c r="E91" i="27"/>
  <c r="S91" i="27" s="1"/>
  <c r="D91" i="27"/>
  <c r="R91" i="27" s="1"/>
  <c r="BN90" i="27"/>
  <c r="P90" i="27"/>
  <c r="E90" i="27"/>
  <c r="S90" i="27" s="1"/>
  <c r="D90" i="27"/>
  <c r="R90" i="27" s="1"/>
  <c r="BN89" i="27"/>
  <c r="P89" i="27"/>
  <c r="E89" i="27"/>
  <c r="S89" i="27" s="1"/>
  <c r="D89" i="27"/>
  <c r="R89" i="27" s="1"/>
  <c r="BN88" i="27"/>
  <c r="P88" i="27"/>
  <c r="E88" i="27"/>
  <c r="S88" i="27" s="1"/>
  <c r="D88" i="27"/>
  <c r="R88" i="27" s="1"/>
  <c r="BN87" i="27"/>
  <c r="P87" i="27"/>
  <c r="E87" i="27"/>
  <c r="S87" i="27" s="1"/>
  <c r="D87" i="27"/>
  <c r="R87" i="27" s="1"/>
  <c r="BN86" i="27"/>
  <c r="P86" i="27"/>
  <c r="BN85" i="27"/>
  <c r="P85" i="27"/>
  <c r="BN84" i="27"/>
  <c r="BL84" i="27"/>
  <c r="BM84" i="27" s="1"/>
  <c r="P84" i="27"/>
  <c r="BN83" i="27"/>
  <c r="BL83" i="27"/>
  <c r="BM83" i="27" s="1"/>
  <c r="BO82" i="27"/>
  <c r="BN82" i="27"/>
  <c r="BO81" i="27"/>
  <c r="BN81" i="27"/>
  <c r="L81" i="27"/>
  <c r="K81" i="27"/>
  <c r="BO80" i="27"/>
  <c r="BN80" i="27"/>
  <c r="BM80" i="27"/>
  <c r="L80" i="27"/>
  <c r="K80" i="27"/>
  <c r="BO79" i="27"/>
  <c r="BN79" i="27"/>
  <c r="BM79" i="27"/>
  <c r="L79" i="27"/>
  <c r="K79" i="27"/>
  <c r="BO78" i="27"/>
  <c r="BN78" i="27"/>
  <c r="BM78" i="27"/>
  <c r="L78" i="27"/>
  <c r="K78" i="27"/>
  <c r="BO77" i="27"/>
  <c r="BN77" i="27"/>
  <c r="BM77" i="27"/>
  <c r="L77" i="27"/>
  <c r="K77" i="27"/>
  <c r="BM76" i="27"/>
  <c r="L76" i="27"/>
  <c r="K76" i="27"/>
  <c r="BO75" i="27"/>
  <c r="BN75" i="27"/>
  <c r="BM75" i="27"/>
  <c r="L75" i="27"/>
  <c r="K75" i="27"/>
  <c r="BO74" i="27"/>
  <c r="BN74" i="27"/>
  <c r="BM74" i="27"/>
  <c r="L74" i="27"/>
  <c r="K74" i="27"/>
  <c r="BO73" i="27"/>
  <c r="BN73" i="27"/>
  <c r="BM73" i="27"/>
  <c r="BO72" i="27"/>
  <c r="BN72" i="27"/>
  <c r="BM72" i="27"/>
  <c r="BO71" i="27"/>
  <c r="BN71" i="27"/>
  <c r="BM71" i="27"/>
  <c r="BM70" i="27"/>
  <c r="L70" i="27"/>
  <c r="BO69" i="27"/>
  <c r="BN69" i="27"/>
  <c r="BM69" i="27"/>
  <c r="L69" i="27"/>
  <c r="BO68" i="27"/>
  <c r="BN68" i="27"/>
  <c r="BM68" i="27"/>
  <c r="L68" i="27"/>
  <c r="BO67" i="27"/>
  <c r="BN67" i="27"/>
  <c r="BM67" i="27"/>
  <c r="BO66" i="27"/>
  <c r="BN66" i="27"/>
  <c r="BM66" i="27"/>
  <c r="BO65" i="27"/>
  <c r="BN65" i="27"/>
  <c r="BM65" i="27"/>
  <c r="D65" i="27"/>
  <c r="C65" i="27"/>
  <c r="B65" i="27"/>
  <c r="BL64" i="27"/>
  <c r="BN63" i="27"/>
  <c r="BM63" i="27"/>
  <c r="BL63" i="27"/>
  <c r="BN62" i="27"/>
  <c r="BM62" i="27"/>
  <c r="BL62" i="27"/>
  <c r="BO61" i="27"/>
  <c r="BN61" i="27"/>
  <c r="BM61" i="27"/>
  <c r="BO60" i="27"/>
  <c r="BN60" i="27"/>
  <c r="BM60" i="27"/>
  <c r="BO59" i="27"/>
  <c r="BN59" i="27"/>
  <c r="BM59" i="27"/>
  <c r="BO58" i="27"/>
  <c r="BN58" i="27"/>
  <c r="BM58" i="27"/>
  <c r="BO57" i="27"/>
  <c r="BN57" i="27"/>
  <c r="BM57" i="27"/>
  <c r="BO56" i="27"/>
  <c r="BN56" i="27"/>
  <c r="BM56" i="27"/>
  <c r="BO55" i="27"/>
  <c r="BN55" i="27"/>
  <c r="BM55" i="27"/>
  <c r="BM54" i="27"/>
  <c r="BO53" i="27"/>
  <c r="BN53" i="27"/>
  <c r="BM53" i="27"/>
  <c r="BO52" i="27"/>
  <c r="BN52" i="27"/>
  <c r="BM52" i="27"/>
  <c r="BO51" i="27"/>
  <c r="BN51" i="27"/>
  <c r="BM51" i="27"/>
  <c r="AF51" i="27"/>
  <c r="BO50" i="27"/>
  <c r="BN50" i="27"/>
  <c r="BM50" i="27"/>
  <c r="AF50" i="27"/>
  <c r="BO76" i="27" s="1"/>
  <c r="BM49" i="27"/>
  <c r="AF49" i="27"/>
  <c r="BO70" i="27" s="1"/>
  <c r="BO48" i="27"/>
  <c r="BN48" i="27"/>
  <c r="BM48" i="27"/>
  <c r="AF48" i="27"/>
  <c r="BN64" i="27" s="1"/>
  <c r="BO47" i="27"/>
  <c r="BN47" i="27"/>
  <c r="BM47" i="27"/>
  <c r="AF47" i="27"/>
  <c r="BO46" i="27"/>
  <c r="BN46" i="27"/>
  <c r="BM46" i="27"/>
  <c r="AF46" i="27"/>
  <c r="BO54" i="27" s="1"/>
  <c r="BO45" i="27"/>
  <c r="BN45" i="27"/>
  <c r="BM45" i="27"/>
  <c r="AF45" i="27"/>
  <c r="BO49" i="27" s="1"/>
  <c r="BO44" i="27"/>
  <c r="BN44" i="27"/>
  <c r="BM44" i="27"/>
  <c r="AF44" i="27"/>
  <c r="BO43" i="27"/>
  <c r="BN43" i="27"/>
  <c r="BM43" i="27"/>
  <c r="AF43" i="27"/>
  <c r="BO42" i="27"/>
  <c r="BN42" i="27"/>
  <c r="BM42" i="27"/>
  <c r="AF42" i="27"/>
  <c r="BO41" i="27"/>
  <c r="BN41" i="27"/>
  <c r="BM41" i="27"/>
  <c r="AF41" i="27"/>
  <c r="X41" i="27"/>
  <c r="W41" i="27"/>
  <c r="V41" i="27"/>
  <c r="U41" i="27"/>
  <c r="T41" i="27"/>
  <c r="R41" i="27"/>
  <c r="G41" i="27"/>
  <c r="F41" i="27"/>
  <c r="E41" i="27"/>
  <c r="BO40" i="27"/>
  <c r="BN40" i="27"/>
  <c r="BM40" i="27"/>
  <c r="AF40" i="27"/>
  <c r="X40" i="27"/>
  <c r="W40" i="27"/>
  <c r="V40" i="27"/>
  <c r="U40" i="27"/>
  <c r="T40" i="27"/>
  <c r="R40" i="27"/>
  <c r="G40" i="27"/>
  <c r="F40" i="27"/>
  <c r="E40" i="27"/>
  <c r="BO39" i="27"/>
  <c r="BN39" i="27"/>
  <c r="BM39" i="27"/>
  <c r="AF39" i="27"/>
  <c r="X39" i="27"/>
  <c r="W39" i="27"/>
  <c r="V39" i="27"/>
  <c r="U39" i="27"/>
  <c r="T39" i="27"/>
  <c r="R39" i="27"/>
  <c r="G39" i="27"/>
  <c r="F39" i="27"/>
  <c r="E39" i="27"/>
  <c r="BO38" i="27"/>
  <c r="BN38" i="27"/>
  <c r="BM38" i="27"/>
  <c r="AF38" i="27"/>
  <c r="X38" i="27"/>
  <c r="W38" i="27"/>
  <c r="V38" i="27"/>
  <c r="U38" i="27"/>
  <c r="T38" i="27"/>
  <c r="R38" i="27"/>
  <c r="D38" i="27" s="1"/>
  <c r="BO37" i="27"/>
  <c r="BN37" i="27"/>
  <c r="BM37" i="27"/>
  <c r="AF37" i="27"/>
  <c r="BO36" i="27"/>
  <c r="BN36" i="27"/>
  <c r="BM36" i="27"/>
  <c r="AF36" i="27"/>
  <c r="BO35" i="27"/>
  <c r="BN35" i="27"/>
  <c r="BM35" i="27"/>
  <c r="AF35" i="27"/>
  <c r="BO34" i="27"/>
  <c r="BN34" i="27"/>
  <c r="BM34" i="27"/>
  <c r="AF34" i="27"/>
  <c r="BN76" i="27" s="1"/>
  <c r="BM33" i="27"/>
  <c r="BK91" i="27" s="1"/>
  <c r="BL33" i="27"/>
  <c r="AF33" i="27"/>
  <c r="D33" i="27"/>
  <c r="BM32" i="27"/>
  <c r="BJ78" i="27" s="1"/>
  <c r="BL32" i="27"/>
  <c r="AF32" i="27"/>
  <c r="AF31" i="27"/>
  <c r="AD31" i="27"/>
  <c r="AC31" i="27"/>
  <c r="D31" i="27"/>
  <c r="BH30" i="27"/>
  <c r="BG30" i="27"/>
  <c r="BF30" i="27"/>
  <c r="BE30" i="27"/>
  <c r="BD30" i="27"/>
  <c r="BC30" i="27"/>
  <c r="BB30" i="27"/>
  <c r="BA30" i="27"/>
  <c r="AZ30" i="27"/>
  <c r="AY30" i="27"/>
  <c r="AX30" i="27"/>
  <c r="AW30" i="27"/>
  <c r="AV30" i="27"/>
  <c r="AU30" i="27"/>
  <c r="AT30" i="27"/>
  <c r="AS30" i="27"/>
  <c r="AR30" i="27"/>
  <c r="AQ30" i="27"/>
  <c r="AP30" i="27"/>
  <c r="AO30" i="27"/>
  <c r="AF30" i="27"/>
  <c r="AB30" i="27"/>
  <c r="X30" i="27"/>
  <c r="W30" i="27"/>
  <c r="V30" i="27"/>
  <c r="U30" i="27"/>
  <c r="Y30" i="27" s="1"/>
  <c r="T30" i="27"/>
  <c r="P30" i="27"/>
  <c r="O30" i="27"/>
  <c r="N30" i="27"/>
  <c r="M30" i="27"/>
  <c r="L30" i="27"/>
  <c r="K30" i="27"/>
  <c r="R30" i="27" s="1"/>
  <c r="I30" i="27"/>
  <c r="H30" i="27"/>
  <c r="BH29" i="27"/>
  <c r="BG29" i="27"/>
  <c r="BF29" i="27"/>
  <c r="BE29" i="27"/>
  <c r="BD29" i="27"/>
  <c r="BC29" i="27"/>
  <c r="BB29" i="27"/>
  <c r="BA29" i="27"/>
  <c r="AZ29" i="27"/>
  <c r="AY29" i="27"/>
  <c r="AX29" i="27"/>
  <c r="AW29" i="27"/>
  <c r="AV29" i="27"/>
  <c r="AU29" i="27"/>
  <c r="AT29" i="27"/>
  <c r="AS29" i="27"/>
  <c r="AR29" i="27"/>
  <c r="AQ29" i="27"/>
  <c r="AP29" i="27"/>
  <c r="AO29" i="27"/>
  <c r="AF29" i="27"/>
  <c r="AB29" i="27"/>
  <c r="X29" i="27"/>
  <c r="W29" i="27"/>
  <c r="V29" i="27"/>
  <c r="U29" i="27"/>
  <c r="Y29" i="27" s="1"/>
  <c r="T29" i="27"/>
  <c r="P29" i="27"/>
  <c r="O29" i="27"/>
  <c r="N29" i="27"/>
  <c r="M29" i="27"/>
  <c r="L29" i="27"/>
  <c r="K29" i="27"/>
  <c r="R29" i="27" s="1"/>
  <c r="I29" i="27"/>
  <c r="H29" i="27"/>
  <c r="AF28" i="27"/>
  <c r="K28" i="27"/>
  <c r="R28" i="27" s="1"/>
  <c r="I28" i="27"/>
  <c r="AO28" i="27" s="1"/>
  <c r="H28" i="27"/>
  <c r="AF27" i="27"/>
  <c r="K27" i="27"/>
  <c r="R27" i="27" s="1"/>
  <c r="I27" i="27"/>
  <c r="AO27" i="27" s="1"/>
  <c r="H27" i="27"/>
  <c r="BH26" i="27"/>
  <c r="BG26" i="27"/>
  <c r="BF26" i="27"/>
  <c r="BE26" i="27"/>
  <c r="BD26" i="27"/>
  <c r="BC26" i="27"/>
  <c r="BB26" i="27"/>
  <c r="BA26" i="27"/>
  <c r="AZ26" i="27"/>
  <c r="AY26" i="27"/>
  <c r="AX26" i="27"/>
  <c r="AW26" i="27"/>
  <c r="AV26" i="27"/>
  <c r="AU26" i="27"/>
  <c r="AT26" i="27"/>
  <c r="AS26" i="27"/>
  <c r="AR26" i="27"/>
  <c r="AQ26" i="27"/>
  <c r="AP26" i="27"/>
  <c r="AO26" i="27"/>
  <c r="AF26" i="27"/>
  <c r="AB26" i="27"/>
  <c r="X26" i="27"/>
  <c r="W26" i="27"/>
  <c r="V26" i="27"/>
  <c r="U26" i="27"/>
  <c r="Y26" i="27" s="1"/>
  <c r="T26" i="27"/>
  <c r="P26" i="27"/>
  <c r="O26" i="27"/>
  <c r="N26" i="27"/>
  <c r="M26" i="27"/>
  <c r="L26" i="27"/>
  <c r="K26" i="27"/>
  <c r="R26" i="27" s="1"/>
  <c r="I26" i="27"/>
  <c r="H26" i="27"/>
  <c r="BH25" i="27"/>
  <c r="BG25" i="27"/>
  <c r="BF25" i="27"/>
  <c r="BE25" i="27"/>
  <c r="BD25" i="27"/>
  <c r="BC25" i="27"/>
  <c r="BB25" i="27"/>
  <c r="BA25" i="27"/>
  <c r="AZ25" i="27"/>
  <c r="AY25" i="27"/>
  <c r="AX25" i="27"/>
  <c r="AW25" i="27"/>
  <c r="AV25" i="27"/>
  <c r="AU25" i="27"/>
  <c r="AT25" i="27"/>
  <c r="AS25" i="27"/>
  <c r="AR25" i="27"/>
  <c r="AQ25" i="27"/>
  <c r="AP25" i="27"/>
  <c r="AO25" i="27"/>
  <c r="AF25" i="27"/>
  <c r="AB25" i="27"/>
  <c r="X25" i="27"/>
  <c r="W25" i="27"/>
  <c r="V25" i="27"/>
  <c r="U25" i="27"/>
  <c r="Y25" i="27" s="1"/>
  <c r="T25" i="27"/>
  <c r="P25" i="27"/>
  <c r="O25" i="27"/>
  <c r="N25" i="27"/>
  <c r="M25" i="27"/>
  <c r="L25" i="27"/>
  <c r="K25" i="27"/>
  <c r="R25" i="27" s="1"/>
  <c r="I25" i="27"/>
  <c r="H25" i="27"/>
  <c r="BH24" i="27"/>
  <c r="BD24" i="27"/>
  <c r="AZ24" i="27"/>
  <c r="AV24" i="27"/>
  <c r="AR24" i="27"/>
  <c r="AF24" i="27"/>
  <c r="P24" i="27"/>
  <c r="X24" i="27" s="1"/>
  <c r="O24" i="27"/>
  <c r="W24" i="27" s="1"/>
  <c r="N24" i="27"/>
  <c r="V24" i="27" s="1"/>
  <c r="M24" i="27"/>
  <c r="U24" i="27" s="1"/>
  <c r="L24" i="27"/>
  <c r="T24" i="27" s="1"/>
  <c r="K24" i="27"/>
  <c r="R24" i="27" s="1"/>
  <c r="I24" i="27"/>
  <c r="BG24" i="27" s="1"/>
  <c r="H24" i="27"/>
  <c r="AF23" i="27"/>
  <c r="AF22" i="27"/>
  <c r="AF21" i="27"/>
  <c r="AF20" i="27"/>
  <c r="D20" i="27"/>
  <c r="AF19" i="27"/>
  <c r="AF18" i="27"/>
  <c r="AF17" i="27"/>
  <c r="AF16" i="27"/>
  <c r="AF15" i="27"/>
  <c r="AF14" i="27"/>
  <c r="X14" i="27"/>
  <c r="W14" i="27"/>
  <c r="V14" i="27"/>
  <c r="U14" i="27"/>
  <c r="Y14" i="27" s="1"/>
  <c r="T14" i="27"/>
  <c r="AF13" i="27"/>
  <c r="AF12" i="27"/>
  <c r="AF11" i="27"/>
  <c r="AF10" i="27"/>
  <c r="AF9" i="27"/>
  <c r="AF8" i="27"/>
  <c r="J8" i="27"/>
  <c r="AF7" i="27"/>
  <c r="AF6" i="27"/>
  <c r="AF5" i="27"/>
  <c r="AF4" i="27"/>
  <c r="AF3" i="27"/>
  <c r="BJ84" i="27" l="1"/>
  <c r="BJ70" i="27"/>
  <c r="BJ76" i="27"/>
  <c r="T106" i="27"/>
  <c r="BO89" i="27" s="1"/>
  <c r="BJ47" i="27"/>
  <c r="BJ65" i="27"/>
  <c r="BJ88" i="27"/>
  <c r="BJ35" i="27"/>
  <c r="BJ90" i="27"/>
  <c r="S106" i="27"/>
  <c r="BO88" i="27" s="1"/>
  <c r="BJ34" i="27"/>
  <c r="R106" i="27"/>
  <c r="BO87" i="27" s="1"/>
  <c r="BJ68" i="27"/>
  <c r="BK83" i="27"/>
  <c r="BK82" i="27"/>
  <c r="BK44" i="27"/>
  <c r="BK66" i="27"/>
  <c r="BK71" i="27"/>
  <c r="BK85" i="27"/>
  <c r="BK38" i="27"/>
  <c r="BK43" i="27"/>
  <c r="BK87" i="27"/>
  <c r="BK34" i="27"/>
  <c r="BK40" i="27"/>
  <c r="BK67" i="27"/>
  <c r="BK69" i="27"/>
  <c r="BK75" i="27"/>
  <c r="BJ48" i="27"/>
  <c r="BJ80" i="27"/>
  <c r="AP27" i="27"/>
  <c r="Y24" i="27"/>
  <c r="R31" i="27"/>
  <c r="D32" i="27"/>
  <c r="AO24" i="27"/>
  <c r="AO31" i="27" s="1"/>
  <c r="AW24" i="27"/>
  <c r="BE24" i="27"/>
  <c r="AS24" i="27"/>
  <c r="BA24" i="27"/>
  <c r="AP24" i="27"/>
  <c r="BJ89" i="27"/>
  <c r="BJ85" i="27"/>
  <c r="BJ79" i="27"/>
  <c r="BJ73" i="27"/>
  <c r="BJ69" i="27"/>
  <c r="BJ66" i="27"/>
  <c r="BJ61" i="27"/>
  <c r="BJ57" i="27"/>
  <c r="BJ53" i="27"/>
  <c r="BJ44" i="27"/>
  <c r="BJ42" i="27"/>
  <c r="BJ38" i="27"/>
  <c r="BJ91" i="27"/>
  <c r="BJ87" i="27"/>
  <c r="BJ83" i="27"/>
  <c r="BJ82" i="27"/>
  <c r="BJ81" i="27"/>
  <c r="BJ77" i="27"/>
  <c r="BJ75" i="27"/>
  <c r="BJ71" i="27"/>
  <c r="BJ67" i="27"/>
  <c r="BI63" i="27"/>
  <c r="BJ59" i="27"/>
  <c r="BJ55" i="27"/>
  <c r="BJ51" i="27"/>
  <c r="BJ43" i="27"/>
  <c r="BJ40" i="27"/>
  <c r="BK88" i="27"/>
  <c r="BK80" i="27"/>
  <c r="BK74" i="27"/>
  <c r="BK70" i="27"/>
  <c r="BK65" i="27"/>
  <c r="BJ64" i="27"/>
  <c r="BK60" i="27"/>
  <c r="BK56" i="27"/>
  <c r="BK52" i="27"/>
  <c r="BK50" i="27"/>
  <c r="BK48" i="27"/>
  <c r="BK46" i="27"/>
  <c r="BK39" i="27"/>
  <c r="BK90" i="27"/>
  <c r="BK86" i="27"/>
  <c r="BK84" i="27"/>
  <c r="BK78" i="27"/>
  <c r="BK76" i="27"/>
  <c r="BK72" i="27"/>
  <c r="BK68" i="27"/>
  <c r="BJ62" i="27"/>
  <c r="BK58" i="27"/>
  <c r="BK54" i="27"/>
  <c r="BK49" i="27"/>
  <c r="BK47" i="27"/>
  <c r="BK45" i="27"/>
  <c r="BK41" i="27"/>
  <c r="BK37" i="27"/>
  <c r="BK36" i="27"/>
  <c r="BK35" i="27"/>
  <c r="BJ37" i="27"/>
  <c r="BJ39" i="27"/>
  <c r="BJ41" i="27"/>
  <c r="BJ45" i="27"/>
  <c r="BJ49" i="27"/>
  <c r="BJ50" i="27"/>
  <c r="BK55" i="27"/>
  <c r="BJ56" i="27"/>
  <c r="BK57" i="27"/>
  <c r="BJ58" i="27"/>
  <c r="BK59" i="27"/>
  <c r="BJ60" i="27"/>
  <c r="BK61" i="27"/>
  <c r="BI62" i="27"/>
  <c r="BJ63" i="27"/>
  <c r="BI64" i="27"/>
  <c r="BK77" i="27"/>
  <c r="BK79" i="27"/>
  <c r="BK81" i="27"/>
  <c r="BK89" i="27"/>
  <c r="AT24" i="27"/>
  <c r="AX24" i="27"/>
  <c r="BB24" i="27"/>
  <c r="BF24" i="27"/>
  <c r="AB24" i="27"/>
  <c r="AQ24" i="27"/>
  <c r="AU24" i="27"/>
  <c r="AY24" i="27"/>
  <c r="BC24" i="27"/>
  <c r="AP28" i="27"/>
  <c r="BJ36" i="27"/>
  <c r="BK42" i="27"/>
  <c r="BJ46" i="27"/>
  <c r="BK51" i="27"/>
  <c r="BJ52" i="27"/>
  <c r="BK53" i="27"/>
  <c r="BJ54" i="27"/>
  <c r="BJ72" i="27"/>
  <c r="BK73" i="27"/>
  <c r="BJ74" i="27"/>
  <c r="BJ86" i="27"/>
  <c r="BM64" i="27"/>
  <c r="BN70" i="27"/>
  <c r="BN49" i="27"/>
  <c r="BN54" i="27"/>
  <c r="D143" i="24"/>
  <c r="D141" i="24"/>
  <c r="D142" i="24"/>
  <c r="D140" i="27" l="1"/>
  <c r="C136" i="27"/>
  <c r="G177" i="27"/>
  <c r="AP31" i="27"/>
  <c r="M133" i="24" l="1"/>
  <c r="M134" i="24"/>
  <c r="M132" i="24"/>
  <c r="C137" i="24"/>
  <c r="X25" i="24" l="1"/>
  <c r="X26" i="24"/>
  <c r="X29" i="24"/>
  <c r="X30" i="24"/>
  <c r="X14" i="24"/>
  <c r="I45" i="37" l="1"/>
  <c r="D45" i="37" s="1"/>
  <c r="E45" i="37"/>
  <c r="I45" i="27"/>
  <c r="D45" i="27" s="1"/>
  <c r="I45" i="24"/>
  <c r="D45" i="24" s="1"/>
  <c r="E45" i="27"/>
  <c r="E45" i="24"/>
  <c r="B65" i="24"/>
  <c r="C65" i="24" l="1"/>
  <c r="D65" i="24"/>
  <c r="C106" i="24" l="1"/>
  <c r="C156" i="24"/>
  <c r="D156" i="24"/>
  <c r="E156" i="24"/>
  <c r="E106" i="24"/>
  <c r="D118" i="24"/>
  <c r="D106" i="24"/>
  <c r="D168" i="24" l="1"/>
  <c r="K147" i="24"/>
  <c r="L147" i="24"/>
  <c r="K148" i="24"/>
  <c r="L148" i="24"/>
  <c r="K149" i="24"/>
  <c r="L149" i="24"/>
  <c r="R16" i="38" l="1"/>
  <c r="X16" i="38"/>
  <c r="T16" i="38"/>
  <c r="W16" i="38"/>
  <c r="U16" i="38"/>
  <c r="Y16" i="38" s="1"/>
  <c r="V16" i="38"/>
  <c r="W14" i="37"/>
  <c r="X14" i="37"/>
  <c r="V14" i="37"/>
  <c r="U14" i="37"/>
  <c r="Y14" i="37" s="1"/>
  <c r="T14" i="37"/>
  <c r="R14" i="37" s="1"/>
  <c r="K73" i="37" s="1"/>
  <c r="C142" i="39"/>
  <c r="U16" i="39"/>
  <c r="Y16" i="39" s="1"/>
  <c r="W15" i="39"/>
  <c r="U12" i="39"/>
  <c r="X12" i="39"/>
  <c r="T12" i="39"/>
  <c r="C143" i="39"/>
  <c r="W16" i="39"/>
  <c r="U15" i="39"/>
  <c r="Y15" i="39" s="1"/>
  <c r="W12" i="39"/>
  <c r="C140" i="39"/>
  <c r="V12" i="39"/>
  <c r="X16" i="39"/>
  <c r="T16" i="39"/>
  <c r="R16" i="39" s="1"/>
  <c r="V15" i="39"/>
  <c r="C141" i="39"/>
  <c r="V16" i="39"/>
  <c r="X15" i="39"/>
  <c r="T15" i="39"/>
  <c r="R15" i="39" s="1"/>
  <c r="R13" i="39"/>
  <c r="R14" i="39"/>
  <c r="K73" i="39" s="1"/>
  <c r="L73" i="39" s="1"/>
  <c r="W15" i="38"/>
  <c r="W12" i="38"/>
  <c r="R13" i="38"/>
  <c r="U15" i="38"/>
  <c r="Y15" i="38" s="1"/>
  <c r="R14" i="38"/>
  <c r="C143" i="38"/>
  <c r="C141" i="38"/>
  <c r="V12" i="38"/>
  <c r="U12" i="38"/>
  <c r="C140" i="38"/>
  <c r="K146" i="38" s="1"/>
  <c r="C142" i="38"/>
  <c r="X15" i="38"/>
  <c r="T15" i="38"/>
  <c r="R15" i="38" s="1"/>
  <c r="X12" i="38"/>
  <c r="T12" i="38"/>
  <c r="V15" i="38"/>
  <c r="W14" i="34"/>
  <c r="U14" i="34"/>
  <c r="Y14" i="34" s="1"/>
  <c r="T14" i="34"/>
  <c r="R14" i="34" s="1"/>
  <c r="V14" i="34"/>
  <c r="X14" i="34"/>
  <c r="W16" i="37"/>
  <c r="T16" i="37"/>
  <c r="R16" i="37" s="1"/>
  <c r="K72" i="37" s="1"/>
  <c r="V16" i="37"/>
  <c r="U16" i="37"/>
  <c r="Y16" i="37" s="1"/>
  <c r="X16" i="37"/>
  <c r="C142" i="37"/>
  <c r="C140" i="37"/>
  <c r="K146" i="37" s="1"/>
  <c r="V15" i="37"/>
  <c r="U15" i="37"/>
  <c r="Y15" i="37" s="1"/>
  <c r="U13" i="37"/>
  <c r="Y13" i="37" s="1"/>
  <c r="W12" i="37"/>
  <c r="X13" i="37"/>
  <c r="T13" i="37"/>
  <c r="R13" i="37" s="1"/>
  <c r="V12" i="37"/>
  <c r="X12" i="37"/>
  <c r="C143" i="37"/>
  <c r="C141" i="37"/>
  <c r="X15" i="37"/>
  <c r="T15" i="37"/>
  <c r="R15" i="37" s="1"/>
  <c r="W15" i="37"/>
  <c r="W13" i="37"/>
  <c r="U12" i="37"/>
  <c r="V13" i="37"/>
  <c r="T12" i="37"/>
  <c r="C141" i="36"/>
  <c r="V16" i="36"/>
  <c r="V15" i="36"/>
  <c r="T14" i="36"/>
  <c r="R14" i="36" s="1"/>
  <c r="X12" i="36"/>
  <c r="T16" i="35"/>
  <c r="R16" i="35" s="1"/>
  <c r="X14" i="35"/>
  <c r="V13" i="35"/>
  <c r="T12" i="35"/>
  <c r="X16" i="34"/>
  <c r="W15" i="34"/>
  <c r="V12" i="34"/>
  <c r="C142" i="34"/>
  <c r="C140" i="36"/>
  <c r="K146" i="36" s="1"/>
  <c r="U16" i="36"/>
  <c r="Y16" i="36" s="1"/>
  <c r="U15" i="36"/>
  <c r="Y15" i="36" s="1"/>
  <c r="W12" i="36"/>
  <c r="W14" i="35"/>
  <c r="U13" i="35"/>
  <c r="Y13" i="35" s="1"/>
  <c r="C143" i="34"/>
  <c r="W16" i="34"/>
  <c r="V15" i="34"/>
  <c r="U12" i="34"/>
  <c r="C143" i="33"/>
  <c r="T16" i="36"/>
  <c r="R16" i="36" s="1"/>
  <c r="T15" i="36"/>
  <c r="R15" i="36" s="1"/>
  <c r="X13" i="36"/>
  <c r="V12" i="36"/>
  <c r="C143" i="35"/>
  <c r="X15" i="35"/>
  <c r="V14" i="35"/>
  <c r="T13" i="35"/>
  <c r="R13" i="35" s="1"/>
  <c r="V16" i="34"/>
  <c r="U15" i="34"/>
  <c r="Y15" i="34" s="1"/>
  <c r="T12" i="34"/>
  <c r="X15" i="33"/>
  <c r="U14" i="35"/>
  <c r="Y14" i="35" s="1"/>
  <c r="C143" i="36"/>
  <c r="X14" i="36"/>
  <c r="V13" i="36"/>
  <c r="T12" i="36"/>
  <c r="C142" i="35"/>
  <c r="X16" i="35"/>
  <c r="V15" i="35"/>
  <c r="T14" i="35"/>
  <c r="R14" i="35" s="1"/>
  <c r="K73" i="35" s="1"/>
  <c r="X12" i="35"/>
  <c r="T16" i="34"/>
  <c r="R16" i="34" s="1"/>
  <c r="X16" i="33"/>
  <c r="V15" i="33"/>
  <c r="X12" i="33"/>
  <c r="U12" i="36"/>
  <c r="U16" i="34"/>
  <c r="Y16" i="34" s="1"/>
  <c r="W14" i="36"/>
  <c r="U13" i="36"/>
  <c r="Y13" i="36" s="1"/>
  <c r="W16" i="35"/>
  <c r="U15" i="35"/>
  <c r="Y15" i="35" s="1"/>
  <c r="W12" i="35"/>
  <c r="C141" i="34"/>
  <c r="C141" i="33"/>
  <c r="W16" i="33"/>
  <c r="U15" i="33"/>
  <c r="Y15" i="33" s="1"/>
  <c r="W12" i="33"/>
  <c r="T15" i="34"/>
  <c r="R15" i="34" s="1"/>
  <c r="C142" i="36"/>
  <c r="X16" i="36"/>
  <c r="X15" i="36"/>
  <c r="V14" i="36"/>
  <c r="T13" i="36"/>
  <c r="R13" i="36" s="1"/>
  <c r="C141" i="35"/>
  <c r="V16" i="35"/>
  <c r="T15" i="35"/>
  <c r="R15" i="35" s="1"/>
  <c r="X13" i="35"/>
  <c r="V12" i="35"/>
  <c r="C140" i="34"/>
  <c r="K146" i="34" s="1"/>
  <c r="X12" i="34"/>
  <c r="C140" i="33"/>
  <c r="K146" i="33" s="1"/>
  <c r="V16" i="33"/>
  <c r="T15" i="33"/>
  <c r="R15" i="33" s="1"/>
  <c r="V12" i="33"/>
  <c r="W15" i="35"/>
  <c r="C142" i="33"/>
  <c r="W15" i="33"/>
  <c r="W16" i="36"/>
  <c r="W15" i="36"/>
  <c r="U14" i="36"/>
  <c r="Y14" i="36" s="1"/>
  <c r="C140" i="35"/>
  <c r="K146" i="35" s="1"/>
  <c r="U16" i="35"/>
  <c r="Y16" i="35" s="1"/>
  <c r="W13" i="35"/>
  <c r="U12" i="35"/>
  <c r="X15" i="34"/>
  <c r="W12" i="34"/>
  <c r="U16" i="33"/>
  <c r="Y16" i="33" s="1"/>
  <c r="U12" i="33"/>
  <c r="T16" i="33"/>
  <c r="R16" i="33" s="1"/>
  <c r="K72" i="33" s="1"/>
  <c r="T12" i="33"/>
  <c r="W13" i="36"/>
  <c r="R14" i="33"/>
  <c r="R13" i="33"/>
  <c r="R13" i="34"/>
  <c r="X12" i="30"/>
  <c r="C143" i="30"/>
  <c r="C141" i="30"/>
  <c r="U15" i="30"/>
  <c r="Y15" i="30" s="1"/>
  <c r="V13" i="30"/>
  <c r="T12" i="30"/>
  <c r="X15" i="30"/>
  <c r="T15" i="30"/>
  <c r="R15" i="30" s="1"/>
  <c r="U13" i="30"/>
  <c r="Y13" i="30" s="1"/>
  <c r="W12" i="30"/>
  <c r="C140" i="30"/>
  <c r="K146" i="30" s="1"/>
  <c r="W15" i="30"/>
  <c r="X13" i="30"/>
  <c r="T13" i="30"/>
  <c r="R13" i="30" s="1"/>
  <c r="V12" i="30"/>
  <c r="W13" i="30"/>
  <c r="U12" i="30"/>
  <c r="C142" i="30"/>
  <c r="V15" i="30"/>
  <c r="R16" i="30"/>
  <c r="R14" i="30"/>
  <c r="C143" i="27"/>
  <c r="C141" i="27"/>
  <c r="V16" i="27"/>
  <c r="X15" i="27"/>
  <c r="T15" i="27"/>
  <c r="R15" i="27" s="1"/>
  <c r="X13" i="27"/>
  <c r="T13" i="27"/>
  <c r="R13" i="27" s="1"/>
  <c r="V12" i="27"/>
  <c r="V13" i="27"/>
  <c r="T12" i="27"/>
  <c r="C140" i="27"/>
  <c r="K146" i="27" s="1"/>
  <c r="U16" i="27"/>
  <c r="Y16" i="27" s="1"/>
  <c r="W15" i="27"/>
  <c r="W13" i="27"/>
  <c r="U12" i="27"/>
  <c r="W16" i="27"/>
  <c r="U15" i="27"/>
  <c r="Y15" i="27" s="1"/>
  <c r="W12" i="27"/>
  <c r="C142" i="27"/>
  <c r="X16" i="27"/>
  <c r="T16" i="27"/>
  <c r="R16" i="27" s="1"/>
  <c r="K73" i="27" s="1"/>
  <c r="V15" i="27"/>
  <c r="X12" i="27"/>
  <c r="U13" i="27"/>
  <c r="Y13" i="27" s="1"/>
  <c r="R14" i="27"/>
  <c r="C141" i="24"/>
  <c r="C142" i="24"/>
  <c r="C143" i="24"/>
  <c r="C140" i="24"/>
  <c r="X13" i="24"/>
  <c r="T12" i="24"/>
  <c r="X15" i="24"/>
  <c r="X12" i="24"/>
  <c r="X16" i="24"/>
  <c r="W12" i="24"/>
  <c r="V12" i="24"/>
  <c r="M123" i="24"/>
  <c r="M124" i="24"/>
  <c r="M125" i="24"/>
  <c r="M126" i="24"/>
  <c r="M127" i="24"/>
  <c r="M128" i="24"/>
  <c r="M129" i="24"/>
  <c r="M130" i="24"/>
  <c r="M131" i="24"/>
  <c r="M122" i="24"/>
  <c r="K72" i="38" l="1"/>
  <c r="K73" i="36"/>
  <c r="K146" i="39"/>
  <c r="Y12" i="39"/>
  <c r="K73" i="34"/>
  <c r="K71" i="39"/>
  <c r="K70" i="39"/>
  <c r="K72" i="39"/>
  <c r="R12" i="39"/>
  <c r="R12" i="38"/>
  <c r="Y12" i="38"/>
  <c r="K70" i="38"/>
  <c r="K71" i="38"/>
  <c r="K71" i="37"/>
  <c r="K70" i="37"/>
  <c r="X20" i="37"/>
  <c r="R12" i="37"/>
  <c r="R20" i="37" s="1"/>
  <c r="R32" i="37" s="1"/>
  <c r="T20" i="37"/>
  <c r="W20" i="37"/>
  <c r="U20" i="37"/>
  <c r="Y12" i="37"/>
  <c r="Y20" i="37" s="1"/>
  <c r="V20" i="37"/>
  <c r="K71" i="33"/>
  <c r="K70" i="33"/>
  <c r="Y12" i="33"/>
  <c r="Y12" i="34"/>
  <c r="K70" i="36"/>
  <c r="K69" i="36"/>
  <c r="Y12" i="36"/>
  <c r="R12" i="34"/>
  <c r="Y12" i="35"/>
  <c r="R12" i="36"/>
  <c r="K71" i="36"/>
  <c r="K72" i="36"/>
  <c r="R12" i="33"/>
  <c r="K72" i="35"/>
  <c r="K71" i="35"/>
  <c r="K70" i="34"/>
  <c r="K71" i="34"/>
  <c r="K72" i="34"/>
  <c r="K70" i="35"/>
  <c r="K69" i="35"/>
  <c r="R12" i="35"/>
  <c r="K72" i="30"/>
  <c r="K71" i="30"/>
  <c r="X20" i="27"/>
  <c r="W20" i="27"/>
  <c r="Y12" i="30"/>
  <c r="R12" i="30"/>
  <c r="K69" i="30" s="1"/>
  <c r="K72" i="27"/>
  <c r="K71" i="27"/>
  <c r="V20" i="27"/>
  <c r="U20" i="27"/>
  <c r="Y12" i="27"/>
  <c r="Y20" i="27" s="1"/>
  <c r="K70" i="27"/>
  <c r="R12" i="27"/>
  <c r="K69" i="27" s="1"/>
  <c r="T20" i="27"/>
  <c r="K68" i="37" l="1"/>
  <c r="K69" i="37"/>
  <c r="K69" i="39"/>
  <c r="K68" i="39"/>
  <c r="K68" i="38"/>
  <c r="K69" i="38"/>
  <c r="K68" i="33"/>
  <c r="K69" i="33"/>
  <c r="K69" i="34"/>
  <c r="K68" i="34"/>
  <c r="K68" i="35"/>
  <c r="K68" i="36"/>
  <c r="K70" i="30"/>
  <c r="K68" i="30"/>
  <c r="K68" i="27"/>
  <c r="R20" i="27"/>
  <c r="R32" i="27" s="1"/>
  <c r="K81" i="24"/>
  <c r="K80" i="24"/>
  <c r="K79" i="24"/>
  <c r="K78" i="24"/>
  <c r="K77" i="24"/>
  <c r="K76" i="24"/>
  <c r="K75" i="24"/>
  <c r="K74" i="24"/>
  <c r="E84" i="50" l="1"/>
  <c r="S84" i="50" s="1"/>
  <c r="S93" i="50" s="1"/>
  <c r="BO86" i="50" s="1"/>
  <c r="D84" i="50"/>
  <c r="R84" i="50" s="1"/>
  <c r="R93" i="50" s="1"/>
  <c r="P75" i="50"/>
  <c r="P153" i="50"/>
  <c r="P149" i="50"/>
  <c r="P71" i="50"/>
  <c r="P152" i="50"/>
  <c r="P74" i="50"/>
  <c r="P148" i="50"/>
  <c r="P70" i="50"/>
  <c r="E161" i="50"/>
  <c r="E160" i="50"/>
  <c r="E159" i="50"/>
  <c r="E168" i="50" s="1"/>
  <c r="P73" i="50"/>
  <c r="S73" i="50" s="1"/>
  <c r="P151" i="50"/>
  <c r="P147" i="50"/>
  <c r="P69" i="50"/>
  <c r="T18" i="50"/>
  <c r="T20" i="50" s="1"/>
  <c r="T32" i="50" s="1"/>
  <c r="R18" i="50"/>
  <c r="R20" i="50" s="1"/>
  <c r="R32" i="50" s="1"/>
  <c r="Y18" i="50"/>
  <c r="Y20" i="50" s="1"/>
  <c r="Y32" i="50" s="1"/>
  <c r="G6" i="50" s="1"/>
  <c r="X18" i="50"/>
  <c r="X20" i="50" s="1"/>
  <c r="X32" i="50" s="1"/>
  <c r="W18" i="50"/>
  <c r="W20" i="50" s="1"/>
  <c r="W32" i="50" s="1"/>
  <c r="V18" i="50"/>
  <c r="V20" i="50" s="1"/>
  <c r="V32" i="50" s="1"/>
  <c r="P76" i="50"/>
  <c r="P154" i="50"/>
  <c r="P72" i="50"/>
  <c r="P150" i="50"/>
  <c r="P68" i="50"/>
  <c r="P146" i="50"/>
  <c r="L146" i="50"/>
  <c r="L72" i="50"/>
  <c r="R73" i="50" s="1"/>
  <c r="E84" i="49"/>
  <c r="S84" i="49" s="1"/>
  <c r="S93" i="49" s="1"/>
  <c r="BO86" i="49" s="1"/>
  <c r="D84" i="49"/>
  <c r="R84" i="49" s="1"/>
  <c r="R93" i="49" s="1"/>
  <c r="P153" i="49"/>
  <c r="P75" i="49"/>
  <c r="P149" i="49"/>
  <c r="P71" i="49"/>
  <c r="P152" i="49"/>
  <c r="P74" i="49"/>
  <c r="P148" i="49"/>
  <c r="P70" i="49"/>
  <c r="S70" i="49" s="1"/>
  <c r="P145" i="49"/>
  <c r="P67" i="49"/>
  <c r="E159" i="49"/>
  <c r="E161" i="49"/>
  <c r="E160" i="49"/>
  <c r="P73" i="49"/>
  <c r="P151" i="49"/>
  <c r="P69" i="49"/>
  <c r="P147" i="49"/>
  <c r="Y18" i="49"/>
  <c r="Y20" i="49" s="1"/>
  <c r="Y32" i="49" s="1"/>
  <c r="G6" i="49" s="1"/>
  <c r="X18" i="49"/>
  <c r="X20" i="49" s="1"/>
  <c r="X32" i="49" s="1"/>
  <c r="W18" i="49"/>
  <c r="W20" i="49" s="1"/>
  <c r="W32" i="49" s="1"/>
  <c r="V18" i="49"/>
  <c r="V20" i="49" s="1"/>
  <c r="V32" i="49" s="1"/>
  <c r="U18" i="49"/>
  <c r="U20" i="49" s="1"/>
  <c r="U32" i="49" s="1"/>
  <c r="T18" i="49"/>
  <c r="T20" i="49" s="1"/>
  <c r="T32" i="49" s="1"/>
  <c r="R18" i="49"/>
  <c r="R20" i="49" s="1"/>
  <c r="R32" i="49" s="1"/>
  <c r="P154" i="49"/>
  <c r="P76" i="49"/>
  <c r="P150" i="49"/>
  <c r="P72" i="49"/>
  <c r="P146" i="49"/>
  <c r="P68" i="49"/>
  <c r="L146" i="49"/>
  <c r="L72" i="49"/>
  <c r="E84" i="48"/>
  <c r="S84" i="48" s="1"/>
  <c r="S93" i="48" s="1"/>
  <c r="BO86" i="48" s="1"/>
  <c r="D84" i="48"/>
  <c r="R84" i="48" s="1"/>
  <c r="R93" i="48" s="1"/>
  <c r="P153" i="48"/>
  <c r="P75" i="48"/>
  <c r="S75" i="48" s="1"/>
  <c r="P71" i="48"/>
  <c r="P149" i="48"/>
  <c r="P74" i="48"/>
  <c r="P152" i="48"/>
  <c r="P70" i="48"/>
  <c r="P148" i="48"/>
  <c r="P67" i="48"/>
  <c r="P145" i="48"/>
  <c r="E159" i="48"/>
  <c r="E161" i="48"/>
  <c r="E160" i="48"/>
  <c r="AP16" i="26"/>
  <c r="AS16" i="26"/>
  <c r="AY16" i="26"/>
  <c r="AV16" i="26"/>
  <c r="P151" i="48"/>
  <c r="P73" i="48"/>
  <c r="P69" i="48"/>
  <c r="P147" i="48"/>
  <c r="Y18" i="48"/>
  <c r="Y20" i="48" s="1"/>
  <c r="Y32" i="48" s="1"/>
  <c r="G6" i="48" s="1"/>
  <c r="X18" i="48"/>
  <c r="X20" i="48" s="1"/>
  <c r="X32" i="48" s="1"/>
  <c r="W18" i="48"/>
  <c r="W20" i="48" s="1"/>
  <c r="W32" i="48" s="1"/>
  <c r="V18" i="48"/>
  <c r="V20" i="48" s="1"/>
  <c r="V32" i="48" s="1"/>
  <c r="U18" i="48"/>
  <c r="U20" i="48" s="1"/>
  <c r="U32" i="48" s="1"/>
  <c r="T18" i="48"/>
  <c r="T20" i="48" s="1"/>
  <c r="T32" i="48" s="1"/>
  <c r="R18" i="48"/>
  <c r="R20" i="48" s="1"/>
  <c r="R32" i="48" s="1"/>
  <c r="P154" i="48"/>
  <c r="P76" i="48"/>
  <c r="P150" i="48"/>
  <c r="P72" i="48"/>
  <c r="P146" i="48"/>
  <c r="P68" i="48"/>
  <c r="L146" i="48"/>
  <c r="L72" i="48"/>
  <c r="D85" i="47"/>
  <c r="R85" i="47" s="1"/>
  <c r="E85" i="47"/>
  <c r="S85" i="47" s="1"/>
  <c r="E84" i="47"/>
  <c r="S84" i="47" s="1"/>
  <c r="D84" i="47"/>
  <c r="R84" i="47" s="1"/>
  <c r="P153" i="47"/>
  <c r="P75" i="47"/>
  <c r="P71" i="47"/>
  <c r="P149" i="47"/>
  <c r="P74" i="47"/>
  <c r="P152" i="47"/>
  <c r="P70" i="47"/>
  <c r="P148" i="47"/>
  <c r="P145" i="47"/>
  <c r="P67" i="47"/>
  <c r="E161" i="47"/>
  <c r="E160" i="47"/>
  <c r="E159" i="47"/>
  <c r="P151" i="47"/>
  <c r="P73" i="47"/>
  <c r="P69" i="47"/>
  <c r="P147" i="47"/>
  <c r="R18" i="47"/>
  <c r="R20" i="47" s="1"/>
  <c r="R32" i="47" s="1"/>
  <c r="T18" i="47"/>
  <c r="T20" i="47" s="1"/>
  <c r="Y18" i="47"/>
  <c r="Y20" i="47" s="1"/>
  <c r="X18" i="47"/>
  <c r="X20" i="47" s="1"/>
  <c r="W18" i="47"/>
  <c r="W20" i="47" s="1"/>
  <c r="V18" i="47"/>
  <c r="V20" i="47" s="1"/>
  <c r="P154" i="47"/>
  <c r="P76" i="47"/>
  <c r="P72" i="47"/>
  <c r="S72" i="47" s="1"/>
  <c r="P150" i="47"/>
  <c r="P146" i="47"/>
  <c r="P68" i="47"/>
  <c r="L72" i="47"/>
  <c r="L146" i="47"/>
  <c r="AY5" i="26"/>
  <c r="AV5" i="26"/>
  <c r="AS5" i="26"/>
  <c r="AP5" i="26"/>
  <c r="X18" i="30"/>
  <c r="X20" i="30" s="1"/>
  <c r="X32" i="30" s="1"/>
  <c r="R18" i="30"/>
  <c r="R20" i="30" s="1"/>
  <c r="R32" i="30" s="1"/>
  <c r="Y18" i="30"/>
  <c r="Y20" i="30" s="1"/>
  <c r="Y32" i="30" s="1"/>
  <c r="G6" i="30" s="1"/>
  <c r="W18" i="30"/>
  <c r="W20" i="30" s="1"/>
  <c r="W32" i="30" s="1"/>
  <c r="V18" i="30"/>
  <c r="V20" i="30" s="1"/>
  <c r="V32" i="30" s="1"/>
  <c r="T18" i="30"/>
  <c r="T20" i="30" s="1"/>
  <c r="T32" i="30" s="1"/>
  <c r="E160" i="30"/>
  <c r="E161" i="37"/>
  <c r="E159" i="39"/>
  <c r="E160" i="33"/>
  <c r="E161" i="34"/>
  <c r="E159" i="36"/>
  <c r="E112" i="37"/>
  <c r="E109" i="38"/>
  <c r="E110" i="39"/>
  <c r="E109" i="27"/>
  <c r="E111" i="33"/>
  <c r="E112" i="34"/>
  <c r="E160" i="38"/>
  <c r="E160" i="27"/>
  <c r="E159" i="34"/>
  <c r="E160" i="35"/>
  <c r="E161" i="36"/>
  <c r="E114" i="37"/>
  <c r="E111" i="27"/>
  <c r="E109" i="33"/>
  <c r="E110" i="34"/>
  <c r="E159" i="38"/>
  <c r="E160" i="39"/>
  <c r="E159" i="27"/>
  <c r="E161" i="33"/>
  <c r="E159" i="35"/>
  <c r="E160" i="36"/>
  <c r="E113" i="37"/>
  <c r="E110" i="38"/>
  <c r="E111" i="39"/>
  <c r="E110" i="27"/>
  <c r="E113" i="34"/>
  <c r="E159" i="30"/>
  <c r="E160" i="37"/>
  <c r="E161" i="38"/>
  <c r="E161" i="27"/>
  <c r="E159" i="33"/>
  <c r="E160" i="34"/>
  <c r="E161" i="35"/>
  <c r="E111" i="37"/>
  <c r="E109" i="39"/>
  <c r="E110" i="33"/>
  <c r="E111" i="34"/>
  <c r="E161" i="39"/>
  <c r="E110" i="37"/>
  <c r="E111" i="38"/>
  <c r="E114" i="34"/>
  <c r="E109" i="37"/>
  <c r="E109" i="34"/>
  <c r="E159" i="37"/>
  <c r="E161" i="30"/>
  <c r="R18" i="36"/>
  <c r="R20" i="36" s="1"/>
  <c r="R32" i="36" s="1"/>
  <c r="W18" i="38"/>
  <c r="R18" i="38"/>
  <c r="V17" i="38"/>
  <c r="R18" i="35"/>
  <c r="R20" i="35" s="1"/>
  <c r="R32" i="35" s="1"/>
  <c r="V18" i="38"/>
  <c r="Y17" i="38"/>
  <c r="U17" i="38"/>
  <c r="X18" i="39"/>
  <c r="T18" i="39"/>
  <c r="W17" i="39"/>
  <c r="R17" i="39"/>
  <c r="X18" i="34"/>
  <c r="T18" i="34"/>
  <c r="V17" i="34"/>
  <c r="Y18" i="35"/>
  <c r="Y20" i="35" s="1"/>
  <c r="Y32" i="35" s="1"/>
  <c r="G6" i="35" s="1"/>
  <c r="V18" i="36"/>
  <c r="V20" i="36" s="1"/>
  <c r="V32" i="36" s="1"/>
  <c r="Y18" i="33"/>
  <c r="V17" i="33"/>
  <c r="T18" i="38"/>
  <c r="V18" i="39"/>
  <c r="U17" i="39"/>
  <c r="X17" i="34"/>
  <c r="W18" i="35"/>
  <c r="W20" i="35" s="1"/>
  <c r="W32" i="35" s="1"/>
  <c r="X18" i="36"/>
  <c r="X20" i="36" s="1"/>
  <c r="X32" i="36" s="1"/>
  <c r="X17" i="33"/>
  <c r="Y18" i="39"/>
  <c r="X17" i="39"/>
  <c r="V18" i="35"/>
  <c r="V20" i="35" s="1"/>
  <c r="V32" i="35" s="1"/>
  <c r="W18" i="36"/>
  <c r="W20" i="36" s="1"/>
  <c r="W32" i="36" s="1"/>
  <c r="T18" i="33"/>
  <c r="R18" i="34"/>
  <c r="Y18" i="38"/>
  <c r="U18" i="38"/>
  <c r="X17" i="38"/>
  <c r="T17" i="38"/>
  <c r="W18" i="39"/>
  <c r="R18" i="39"/>
  <c r="V17" i="39"/>
  <c r="W18" i="34"/>
  <c r="Y17" i="34"/>
  <c r="U17" i="34"/>
  <c r="X18" i="35"/>
  <c r="X20" i="35" s="1"/>
  <c r="X32" i="35" s="1"/>
  <c r="T18" i="35"/>
  <c r="T20" i="35" s="1"/>
  <c r="T32" i="35" s="1"/>
  <c r="Y18" i="36"/>
  <c r="Y20" i="36" s="1"/>
  <c r="Y32" i="36" s="1"/>
  <c r="G6" i="36" s="1"/>
  <c r="V18" i="33"/>
  <c r="Y17" i="33"/>
  <c r="U17" i="33"/>
  <c r="R18" i="33"/>
  <c r="X18" i="38"/>
  <c r="W17" i="38"/>
  <c r="R17" i="38"/>
  <c r="Y17" i="39"/>
  <c r="V18" i="34"/>
  <c r="T17" i="34"/>
  <c r="T18" i="36"/>
  <c r="T20" i="36" s="1"/>
  <c r="T32" i="36" s="1"/>
  <c r="R17" i="33"/>
  <c r="W18" i="33"/>
  <c r="T17" i="33"/>
  <c r="U18" i="39"/>
  <c r="T17" i="39"/>
  <c r="Y18" i="34"/>
  <c r="W17" i="34"/>
  <c r="R17" i="34"/>
  <c r="X18" i="33"/>
  <c r="W17" i="33"/>
  <c r="L73" i="37"/>
  <c r="L72" i="38"/>
  <c r="E86" i="39"/>
  <c r="S86" i="39" s="1"/>
  <c r="E84" i="39"/>
  <c r="S84" i="39" s="1"/>
  <c r="D86" i="39"/>
  <c r="R86" i="39" s="1"/>
  <c r="D84" i="39"/>
  <c r="R84" i="39" s="1"/>
  <c r="P154" i="39"/>
  <c r="P76" i="39"/>
  <c r="P153" i="39"/>
  <c r="P75" i="39"/>
  <c r="P74" i="39"/>
  <c r="P152" i="39"/>
  <c r="P73" i="39"/>
  <c r="P151" i="39"/>
  <c r="P150" i="39"/>
  <c r="P72" i="39"/>
  <c r="P149" i="39"/>
  <c r="P71" i="39"/>
  <c r="P148" i="39"/>
  <c r="P70" i="39"/>
  <c r="P147" i="39"/>
  <c r="P69" i="39"/>
  <c r="P68" i="39"/>
  <c r="P146" i="39"/>
  <c r="L71" i="39"/>
  <c r="L73" i="34"/>
  <c r="L72" i="39"/>
  <c r="L146" i="39"/>
  <c r="P67" i="39"/>
  <c r="P145" i="39"/>
  <c r="P145" i="38"/>
  <c r="P67" i="38"/>
  <c r="E86" i="38"/>
  <c r="S86" i="38" s="1"/>
  <c r="E84" i="38"/>
  <c r="S84" i="38" s="1"/>
  <c r="D86" i="38"/>
  <c r="R86" i="38" s="1"/>
  <c r="D84" i="38"/>
  <c r="R84" i="38" s="1"/>
  <c r="P154" i="38"/>
  <c r="P76" i="38"/>
  <c r="P75" i="38"/>
  <c r="P153" i="38"/>
  <c r="P74" i="38"/>
  <c r="P152" i="38"/>
  <c r="P151" i="38"/>
  <c r="P73" i="38"/>
  <c r="P150" i="38"/>
  <c r="P72" i="38"/>
  <c r="P149" i="38"/>
  <c r="P71" i="38"/>
  <c r="P148" i="38"/>
  <c r="P70" i="38"/>
  <c r="P147" i="38"/>
  <c r="P69" i="38"/>
  <c r="P68" i="38"/>
  <c r="P146" i="38"/>
  <c r="L146" i="38"/>
  <c r="L71" i="38"/>
  <c r="E37" i="27"/>
  <c r="W37" i="27"/>
  <c r="R37" i="27"/>
  <c r="D37" i="27" s="1"/>
  <c r="V37" i="27"/>
  <c r="X37" i="27"/>
  <c r="T37" i="27"/>
  <c r="L146" i="37"/>
  <c r="L72" i="37"/>
  <c r="L71" i="37"/>
  <c r="P145" i="37"/>
  <c r="P67" i="37"/>
  <c r="P76" i="37"/>
  <c r="P154" i="37"/>
  <c r="P153" i="37"/>
  <c r="P75" i="37"/>
  <c r="P74" i="37"/>
  <c r="P152" i="37"/>
  <c r="P151" i="37"/>
  <c r="P73" i="37"/>
  <c r="P72" i="37"/>
  <c r="P150" i="37"/>
  <c r="P149" i="37"/>
  <c r="P71" i="37"/>
  <c r="P70" i="37"/>
  <c r="P148" i="37"/>
  <c r="P147" i="37"/>
  <c r="P69" i="37"/>
  <c r="P68" i="37"/>
  <c r="P146" i="37"/>
  <c r="E84" i="35"/>
  <c r="S84" i="35" s="1"/>
  <c r="E84" i="34"/>
  <c r="S84" i="34" s="1"/>
  <c r="E86" i="33"/>
  <c r="S86" i="33" s="1"/>
  <c r="D84" i="33"/>
  <c r="R84" i="33" s="1"/>
  <c r="D84" i="34"/>
  <c r="R84" i="34" s="1"/>
  <c r="D86" i="33"/>
  <c r="R86" i="33" s="1"/>
  <c r="E84" i="36"/>
  <c r="S84" i="36" s="1"/>
  <c r="D85" i="35"/>
  <c r="R85" i="35" s="1"/>
  <c r="E86" i="34"/>
  <c r="S86" i="34" s="1"/>
  <c r="E85" i="36"/>
  <c r="S85" i="36" s="1"/>
  <c r="E85" i="35"/>
  <c r="S85" i="35" s="1"/>
  <c r="D84" i="35"/>
  <c r="R84" i="35" s="1"/>
  <c r="D85" i="36"/>
  <c r="R85" i="36" s="1"/>
  <c r="D84" i="36"/>
  <c r="R84" i="36" s="1"/>
  <c r="D86" i="34"/>
  <c r="R86" i="34" s="1"/>
  <c r="E84" i="33"/>
  <c r="S84" i="33" s="1"/>
  <c r="P67" i="36"/>
  <c r="P145" i="33"/>
  <c r="P67" i="34"/>
  <c r="P145" i="36"/>
  <c r="P67" i="35"/>
  <c r="P145" i="35"/>
  <c r="P67" i="33"/>
  <c r="P145" i="34"/>
  <c r="P154" i="34"/>
  <c r="P76" i="33"/>
  <c r="P76" i="34"/>
  <c r="P154" i="33"/>
  <c r="P154" i="36"/>
  <c r="P76" i="35"/>
  <c r="P154" i="35"/>
  <c r="P76" i="36"/>
  <c r="P75" i="36"/>
  <c r="P153" i="35"/>
  <c r="P75" i="35"/>
  <c r="P153" i="34"/>
  <c r="P153" i="33"/>
  <c r="P75" i="33"/>
  <c r="P153" i="36"/>
  <c r="P75" i="34"/>
  <c r="P152" i="36"/>
  <c r="P74" i="33"/>
  <c r="P152" i="34"/>
  <c r="P74" i="36"/>
  <c r="P74" i="35"/>
  <c r="P152" i="35"/>
  <c r="P74" i="34"/>
  <c r="P152" i="33"/>
  <c r="P151" i="33"/>
  <c r="P73" i="34"/>
  <c r="P151" i="35"/>
  <c r="P73" i="33"/>
  <c r="P151" i="34"/>
  <c r="P151" i="36"/>
  <c r="P73" i="35"/>
  <c r="P73" i="36"/>
  <c r="P150" i="34"/>
  <c r="P72" i="33"/>
  <c r="P150" i="33"/>
  <c r="P150" i="35"/>
  <c r="P72" i="35"/>
  <c r="P72" i="36"/>
  <c r="P150" i="36"/>
  <c r="P72" i="34"/>
  <c r="P149" i="35"/>
  <c r="P71" i="35"/>
  <c r="P71" i="34"/>
  <c r="P149" i="34"/>
  <c r="P149" i="36"/>
  <c r="P71" i="36"/>
  <c r="P71" i="33"/>
  <c r="P149" i="33"/>
  <c r="P70" i="36"/>
  <c r="P70" i="35"/>
  <c r="P148" i="34"/>
  <c r="P148" i="33"/>
  <c r="P148" i="36"/>
  <c r="P70" i="34"/>
  <c r="P148" i="35"/>
  <c r="P70" i="33"/>
  <c r="P147" i="33"/>
  <c r="P69" i="33"/>
  <c r="P147" i="35"/>
  <c r="P147" i="36"/>
  <c r="P69" i="36"/>
  <c r="P69" i="35"/>
  <c r="P69" i="34"/>
  <c r="P147" i="34"/>
  <c r="P146" i="36"/>
  <c r="P68" i="34"/>
  <c r="P146" i="34"/>
  <c r="P68" i="35"/>
  <c r="P146" i="35"/>
  <c r="P68" i="33"/>
  <c r="P68" i="36"/>
  <c r="P146" i="33"/>
  <c r="L146" i="36"/>
  <c r="L72" i="33"/>
  <c r="L146" i="35"/>
  <c r="L146" i="34"/>
  <c r="L146" i="33"/>
  <c r="L72" i="35"/>
  <c r="L72" i="36"/>
  <c r="L71" i="33"/>
  <c r="L71" i="34"/>
  <c r="L72" i="34"/>
  <c r="T36" i="36"/>
  <c r="V37" i="35"/>
  <c r="T36" i="35"/>
  <c r="W36" i="34"/>
  <c r="T37" i="36"/>
  <c r="R36" i="36"/>
  <c r="D36" i="36" s="1"/>
  <c r="R36" i="35"/>
  <c r="D36" i="35" s="1"/>
  <c r="T36" i="33"/>
  <c r="R37" i="36"/>
  <c r="D37" i="36" s="1"/>
  <c r="T37" i="35"/>
  <c r="X36" i="34"/>
  <c r="E36" i="34"/>
  <c r="R36" i="33"/>
  <c r="D36" i="33" s="1"/>
  <c r="X36" i="36"/>
  <c r="E36" i="36"/>
  <c r="X36" i="35"/>
  <c r="E36" i="35"/>
  <c r="V36" i="34"/>
  <c r="X37" i="36"/>
  <c r="E37" i="36"/>
  <c r="W36" i="36"/>
  <c r="W36" i="35"/>
  <c r="X36" i="33"/>
  <c r="E36" i="33"/>
  <c r="W37" i="36"/>
  <c r="V36" i="36"/>
  <c r="X37" i="35"/>
  <c r="E37" i="35"/>
  <c r="V36" i="35"/>
  <c r="T36" i="34"/>
  <c r="W36" i="33"/>
  <c r="R37" i="35"/>
  <c r="D37" i="35" s="1"/>
  <c r="V37" i="36"/>
  <c r="W37" i="35"/>
  <c r="R36" i="34"/>
  <c r="D36" i="34" s="1"/>
  <c r="V36" i="33"/>
  <c r="L71" i="27"/>
  <c r="L72" i="30"/>
  <c r="L146" i="30"/>
  <c r="E85" i="30"/>
  <c r="S85" i="30" s="1"/>
  <c r="D85" i="30"/>
  <c r="R85" i="30" s="1"/>
  <c r="E84" i="30"/>
  <c r="S84" i="30" s="1"/>
  <c r="D84" i="30"/>
  <c r="R84" i="30" s="1"/>
  <c r="W36" i="30"/>
  <c r="R36" i="30"/>
  <c r="D36" i="30" s="1"/>
  <c r="V35" i="30"/>
  <c r="X37" i="30"/>
  <c r="T37" i="30"/>
  <c r="E37" i="30"/>
  <c r="V36" i="30"/>
  <c r="W37" i="30"/>
  <c r="R37" i="30"/>
  <c r="D37" i="30" s="1"/>
  <c r="X35" i="30"/>
  <c r="T35" i="30"/>
  <c r="E35" i="30"/>
  <c r="V37" i="30"/>
  <c r="X36" i="30"/>
  <c r="T36" i="30"/>
  <c r="E36" i="30"/>
  <c r="W35" i="30"/>
  <c r="R35" i="30"/>
  <c r="D35" i="30" s="1"/>
  <c r="P67" i="30"/>
  <c r="P145" i="30"/>
  <c r="P154" i="30"/>
  <c r="P76" i="30"/>
  <c r="P75" i="30"/>
  <c r="P153" i="30"/>
  <c r="P74" i="30"/>
  <c r="P152" i="30"/>
  <c r="P151" i="30"/>
  <c r="P73" i="30"/>
  <c r="P72" i="30"/>
  <c r="P150" i="30"/>
  <c r="P71" i="30"/>
  <c r="P149" i="30"/>
  <c r="P148" i="30"/>
  <c r="P70" i="30"/>
  <c r="P147" i="30"/>
  <c r="P69" i="30"/>
  <c r="P68" i="30"/>
  <c r="P146" i="30"/>
  <c r="P145" i="24"/>
  <c r="P67" i="27"/>
  <c r="P145" i="27"/>
  <c r="E84" i="27"/>
  <c r="S84" i="27" s="1"/>
  <c r="E86" i="27"/>
  <c r="S86" i="27" s="1"/>
  <c r="E85" i="27"/>
  <c r="S85" i="27" s="1"/>
  <c r="D84" i="27"/>
  <c r="R84" i="27" s="1"/>
  <c r="D86" i="27"/>
  <c r="R86" i="27" s="1"/>
  <c r="D85" i="27"/>
  <c r="R85" i="27" s="1"/>
  <c r="W36" i="27"/>
  <c r="R36" i="27"/>
  <c r="D36" i="27" s="1"/>
  <c r="E36" i="27"/>
  <c r="V36" i="27"/>
  <c r="T36" i="27"/>
  <c r="X36" i="27"/>
  <c r="P154" i="24"/>
  <c r="P154" i="27"/>
  <c r="P76" i="27"/>
  <c r="P153" i="24"/>
  <c r="P153" i="27"/>
  <c r="P75" i="27"/>
  <c r="P152" i="24"/>
  <c r="P152" i="27"/>
  <c r="P74" i="27"/>
  <c r="P151" i="24"/>
  <c r="P73" i="27"/>
  <c r="P151" i="27"/>
  <c r="P150" i="24"/>
  <c r="P72" i="27"/>
  <c r="P150" i="27"/>
  <c r="P149" i="24"/>
  <c r="P149" i="27"/>
  <c r="P71" i="27"/>
  <c r="P148" i="24"/>
  <c r="P148" i="27"/>
  <c r="P70" i="27"/>
  <c r="P147" i="24"/>
  <c r="P147" i="27"/>
  <c r="P69" i="27"/>
  <c r="S69" i="27" s="1"/>
  <c r="P68" i="27"/>
  <c r="P146" i="27"/>
  <c r="L146" i="27"/>
  <c r="L73" i="27"/>
  <c r="L72" i="27"/>
  <c r="P146" i="24"/>
  <c r="T73" i="50" l="1"/>
  <c r="S146" i="50"/>
  <c r="R146" i="50"/>
  <c r="R68" i="50"/>
  <c r="S68" i="50"/>
  <c r="S150" i="50"/>
  <c r="R150" i="50"/>
  <c r="S72" i="50"/>
  <c r="R72" i="50"/>
  <c r="S154" i="50"/>
  <c r="R154" i="50"/>
  <c r="T154" i="50" s="1"/>
  <c r="R76" i="50"/>
  <c r="S76" i="50"/>
  <c r="S70" i="50"/>
  <c r="R70" i="50"/>
  <c r="S148" i="50"/>
  <c r="R148" i="50"/>
  <c r="R74" i="50"/>
  <c r="S74" i="50"/>
  <c r="S152" i="50"/>
  <c r="R152" i="50"/>
  <c r="T152" i="50" s="1"/>
  <c r="R71" i="50"/>
  <c r="T71" i="50" s="1"/>
  <c r="S71" i="50"/>
  <c r="S149" i="50"/>
  <c r="R149" i="50"/>
  <c r="S153" i="50"/>
  <c r="R153" i="50"/>
  <c r="T153" i="50" s="1"/>
  <c r="R69" i="50"/>
  <c r="S69" i="50"/>
  <c r="R75" i="50"/>
  <c r="S75" i="50"/>
  <c r="S147" i="50"/>
  <c r="R147" i="50"/>
  <c r="BO85" i="50"/>
  <c r="H177" i="50"/>
  <c r="S151" i="50"/>
  <c r="R151" i="50"/>
  <c r="T151" i="50" s="1"/>
  <c r="R20" i="34"/>
  <c r="R32" i="34" s="1"/>
  <c r="R75" i="48"/>
  <c r="T75" i="48" s="1"/>
  <c r="E168" i="48"/>
  <c r="S146" i="49"/>
  <c r="R146" i="49"/>
  <c r="S72" i="49"/>
  <c r="R72" i="49"/>
  <c r="S150" i="49"/>
  <c r="R150" i="49"/>
  <c r="E168" i="49"/>
  <c r="R76" i="49"/>
  <c r="S76" i="49"/>
  <c r="S68" i="49"/>
  <c r="R68" i="49"/>
  <c r="S154" i="49"/>
  <c r="R154" i="49"/>
  <c r="S148" i="49"/>
  <c r="R148" i="49"/>
  <c r="R74" i="49"/>
  <c r="S74" i="49"/>
  <c r="S152" i="49"/>
  <c r="R152" i="49"/>
  <c r="R71" i="49"/>
  <c r="S71" i="49"/>
  <c r="S149" i="49"/>
  <c r="R149" i="49"/>
  <c r="R73" i="49"/>
  <c r="S73" i="49"/>
  <c r="R75" i="49"/>
  <c r="S75" i="49"/>
  <c r="S147" i="49"/>
  <c r="R147" i="49"/>
  <c r="S153" i="49"/>
  <c r="R153" i="49"/>
  <c r="R70" i="49"/>
  <c r="T70" i="49" s="1"/>
  <c r="R69" i="49"/>
  <c r="S69" i="49"/>
  <c r="BO85" i="49"/>
  <c r="H177" i="49"/>
  <c r="S151" i="49"/>
  <c r="R151" i="49"/>
  <c r="S76" i="48"/>
  <c r="R76" i="48"/>
  <c r="BH16" i="26"/>
  <c r="S154" i="48"/>
  <c r="R154" i="48"/>
  <c r="S148" i="48"/>
  <c r="R148" i="48"/>
  <c r="R70" i="48"/>
  <c r="S70" i="48"/>
  <c r="S152" i="48"/>
  <c r="R152" i="48"/>
  <c r="S147" i="48"/>
  <c r="R147" i="48"/>
  <c r="S74" i="48"/>
  <c r="R74" i="48"/>
  <c r="R69" i="48"/>
  <c r="S69" i="48"/>
  <c r="S149" i="48"/>
  <c r="R149" i="48"/>
  <c r="R73" i="48"/>
  <c r="S73" i="48"/>
  <c r="S71" i="48"/>
  <c r="R71" i="48"/>
  <c r="S68" i="48"/>
  <c r="R68" i="48"/>
  <c r="S151" i="48"/>
  <c r="R151" i="48"/>
  <c r="S146" i="48"/>
  <c r="R146" i="48"/>
  <c r="S153" i="48"/>
  <c r="R153" i="48"/>
  <c r="S72" i="48"/>
  <c r="R72" i="48"/>
  <c r="BO85" i="48"/>
  <c r="H177" i="48"/>
  <c r="S150" i="48"/>
  <c r="R150" i="48"/>
  <c r="R93" i="47"/>
  <c r="BO85" i="47" s="1"/>
  <c r="T20" i="34"/>
  <c r="S150" i="47"/>
  <c r="R150" i="47"/>
  <c r="S76" i="47"/>
  <c r="R76" i="47"/>
  <c r="S154" i="47"/>
  <c r="R154" i="47"/>
  <c r="S148" i="47"/>
  <c r="R148" i="47"/>
  <c r="R70" i="47"/>
  <c r="S70" i="47"/>
  <c r="S152" i="47"/>
  <c r="R152" i="47"/>
  <c r="R74" i="47"/>
  <c r="S74" i="47"/>
  <c r="S149" i="47"/>
  <c r="R149" i="47"/>
  <c r="R71" i="47"/>
  <c r="S71" i="47"/>
  <c r="R75" i="47"/>
  <c r="S75" i="47"/>
  <c r="S147" i="47"/>
  <c r="R147" i="47"/>
  <c r="S153" i="47"/>
  <c r="R153" i="47"/>
  <c r="R69" i="47"/>
  <c r="S69" i="47"/>
  <c r="R72" i="47"/>
  <c r="T72" i="47" s="1"/>
  <c r="R73" i="47"/>
  <c r="S73" i="47"/>
  <c r="S93" i="47"/>
  <c r="BO86" i="47" s="1"/>
  <c r="R68" i="47"/>
  <c r="S68" i="47"/>
  <c r="S151" i="47"/>
  <c r="R151" i="47"/>
  <c r="S146" i="47"/>
  <c r="R146" i="47"/>
  <c r="E168" i="47"/>
  <c r="BH5" i="26"/>
  <c r="W20" i="38"/>
  <c r="T20" i="38"/>
  <c r="R20" i="38"/>
  <c r="R32" i="38" s="1"/>
  <c r="W20" i="33"/>
  <c r="X20" i="39"/>
  <c r="T20" i="39"/>
  <c r="V20" i="39"/>
  <c r="X20" i="34"/>
  <c r="T20" i="33"/>
  <c r="R93" i="35"/>
  <c r="BO85" i="35" s="1"/>
  <c r="Y20" i="33"/>
  <c r="Y20" i="39"/>
  <c r="W20" i="34"/>
  <c r="Y20" i="34"/>
  <c r="X20" i="33"/>
  <c r="U20" i="39"/>
  <c r="R20" i="39"/>
  <c r="R32" i="39" s="1"/>
  <c r="U20" i="38"/>
  <c r="V20" i="38"/>
  <c r="V20" i="34"/>
  <c r="W20" i="39"/>
  <c r="Y20" i="38"/>
  <c r="X20" i="38"/>
  <c r="V20" i="33"/>
  <c r="E118" i="38"/>
  <c r="BO91" i="38" s="1"/>
  <c r="E118" i="39"/>
  <c r="BO91" i="39" s="1"/>
  <c r="R69" i="39"/>
  <c r="S69" i="39"/>
  <c r="R71" i="39"/>
  <c r="S71" i="39"/>
  <c r="S151" i="39"/>
  <c r="R151" i="39"/>
  <c r="R75" i="39"/>
  <c r="S75" i="39"/>
  <c r="S147" i="39"/>
  <c r="R147" i="39"/>
  <c r="S149" i="39"/>
  <c r="R149" i="39"/>
  <c r="R73" i="39"/>
  <c r="S73" i="39"/>
  <c r="S153" i="39"/>
  <c r="R153" i="39"/>
  <c r="R93" i="39"/>
  <c r="S93" i="38"/>
  <c r="BO86" i="38" s="1"/>
  <c r="S146" i="39"/>
  <c r="R146" i="39"/>
  <c r="R70" i="39"/>
  <c r="S70" i="39"/>
  <c r="R72" i="39"/>
  <c r="S72" i="39"/>
  <c r="S152" i="39"/>
  <c r="R152" i="39"/>
  <c r="R76" i="39"/>
  <c r="S76" i="39"/>
  <c r="R68" i="39"/>
  <c r="S68" i="39"/>
  <c r="S148" i="39"/>
  <c r="R148" i="39"/>
  <c r="S150" i="39"/>
  <c r="R150" i="39"/>
  <c r="R74" i="39"/>
  <c r="S74" i="39"/>
  <c r="S154" i="39"/>
  <c r="R154" i="39"/>
  <c r="S93" i="39"/>
  <c r="BO86" i="39" s="1"/>
  <c r="E168" i="39"/>
  <c r="E168" i="38"/>
  <c r="S147" i="38"/>
  <c r="R147" i="38"/>
  <c r="S149" i="38"/>
  <c r="R149" i="38"/>
  <c r="S151" i="38"/>
  <c r="R151" i="38"/>
  <c r="R75" i="38"/>
  <c r="S75" i="38"/>
  <c r="S146" i="38"/>
  <c r="R146" i="38"/>
  <c r="R70" i="38"/>
  <c r="S70" i="38"/>
  <c r="R72" i="38"/>
  <c r="S72" i="38"/>
  <c r="S152" i="38"/>
  <c r="R152" i="38"/>
  <c r="R76" i="38"/>
  <c r="S76" i="38"/>
  <c r="S68" i="38"/>
  <c r="R68" i="38"/>
  <c r="S148" i="38"/>
  <c r="R148" i="38"/>
  <c r="S150" i="38"/>
  <c r="R150" i="38"/>
  <c r="S74" i="38"/>
  <c r="R74" i="38"/>
  <c r="S154" i="38"/>
  <c r="R154" i="38"/>
  <c r="S69" i="38"/>
  <c r="R69" i="38"/>
  <c r="R71" i="38"/>
  <c r="S71" i="38"/>
  <c r="R73" i="38"/>
  <c r="S73" i="38"/>
  <c r="S153" i="38"/>
  <c r="R153" i="38"/>
  <c r="R93" i="38"/>
  <c r="E168" i="37"/>
  <c r="E118" i="37"/>
  <c r="BO91" i="37" s="1"/>
  <c r="S146" i="37"/>
  <c r="R146" i="37"/>
  <c r="S148" i="37"/>
  <c r="R148" i="37"/>
  <c r="S150" i="37"/>
  <c r="R150" i="37"/>
  <c r="S152" i="37"/>
  <c r="R152" i="37"/>
  <c r="S154" i="37"/>
  <c r="R154" i="37"/>
  <c r="R68" i="37"/>
  <c r="S68" i="37"/>
  <c r="S70" i="37"/>
  <c r="R70" i="37"/>
  <c r="R72" i="37"/>
  <c r="S72" i="37"/>
  <c r="S74" i="37"/>
  <c r="R74" i="37"/>
  <c r="R76" i="37"/>
  <c r="S76" i="37"/>
  <c r="S69" i="37"/>
  <c r="R69" i="37"/>
  <c r="S71" i="37"/>
  <c r="R71" i="37"/>
  <c r="R73" i="37"/>
  <c r="S73" i="37"/>
  <c r="S75" i="37"/>
  <c r="R75" i="37"/>
  <c r="S147" i="37"/>
  <c r="R147" i="37"/>
  <c r="R149" i="37"/>
  <c r="S149" i="37"/>
  <c r="S151" i="37"/>
  <c r="R151" i="37"/>
  <c r="S153" i="37"/>
  <c r="R153" i="37"/>
  <c r="E118" i="33"/>
  <c r="BO91" i="33" s="1"/>
  <c r="E168" i="35"/>
  <c r="R93" i="36"/>
  <c r="H177" i="36" s="1"/>
  <c r="S93" i="34"/>
  <c r="BO86" i="34" s="1"/>
  <c r="S146" i="33"/>
  <c r="R146" i="33"/>
  <c r="R69" i="35"/>
  <c r="S69" i="35"/>
  <c r="S148" i="33"/>
  <c r="R148" i="33"/>
  <c r="R71" i="35"/>
  <c r="S71" i="35"/>
  <c r="S151" i="36"/>
  <c r="R151" i="36"/>
  <c r="R68" i="36"/>
  <c r="S68" i="36"/>
  <c r="S146" i="34"/>
  <c r="R146" i="34"/>
  <c r="R69" i="36"/>
  <c r="S69" i="36"/>
  <c r="S147" i="33"/>
  <c r="R147" i="33"/>
  <c r="S148" i="35"/>
  <c r="R148" i="35"/>
  <c r="S148" i="34"/>
  <c r="R148" i="34"/>
  <c r="S149" i="36"/>
  <c r="R149" i="36"/>
  <c r="S149" i="35"/>
  <c r="R149" i="35"/>
  <c r="S150" i="36"/>
  <c r="R150" i="36"/>
  <c r="S150" i="33"/>
  <c r="R150" i="33"/>
  <c r="S151" i="34"/>
  <c r="R151" i="34"/>
  <c r="S151" i="33"/>
  <c r="R151" i="33"/>
  <c r="R74" i="34"/>
  <c r="S74" i="34"/>
  <c r="S152" i="34"/>
  <c r="R152" i="34"/>
  <c r="S153" i="33"/>
  <c r="R153" i="33"/>
  <c r="R75" i="36"/>
  <c r="S75" i="36"/>
  <c r="S154" i="35"/>
  <c r="R154" i="35"/>
  <c r="R76" i="34"/>
  <c r="S76" i="34"/>
  <c r="R93" i="34"/>
  <c r="S93" i="35"/>
  <c r="BO86" i="35" s="1"/>
  <c r="R68" i="35"/>
  <c r="S68" i="35"/>
  <c r="R69" i="33"/>
  <c r="S69" i="33"/>
  <c r="R72" i="34"/>
  <c r="S72" i="34"/>
  <c r="S152" i="33"/>
  <c r="R152" i="33"/>
  <c r="R75" i="33"/>
  <c r="S75" i="33"/>
  <c r="R68" i="33"/>
  <c r="S68" i="33"/>
  <c r="R68" i="34"/>
  <c r="S68" i="34"/>
  <c r="S147" i="34"/>
  <c r="R147" i="34"/>
  <c r="S147" i="36"/>
  <c r="R147" i="36"/>
  <c r="R70" i="34"/>
  <c r="S70" i="34"/>
  <c r="R70" i="35"/>
  <c r="S70" i="35"/>
  <c r="S149" i="33"/>
  <c r="R149" i="33"/>
  <c r="S149" i="34"/>
  <c r="R149" i="34"/>
  <c r="R72" i="36"/>
  <c r="S72" i="36"/>
  <c r="R72" i="33"/>
  <c r="S72" i="33"/>
  <c r="R73" i="36"/>
  <c r="S73" i="36"/>
  <c r="R73" i="33"/>
  <c r="S73" i="33"/>
  <c r="S152" i="35"/>
  <c r="R152" i="35"/>
  <c r="R74" i="33"/>
  <c r="S74" i="33"/>
  <c r="R75" i="34"/>
  <c r="S75" i="34"/>
  <c r="S153" i="34"/>
  <c r="R153" i="34"/>
  <c r="R76" i="35"/>
  <c r="S76" i="35"/>
  <c r="R76" i="33"/>
  <c r="S76" i="33"/>
  <c r="R93" i="33"/>
  <c r="R70" i="33"/>
  <c r="S70" i="33"/>
  <c r="R71" i="36"/>
  <c r="S71" i="36"/>
  <c r="S150" i="35"/>
  <c r="R150" i="35"/>
  <c r="R73" i="34"/>
  <c r="S73" i="34"/>
  <c r="R74" i="36"/>
  <c r="S74" i="36"/>
  <c r="S153" i="35"/>
  <c r="R153" i="35"/>
  <c r="R76" i="36"/>
  <c r="S76" i="36"/>
  <c r="S154" i="33"/>
  <c r="R154" i="33"/>
  <c r="S146" i="35"/>
  <c r="R146" i="35"/>
  <c r="S146" i="36"/>
  <c r="R146" i="36"/>
  <c r="R69" i="34"/>
  <c r="S69" i="34"/>
  <c r="S147" i="35"/>
  <c r="R147" i="35"/>
  <c r="S148" i="36"/>
  <c r="R148" i="36"/>
  <c r="R70" i="36"/>
  <c r="S70" i="36"/>
  <c r="R71" i="33"/>
  <c r="S71" i="33"/>
  <c r="R71" i="34"/>
  <c r="S71" i="34"/>
  <c r="R72" i="35"/>
  <c r="S72" i="35"/>
  <c r="S150" i="34"/>
  <c r="R150" i="34"/>
  <c r="R73" i="35"/>
  <c r="S73" i="35"/>
  <c r="S151" i="35"/>
  <c r="R151" i="35"/>
  <c r="R74" i="35"/>
  <c r="S74" i="35"/>
  <c r="S152" i="36"/>
  <c r="R152" i="36"/>
  <c r="S153" i="36"/>
  <c r="R153" i="36"/>
  <c r="R75" i="35"/>
  <c r="S75" i="35"/>
  <c r="S154" i="36"/>
  <c r="R154" i="36"/>
  <c r="S154" i="34"/>
  <c r="R154" i="34"/>
  <c r="S93" i="36"/>
  <c r="BO86" i="36" s="1"/>
  <c r="S93" i="33"/>
  <c r="BO86" i="33" s="1"/>
  <c r="E168" i="36"/>
  <c r="E118" i="34"/>
  <c r="BO91" i="34" s="1"/>
  <c r="E168" i="34"/>
  <c r="E168" i="33"/>
  <c r="E168" i="30"/>
  <c r="S93" i="30"/>
  <c r="BO86" i="30" s="1"/>
  <c r="R93" i="30"/>
  <c r="H177" i="30" s="1"/>
  <c r="D42" i="30"/>
  <c r="D51" i="30" s="1"/>
  <c r="R68" i="30"/>
  <c r="S68" i="30"/>
  <c r="S148" i="30"/>
  <c r="R148" i="30"/>
  <c r="S72" i="30"/>
  <c r="R72" i="30"/>
  <c r="R74" i="30"/>
  <c r="S74" i="30"/>
  <c r="S154" i="30"/>
  <c r="R154" i="30"/>
  <c r="R69" i="30"/>
  <c r="S69" i="30"/>
  <c r="R149" i="30"/>
  <c r="S149" i="30"/>
  <c r="R73" i="30"/>
  <c r="S73" i="30"/>
  <c r="S153" i="30"/>
  <c r="R153" i="30"/>
  <c r="R146" i="30"/>
  <c r="S146" i="30"/>
  <c r="S70" i="30"/>
  <c r="R70" i="30"/>
  <c r="R150" i="30"/>
  <c r="S150" i="30"/>
  <c r="R152" i="30"/>
  <c r="S152" i="30"/>
  <c r="S76" i="30"/>
  <c r="R76" i="30"/>
  <c r="S147" i="30"/>
  <c r="R147" i="30"/>
  <c r="S71" i="30"/>
  <c r="R71" i="30"/>
  <c r="R151" i="30"/>
  <c r="S151" i="30"/>
  <c r="R75" i="30"/>
  <c r="S75" i="30"/>
  <c r="R68" i="27"/>
  <c r="S68" i="27"/>
  <c r="S147" i="27"/>
  <c r="R147" i="27"/>
  <c r="R73" i="27"/>
  <c r="S73" i="27"/>
  <c r="R74" i="27"/>
  <c r="S74" i="27"/>
  <c r="R69" i="27"/>
  <c r="T69" i="27" s="1"/>
  <c r="S148" i="27"/>
  <c r="R148" i="27"/>
  <c r="R71" i="27"/>
  <c r="S71" i="27"/>
  <c r="S152" i="27"/>
  <c r="R152" i="27"/>
  <c r="R75" i="27"/>
  <c r="S75" i="27"/>
  <c r="S149" i="27"/>
  <c r="R149" i="27"/>
  <c r="S150" i="27"/>
  <c r="R150" i="27"/>
  <c r="S153" i="27"/>
  <c r="R153" i="27"/>
  <c r="R76" i="27"/>
  <c r="S76" i="27"/>
  <c r="S93" i="27"/>
  <c r="BO86" i="27" s="1"/>
  <c r="S146" i="27"/>
  <c r="R146" i="27"/>
  <c r="R72" i="27"/>
  <c r="S72" i="27"/>
  <c r="S151" i="27"/>
  <c r="R151" i="27"/>
  <c r="S154" i="27"/>
  <c r="R154" i="27"/>
  <c r="R93" i="27"/>
  <c r="E118" i="27"/>
  <c r="BO91" i="27" s="1"/>
  <c r="R70" i="27"/>
  <c r="S70" i="27"/>
  <c r="E168" i="27"/>
  <c r="BN17" i="26"/>
  <c r="BN18" i="26"/>
  <c r="BN19" i="26"/>
  <c r="BN20" i="26"/>
  <c r="BN21" i="26"/>
  <c r="BN22" i="26"/>
  <c r="BN23" i="26"/>
  <c r="BN24" i="26"/>
  <c r="BN25" i="26"/>
  <c r="BN26" i="26"/>
  <c r="BN27" i="26"/>
  <c r="BN28" i="26"/>
  <c r="BN29" i="26"/>
  <c r="BN30" i="26"/>
  <c r="BN31" i="26"/>
  <c r="BN32" i="26"/>
  <c r="BN33" i="26"/>
  <c r="BN34" i="26"/>
  <c r="BN35" i="26"/>
  <c r="BN36" i="26"/>
  <c r="BN37" i="26"/>
  <c r="BN38" i="26"/>
  <c r="BN39" i="26"/>
  <c r="BN40" i="26"/>
  <c r="BN41" i="26"/>
  <c r="BN42" i="26"/>
  <c r="BN43" i="26"/>
  <c r="BN44" i="26"/>
  <c r="BN45" i="26"/>
  <c r="BN46" i="26"/>
  <c r="BN47" i="26"/>
  <c r="BN48" i="26"/>
  <c r="BN49" i="26"/>
  <c r="BN50" i="26"/>
  <c r="BN51" i="26"/>
  <c r="BN52" i="26"/>
  <c r="BN53" i="26"/>
  <c r="BN54" i="26"/>
  <c r="BR16" i="26"/>
  <c r="BO17" i="26"/>
  <c r="BP17" i="26"/>
  <c r="BQ17" i="26"/>
  <c r="BR17" i="26"/>
  <c r="BO18" i="26"/>
  <c r="BP18" i="26"/>
  <c r="BQ18" i="26"/>
  <c r="BR18" i="26"/>
  <c r="BO19" i="26"/>
  <c r="BP19" i="26"/>
  <c r="BQ19" i="26"/>
  <c r="BR19" i="26"/>
  <c r="BO20" i="26"/>
  <c r="BP20" i="26"/>
  <c r="BQ20" i="26"/>
  <c r="BR20" i="26"/>
  <c r="BO21" i="26"/>
  <c r="BP21" i="26"/>
  <c r="BQ21" i="26"/>
  <c r="BR21" i="26"/>
  <c r="BO22" i="26"/>
  <c r="BP22" i="26"/>
  <c r="BQ22" i="26"/>
  <c r="BR22" i="26"/>
  <c r="BO23" i="26"/>
  <c r="BP23" i="26"/>
  <c r="BQ23" i="26"/>
  <c r="BR23" i="26"/>
  <c r="BO24" i="26"/>
  <c r="BP24" i="26"/>
  <c r="BQ24" i="26"/>
  <c r="BR24" i="26"/>
  <c r="BO25" i="26"/>
  <c r="BP25" i="26"/>
  <c r="BQ25" i="26"/>
  <c r="BR25" i="26"/>
  <c r="BO26" i="26"/>
  <c r="BP26" i="26"/>
  <c r="BQ26" i="26"/>
  <c r="BR26" i="26"/>
  <c r="BO27" i="26"/>
  <c r="BP27" i="26"/>
  <c r="BQ27" i="26"/>
  <c r="BR27" i="26"/>
  <c r="BO28" i="26"/>
  <c r="BP28" i="26"/>
  <c r="BQ28" i="26"/>
  <c r="BR28" i="26"/>
  <c r="BO29" i="26"/>
  <c r="BP29" i="26"/>
  <c r="BQ29" i="26"/>
  <c r="BR29" i="26"/>
  <c r="BO30" i="26"/>
  <c r="BP30" i="26"/>
  <c r="BQ30" i="26"/>
  <c r="BR30" i="26"/>
  <c r="BO31" i="26"/>
  <c r="BP31" i="26"/>
  <c r="BQ31" i="26"/>
  <c r="BR31" i="26"/>
  <c r="BO32" i="26"/>
  <c r="BP32" i="26"/>
  <c r="BQ32" i="26"/>
  <c r="BR32" i="26"/>
  <c r="BO33" i="26"/>
  <c r="BP33" i="26"/>
  <c r="BQ33" i="26"/>
  <c r="BR33" i="26"/>
  <c r="BO34" i="26"/>
  <c r="BP34" i="26"/>
  <c r="BQ34" i="26"/>
  <c r="BR34" i="26"/>
  <c r="BO35" i="26"/>
  <c r="BP35" i="26"/>
  <c r="BQ35" i="26"/>
  <c r="BR35" i="26"/>
  <c r="BO36" i="26"/>
  <c r="BP36" i="26"/>
  <c r="BQ36" i="26"/>
  <c r="BR36" i="26"/>
  <c r="BO37" i="26"/>
  <c r="BP37" i="26"/>
  <c r="BQ37" i="26"/>
  <c r="BR37" i="26"/>
  <c r="BO38" i="26"/>
  <c r="BP38" i="26"/>
  <c r="BQ38" i="26"/>
  <c r="BR38" i="26"/>
  <c r="BO39" i="26"/>
  <c r="BP39" i="26"/>
  <c r="BQ39" i="26"/>
  <c r="BR39" i="26"/>
  <c r="BO40" i="26"/>
  <c r="BP40" i="26"/>
  <c r="BQ40" i="26"/>
  <c r="BR40" i="26"/>
  <c r="BO41" i="26"/>
  <c r="BP41" i="26"/>
  <c r="BQ41" i="26"/>
  <c r="BR41" i="26"/>
  <c r="BO42" i="26"/>
  <c r="BP42" i="26"/>
  <c r="BQ42" i="26"/>
  <c r="BR42" i="26"/>
  <c r="BO43" i="26"/>
  <c r="BP43" i="26"/>
  <c r="BQ43" i="26"/>
  <c r="BR43" i="26"/>
  <c r="BO44" i="26"/>
  <c r="BP44" i="26"/>
  <c r="BQ44" i="26"/>
  <c r="BR44" i="26"/>
  <c r="BO45" i="26"/>
  <c r="BP45" i="26"/>
  <c r="BQ45" i="26"/>
  <c r="BR45" i="26"/>
  <c r="BO46" i="26"/>
  <c r="BP46" i="26"/>
  <c r="BQ46" i="26"/>
  <c r="BR46" i="26"/>
  <c r="BO47" i="26"/>
  <c r="BP47" i="26"/>
  <c r="BQ47" i="26"/>
  <c r="BR47" i="26"/>
  <c r="BO48" i="26"/>
  <c r="BP48" i="26"/>
  <c r="BQ48" i="26"/>
  <c r="BR48" i="26"/>
  <c r="BO49" i="26"/>
  <c r="BP49" i="26"/>
  <c r="BQ49" i="26"/>
  <c r="BR49" i="26"/>
  <c r="BO50" i="26"/>
  <c r="BP50" i="26"/>
  <c r="BQ50" i="26"/>
  <c r="BR50" i="26"/>
  <c r="BO51" i="26"/>
  <c r="BP51" i="26"/>
  <c r="BQ51" i="26"/>
  <c r="BR51" i="26"/>
  <c r="BO52" i="26"/>
  <c r="BP52" i="26"/>
  <c r="BQ52" i="26"/>
  <c r="BR52" i="26"/>
  <c r="BO53" i="26"/>
  <c r="BP53" i="26"/>
  <c r="BQ53" i="26"/>
  <c r="BR53" i="26"/>
  <c r="BO54" i="26"/>
  <c r="BP54" i="26"/>
  <c r="BQ54" i="26"/>
  <c r="BR54" i="26"/>
  <c r="T75" i="50" l="1"/>
  <c r="T69" i="50"/>
  <c r="R176" i="50"/>
  <c r="T70" i="50"/>
  <c r="T76" i="50"/>
  <c r="R172" i="50"/>
  <c r="R173" i="50"/>
  <c r="R174" i="50"/>
  <c r="T149" i="50"/>
  <c r="T72" i="50"/>
  <c r="R171" i="50"/>
  <c r="R178" i="50"/>
  <c r="T150" i="50"/>
  <c r="R179" i="50"/>
  <c r="R177" i="50"/>
  <c r="R175" i="50"/>
  <c r="T74" i="50"/>
  <c r="R77" i="50"/>
  <c r="BO83" i="50" s="1"/>
  <c r="T68" i="50"/>
  <c r="T147" i="50"/>
  <c r="T148" i="50"/>
  <c r="R155" i="50"/>
  <c r="T146" i="50"/>
  <c r="AB27" i="47"/>
  <c r="T73" i="48"/>
  <c r="T154" i="48"/>
  <c r="T149" i="48"/>
  <c r="T154" i="49"/>
  <c r="T149" i="49"/>
  <c r="T150" i="49"/>
  <c r="T152" i="49"/>
  <c r="T72" i="49"/>
  <c r="R176" i="49"/>
  <c r="T147" i="48"/>
  <c r="T151" i="48"/>
  <c r="T152" i="48"/>
  <c r="T69" i="49"/>
  <c r="R174" i="49"/>
  <c r="T150" i="48"/>
  <c r="T151" i="49"/>
  <c r="T71" i="49"/>
  <c r="T75" i="49"/>
  <c r="R171" i="49" a="1"/>
  <c r="R171" i="49" s="1"/>
  <c r="R173" i="49"/>
  <c r="T73" i="49"/>
  <c r="T68" i="49"/>
  <c r="R77" i="49"/>
  <c r="BO83" i="49" s="1"/>
  <c r="T69" i="48"/>
  <c r="T76" i="49"/>
  <c r="R179" i="49"/>
  <c r="T74" i="49"/>
  <c r="R172" i="49"/>
  <c r="R175" i="48"/>
  <c r="T153" i="49"/>
  <c r="T148" i="49"/>
  <c r="R175" i="49"/>
  <c r="R155" i="49"/>
  <c r="T146" i="49"/>
  <c r="R178" i="49"/>
  <c r="T148" i="48"/>
  <c r="T147" i="49"/>
  <c r="R177" i="49"/>
  <c r="R155" i="48"/>
  <c r="T146" i="48"/>
  <c r="R176" i="48"/>
  <c r="R171" i="48" a="1"/>
  <c r="R171" i="48" s="1"/>
  <c r="R178" i="48"/>
  <c r="T74" i="48"/>
  <c r="R172" i="48"/>
  <c r="R177" i="48"/>
  <c r="R174" i="48"/>
  <c r="T68" i="48"/>
  <c r="R77" i="48"/>
  <c r="BO83" i="48" s="1"/>
  <c r="T70" i="48"/>
  <c r="H177" i="47"/>
  <c r="T71" i="48"/>
  <c r="T72" i="48"/>
  <c r="T153" i="48"/>
  <c r="R179" i="48"/>
  <c r="T76" i="48"/>
  <c r="R173" i="48"/>
  <c r="T71" i="47"/>
  <c r="T149" i="47"/>
  <c r="T152" i="47"/>
  <c r="T147" i="47"/>
  <c r="T151" i="47"/>
  <c r="T154" i="47"/>
  <c r="T76" i="47"/>
  <c r="T74" i="47"/>
  <c r="T70" i="47"/>
  <c r="R179" i="47"/>
  <c r="R172" i="47"/>
  <c r="T73" i="47"/>
  <c r="R175" i="47"/>
  <c r="R176" i="47"/>
  <c r="T69" i="47"/>
  <c r="R171" i="47" a="1"/>
  <c r="R171" i="47" s="1"/>
  <c r="R155" i="47"/>
  <c r="T146" i="47"/>
  <c r="R177" i="47"/>
  <c r="T153" i="47"/>
  <c r="T148" i="47"/>
  <c r="R173" i="47"/>
  <c r="R174" i="47"/>
  <c r="R178" i="47"/>
  <c r="T75" i="47"/>
  <c r="T150" i="47"/>
  <c r="R77" i="47"/>
  <c r="BO83" i="47" s="1"/>
  <c r="T68" i="47"/>
  <c r="R171" i="30" a="1"/>
  <c r="R171" i="30" s="1"/>
  <c r="BO85" i="36"/>
  <c r="H177" i="35"/>
  <c r="T70" i="39"/>
  <c r="T69" i="39"/>
  <c r="T74" i="39"/>
  <c r="T148" i="39"/>
  <c r="T153" i="39"/>
  <c r="T149" i="39"/>
  <c r="T71" i="39"/>
  <c r="R178" i="39"/>
  <c r="R155" i="39"/>
  <c r="T146" i="39"/>
  <c r="T76" i="39"/>
  <c r="T72" i="39"/>
  <c r="T75" i="39"/>
  <c r="T154" i="39"/>
  <c r="T150" i="39"/>
  <c r="T152" i="39"/>
  <c r="T73" i="39"/>
  <c r="T147" i="39"/>
  <c r="T151" i="39"/>
  <c r="T68" i="39"/>
  <c r="R77" i="39"/>
  <c r="BO83" i="39" s="1"/>
  <c r="R173" i="39"/>
  <c r="R172" i="39"/>
  <c r="R175" i="39"/>
  <c r="R174" i="39"/>
  <c r="R176" i="39"/>
  <c r="R171" i="39"/>
  <c r="R177" i="39"/>
  <c r="R179" i="39"/>
  <c r="H177" i="39"/>
  <c r="BO85" i="39"/>
  <c r="T69" i="38"/>
  <c r="T74" i="38"/>
  <c r="T148" i="38"/>
  <c r="T76" i="38"/>
  <c r="T151" i="38"/>
  <c r="T147" i="38"/>
  <c r="T153" i="38"/>
  <c r="T154" i="38"/>
  <c r="T150" i="38"/>
  <c r="T152" i="38"/>
  <c r="T149" i="38"/>
  <c r="R173" i="38"/>
  <c r="R172" i="38"/>
  <c r="R77" i="38"/>
  <c r="BO83" i="38" s="1"/>
  <c r="T68" i="38"/>
  <c r="BO85" i="38"/>
  <c r="H177" i="38"/>
  <c r="T73" i="38"/>
  <c r="R175" i="38"/>
  <c r="R177" i="38"/>
  <c r="T70" i="38"/>
  <c r="T75" i="38"/>
  <c r="R179" i="38"/>
  <c r="R176" i="38"/>
  <c r="R155" i="38"/>
  <c r="T146" i="38"/>
  <c r="T71" i="38"/>
  <c r="R178" i="38"/>
  <c r="R171" i="38"/>
  <c r="R174" i="38"/>
  <c r="T72" i="38"/>
  <c r="T152" i="37"/>
  <c r="T148" i="37"/>
  <c r="T147" i="37"/>
  <c r="T69" i="37"/>
  <c r="T74" i="37"/>
  <c r="T70" i="37"/>
  <c r="T150" i="37"/>
  <c r="T149" i="37"/>
  <c r="T76" i="37"/>
  <c r="T72" i="37"/>
  <c r="T153" i="34"/>
  <c r="T149" i="34"/>
  <c r="T151" i="33"/>
  <c r="T150" i="33"/>
  <c r="T149" i="35"/>
  <c r="T147" i="33"/>
  <c r="R171" i="37"/>
  <c r="R178" i="37"/>
  <c r="T151" i="37"/>
  <c r="T73" i="37"/>
  <c r="R173" i="37"/>
  <c r="R179" i="37"/>
  <c r="R77" i="37"/>
  <c r="T68" i="37"/>
  <c r="T149" i="33"/>
  <c r="T147" i="34"/>
  <c r="T152" i="33"/>
  <c r="T154" i="35"/>
  <c r="T153" i="33"/>
  <c r="T150" i="36"/>
  <c r="T149" i="36"/>
  <c r="T148" i="35"/>
  <c r="T151" i="36"/>
  <c r="T148" i="33"/>
  <c r="T153" i="37"/>
  <c r="T75" i="37"/>
  <c r="T71" i="37"/>
  <c r="R174" i="37"/>
  <c r="R176" i="37"/>
  <c r="R155" i="37"/>
  <c r="T146" i="37"/>
  <c r="R172" i="37"/>
  <c r="R177" i="37"/>
  <c r="R175" i="37"/>
  <c r="T154" i="37"/>
  <c r="T71" i="35"/>
  <c r="T151" i="35"/>
  <c r="T147" i="35"/>
  <c r="T153" i="35"/>
  <c r="T150" i="35"/>
  <c r="T154" i="33"/>
  <c r="R172" i="33"/>
  <c r="R179" i="33"/>
  <c r="T69" i="33"/>
  <c r="T154" i="34"/>
  <c r="T150" i="34"/>
  <c r="T152" i="34"/>
  <c r="T148" i="34"/>
  <c r="T151" i="34"/>
  <c r="R173" i="34"/>
  <c r="T71" i="34"/>
  <c r="T75" i="34"/>
  <c r="T70" i="34"/>
  <c r="T72" i="34"/>
  <c r="T152" i="35"/>
  <c r="T69" i="35"/>
  <c r="R178" i="33"/>
  <c r="BS54" i="26"/>
  <c r="BS53" i="26"/>
  <c r="BS52" i="26"/>
  <c r="BS51" i="26"/>
  <c r="BS50" i="26"/>
  <c r="BS49" i="26"/>
  <c r="BS48" i="26"/>
  <c r="BS47" i="26"/>
  <c r="BS46" i="26"/>
  <c r="BS45" i="26"/>
  <c r="BS44" i="26"/>
  <c r="BS43" i="26"/>
  <c r="BS42" i="26"/>
  <c r="BS41" i="26"/>
  <c r="BS40" i="26"/>
  <c r="BS39" i="26"/>
  <c r="BS38" i="26"/>
  <c r="BS37" i="26"/>
  <c r="BS36" i="26"/>
  <c r="BS35" i="26"/>
  <c r="BS34" i="26"/>
  <c r="BS33" i="26"/>
  <c r="BS32" i="26"/>
  <c r="BS31" i="26"/>
  <c r="BS30" i="26"/>
  <c r="BS29" i="26"/>
  <c r="BS28" i="26"/>
  <c r="BS27" i="26"/>
  <c r="BS26" i="26"/>
  <c r="BS25" i="26"/>
  <c r="BS24" i="26"/>
  <c r="BS23" i="26"/>
  <c r="BS22" i="26"/>
  <c r="BS21" i="26"/>
  <c r="BS20" i="26"/>
  <c r="BS19" i="26"/>
  <c r="BS18" i="26"/>
  <c r="BS17" i="26"/>
  <c r="T73" i="34"/>
  <c r="T72" i="36"/>
  <c r="R177" i="33"/>
  <c r="R174" i="33"/>
  <c r="T76" i="33"/>
  <c r="T73" i="33"/>
  <c r="T72" i="33"/>
  <c r="T147" i="36"/>
  <c r="R175" i="34"/>
  <c r="R173" i="33"/>
  <c r="R171" i="33"/>
  <c r="R175" i="33"/>
  <c r="T75" i="35"/>
  <c r="T73" i="35"/>
  <c r="T72" i="35"/>
  <c r="T69" i="34"/>
  <c r="R176" i="33"/>
  <c r="T154" i="36"/>
  <c r="T152" i="36"/>
  <c r="T153" i="36"/>
  <c r="T148" i="36"/>
  <c r="R171" i="36"/>
  <c r="T70" i="36"/>
  <c r="T76" i="36"/>
  <c r="T71" i="36"/>
  <c r="R178" i="34"/>
  <c r="R179" i="34"/>
  <c r="R176" i="35"/>
  <c r="R177" i="34"/>
  <c r="R178" i="35"/>
  <c r="R171" i="34"/>
  <c r="R174" i="34"/>
  <c r="R175" i="35"/>
  <c r="R178" i="36"/>
  <c r="R177" i="36"/>
  <c r="R172" i="36"/>
  <c r="T146" i="35"/>
  <c r="R155" i="35"/>
  <c r="R179" i="36"/>
  <c r="R175" i="36"/>
  <c r="R174" i="36"/>
  <c r="T68" i="35"/>
  <c r="R77" i="35"/>
  <c r="T74" i="36"/>
  <c r="T70" i="33"/>
  <c r="BO85" i="33"/>
  <c r="H177" i="33"/>
  <c r="R176" i="34"/>
  <c r="R172" i="34"/>
  <c r="R77" i="33"/>
  <c r="BO83" i="33" s="1"/>
  <c r="T68" i="33"/>
  <c r="T75" i="33"/>
  <c r="R173" i="35"/>
  <c r="R171" i="35"/>
  <c r="R179" i="35"/>
  <c r="BO85" i="34"/>
  <c r="H177" i="34"/>
  <c r="R176" i="36"/>
  <c r="T146" i="33"/>
  <c r="R155" i="33"/>
  <c r="T74" i="35"/>
  <c r="T71" i="33"/>
  <c r="R155" i="36"/>
  <c r="T146" i="36"/>
  <c r="T76" i="35"/>
  <c r="T74" i="33"/>
  <c r="T73" i="36"/>
  <c r="T70" i="35"/>
  <c r="T68" i="34"/>
  <c r="R77" i="34"/>
  <c r="BO83" i="34" s="1"/>
  <c r="R177" i="35"/>
  <c r="R174" i="35"/>
  <c r="R172" i="35"/>
  <c r="T76" i="34"/>
  <c r="T75" i="36"/>
  <c r="T74" i="34"/>
  <c r="T69" i="36"/>
  <c r="T146" i="34"/>
  <c r="R155" i="34"/>
  <c r="R173" i="36"/>
  <c r="R77" i="36"/>
  <c r="BO83" i="36" s="1"/>
  <c r="T68" i="36"/>
  <c r="T70" i="27"/>
  <c r="T154" i="27"/>
  <c r="BO85" i="30"/>
  <c r="T71" i="30"/>
  <c r="T76" i="30"/>
  <c r="T148" i="30"/>
  <c r="T151" i="27"/>
  <c r="T74" i="27"/>
  <c r="T147" i="30"/>
  <c r="T70" i="30"/>
  <c r="T153" i="30"/>
  <c r="T154" i="30"/>
  <c r="T72" i="30"/>
  <c r="R174" i="30"/>
  <c r="R175" i="30"/>
  <c r="R172" i="30"/>
  <c r="T76" i="27"/>
  <c r="T150" i="27"/>
  <c r="T75" i="27"/>
  <c r="T148" i="27"/>
  <c r="R178" i="27"/>
  <c r="T151" i="30"/>
  <c r="T152" i="30"/>
  <c r="T149" i="30"/>
  <c r="R176" i="30"/>
  <c r="R179" i="30"/>
  <c r="T72" i="27"/>
  <c r="R177" i="30"/>
  <c r="R175" i="27"/>
  <c r="T75" i="30"/>
  <c r="T150" i="30"/>
  <c r="R155" i="30"/>
  <c r="T146" i="30"/>
  <c r="T73" i="30"/>
  <c r="T69" i="30"/>
  <c r="T74" i="30"/>
  <c r="R178" i="30"/>
  <c r="R173" i="30"/>
  <c r="R77" i="30"/>
  <c r="T68" i="30"/>
  <c r="R171" i="27"/>
  <c r="R177" i="27"/>
  <c r="BO85" i="27"/>
  <c r="H177" i="27"/>
  <c r="T146" i="27"/>
  <c r="R155" i="27"/>
  <c r="T153" i="27"/>
  <c r="T149" i="27"/>
  <c r="T152" i="27"/>
  <c r="T71" i="27"/>
  <c r="R176" i="27"/>
  <c r="R173" i="27"/>
  <c r="T73" i="27"/>
  <c r="T147" i="27"/>
  <c r="R179" i="27"/>
  <c r="R174" i="27"/>
  <c r="R172" i="27"/>
  <c r="T68" i="27"/>
  <c r="R77" i="27"/>
  <c r="BO83" i="27" s="1"/>
  <c r="AF46" i="24"/>
  <c r="AF47" i="24"/>
  <c r="AF48" i="24"/>
  <c r="AF49" i="24"/>
  <c r="AF50" i="24"/>
  <c r="AF51" i="24"/>
  <c r="AF45" i="24"/>
  <c r="AF39" i="24"/>
  <c r="AF40" i="24"/>
  <c r="AF41" i="24"/>
  <c r="AF42" i="24"/>
  <c r="AF43" i="24"/>
  <c r="AF44" i="24"/>
  <c r="AF38" i="24"/>
  <c r="AF32" i="24"/>
  <c r="AF33" i="24"/>
  <c r="AF34" i="24"/>
  <c r="AF35" i="24"/>
  <c r="AF36" i="24"/>
  <c r="AF37" i="24"/>
  <c r="AF31" i="24"/>
  <c r="AF25" i="24"/>
  <c r="AF26" i="24"/>
  <c r="AF27" i="24"/>
  <c r="AF28" i="24"/>
  <c r="AF29" i="24"/>
  <c r="AF30" i="24"/>
  <c r="AF24" i="24"/>
  <c r="AF18" i="24"/>
  <c r="AF19" i="24"/>
  <c r="AF20" i="24"/>
  <c r="AF21" i="24"/>
  <c r="AF22" i="24"/>
  <c r="AF23" i="24"/>
  <c r="AF17" i="24"/>
  <c r="AF11" i="24"/>
  <c r="AF12" i="24"/>
  <c r="AF13" i="24"/>
  <c r="AF14" i="24"/>
  <c r="AF15" i="24"/>
  <c r="AF16" i="24"/>
  <c r="AF10" i="24"/>
  <c r="AF4" i="24"/>
  <c r="AF5" i="24"/>
  <c r="AF6" i="24"/>
  <c r="AF7" i="24"/>
  <c r="AF8" i="24"/>
  <c r="AF9" i="24"/>
  <c r="AF3" i="24"/>
  <c r="T77" i="50" l="1"/>
  <c r="BO84" i="50" s="1"/>
  <c r="R180" i="50"/>
  <c r="T155" i="50"/>
  <c r="T173" i="50"/>
  <c r="T174" i="50"/>
  <c r="T176" i="50"/>
  <c r="T172" i="50"/>
  <c r="T178" i="50"/>
  <c r="T179" i="50"/>
  <c r="T177" i="50"/>
  <c r="T175" i="50"/>
  <c r="T171" i="50"/>
  <c r="I177" i="50"/>
  <c r="I177" i="48"/>
  <c r="T77" i="49"/>
  <c r="BO84" i="49" s="1"/>
  <c r="T176" i="49"/>
  <c r="T175" i="49"/>
  <c r="T173" i="49"/>
  <c r="T178" i="49"/>
  <c r="T172" i="49"/>
  <c r="T179" i="49"/>
  <c r="T171" i="49"/>
  <c r="T174" i="49"/>
  <c r="T177" i="49"/>
  <c r="T155" i="49"/>
  <c r="R180" i="49"/>
  <c r="T77" i="48"/>
  <c r="BO84" i="48" s="1"/>
  <c r="T175" i="48"/>
  <c r="T174" i="48"/>
  <c r="T176" i="48"/>
  <c r="T179" i="48"/>
  <c r="T178" i="48"/>
  <c r="T177" i="48"/>
  <c r="T173" i="48"/>
  <c r="T172" i="48"/>
  <c r="T171" i="48"/>
  <c r="R180" i="48"/>
  <c r="T155" i="48"/>
  <c r="T155" i="47"/>
  <c r="R180" i="47"/>
  <c r="T77" i="47"/>
  <c r="BO84" i="47" s="1"/>
  <c r="T171" i="47"/>
  <c r="T175" i="47"/>
  <c r="T178" i="47"/>
  <c r="T173" i="47"/>
  <c r="T174" i="47"/>
  <c r="T177" i="47"/>
  <c r="T179" i="47"/>
  <c r="T172" i="47"/>
  <c r="T176" i="47"/>
  <c r="I177" i="30"/>
  <c r="R180" i="30"/>
  <c r="R180" i="39"/>
  <c r="T155" i="39"/>
  <c r="T176" i="39"/>
  <c r="T174" i="39"/>
  <c r="T175" i="39"/>
  <c r="T77" i="39"/>
  <c r="BO84" i="39" s="1"/>
  <c r="T172" i="39"/>
  <c r="T179" i="39"/>
  <c r="T178" i="39"/>
  <c r="T171" i="39"/>
  <c r="T173" i="39"/>
  <c r="T177" i="39"/>
  <c r="T155" i="38"/>
  <c r="T77" i="38"/>
  <c r="BO84" i="38" s="1"/>
  <c r="T175" i="38"/>
  <c r="T178" i="38"/>
  <c r="T173" i="38"/>
  <c r="T177" i="38"/>
  <c r="T176" i="38"/>
  <c r="T179" i="38"/>
  <c r="T172" i="38"/>
  <c r="T171" i="38"/>
  <c r="T174" i="38"/>
  <c r="R180" i="38"/>
  <c r="T155" i="33"/>
  <c r="T77" i="37"/>
  <c r="T176" i="37"/>
  <c r="T171" i="37"/>
  <c r="T175" i="37"/>
  <c r="T179" i="37"/>
  <c r="T177" i="37"/>
  <c r="T173" i="37"/>
  <c r="T178" i="37"/>
  <c r="T172" i="37"/>
  <c r="T174" i="37"/>
  <c r="BO83" i="37"/>
  <c r="T155" i="37"/>
  <c r="R180" i="37"/>
  <c r="R180" i="33"/>
  <c r="T155" i="35"/>
  <c r="R180" i="34"/>
  <c r="T155" i="34"/>
  <c r="R180" i="35"/>
  <c r="T155" i="36"/>
  <c r="R180" i="36"/>
  <c r="T174" i="34"/>
  <c r="T177" i="34"/>
  <c r="T173" i="34"/>
  <c r="T175" i="34"/>
  <c r="T171" i="34"/>
  <c r="T172" i="34"/>
  <c r="T77" i="34"/>
  <c r="T176" i="34"/>
  <c r="T179" i="34"/>
  <c r="T178" i="34"/>
  <c r="BO83" i="35"/>
  <c r="I177" i="35"/>
  <c r="I177" i="36"/>
  <c r="T77" i="33"/>
  <c r="T174" i="33"/>
  <c r="T178" i="33"/>
  <c r="T176" i="33"/>
  <c r="T171" i="33"/>
  <c r="T179" i="33"/>
  <c r="T177" i="33"/>
  <c r="T175" i="33"/>
  <c r="T172" i="33"/>
  <c r="T173" i="33"/>
  <c r="T178" i="35"/>
  <c r="T179" i="35"/>
  <c r="T175" i="35"/>
  <c r="T77" i="35"/>
  <c r="T174" i="35"/>
  <c r="T177" i="35"/>
  <c r="T176" i="35"/>
  <c r="T172" i="35"/>
  <c r="T171" i="35"/>
  <c r="T173" i="35"/>
  <c r="T77" i="36"/>
  <c r="T176" i="36"/>
  <c r="T172" i="36"/>
  <c r="T173" i="36"/>
  <c r="T178" i="36"/>
  <c r="T175" i="36"/>
  <c r="T171" i="36"/>
  <c r="T174" i="36"/>
  <c r="T177" i="36"/>
  <c r="T179" i="36"/>
  <c r="T77" i="30"/>
  <c r="T155" i="30"/>
  <c r="BO83" i="30"/>
  <c r="T172" i="30"/>
  <c r="T174" i="30"/>
  <c r="T178" i="30"/>
  <c r="T177" i="30"/>
  <c r="T173" i="30"/>
  <c r="T179" i="30"/>
  <c r="T171" i="30"/>
  <c r="T175" i="30"/>
  <c r="T176" i="30"/>
  <c r="T77" i="27"/>
  <c r="BO84" i="27" s="1"/>
  <c r="T177" i="27"/>
  <c r="T174" i="27"/>
  <c r="T176" i="27"/>
  <c r="T179" i="27"/>
  <c r="T172" i="27"/>
  <c r="T155" i="27"/>
  <c r="T178" i="27"/>
  <c r="T175" i="27"/>
  <c r="T171" i="27"/>
  <c r="T173" i="27"/>
  <c r="R180" i="27"/>
  <c r="R38" i="24"/>
  <c r="D38" i="24" s="1"/>
  <c r="R39" i="24"/>
  <c r="R40" i="24"/>
  <c r="R41" i="24"/>
  <c r="T180" i="50" l="1"/>
  <c r="J177" i="50"/>
  <c r="J177" i="49"/>
  <c r="T180" i="49"/>
  <c r="T180" i="48"/>
  <c r="J177" i="48"/>
  <c r="T180" i="47"/>
  <c r="J177" i="47"/>
  <c r="J177" i="38"/>
  <c r="T180" i="39"/>
  <c r="J177" i="39"/>
  <c r="T180" i="38"/>
  <c r="T180" i="36"/>
  <c r="T180" i="37"/>
  <c r="BO84" i="37"/>
  <c r="J177" i="37"/>
  <c r="T180" i="33"/>
  <c r="T180" i="34"/>
  <c r="T180" i="35"/>
  <c r="BO84" i="33"/>
  <c r="J177" i="33"/>
  <c r="BO84" i="36"/>
  <c r="J177" i="36"/>
  <c r="BO84" i="34"/>
  <c r="J177" i="34"/>
  <c r="BO84" i="35"/>
  <c r="J177" i="35"/>
  <c r="J177" i="27"/>
  <c r="BO84" i="30"/>
  <c r="J177" i="30"/>
  <c r="T180" i="27"/>
  <c r="T180" i="30"/>
  <c r="I24" i="24" l="1"/>
  <c r="U29" i="24" l="1"/>
  <c r="Y29" i="24" s="1"/>
  <c r="V29" i="24"/>
  <c r="W29" i="24"/>
  <c r="U30" i="24"/>
  <c r="Y30" i="24" s="1"/>
  <c r="V30" i="24"/>
  <c r="W30" i="24"/>
  <c r="T29" i="24"/>
  <c r="T30" i="24"/>
  <c r="T14" i="24"/>
  <c r="U14" i="24"/>
  <c r="Y14" i="24" s="1"/>
  <c r="V14" i="24"/>
  <c r="W14" i="24"/>
  <c r="AC31" i="24" l="1"/>
  <c r="AD31" i="24"/>
  <c r="AB29" i="24"/>
  <c r="AB30" i="24"/>
  <c r="U38" i="24" l="1"/>
  <c r="U39" i="24"/>
  <c r="U40" i="24"/>
  <c r="U41" i="24"/>
  <c r="T38" i="24"/>
  <c r="V38" i="24"/>
  <c r="W38" i="24"/>
  <c r="X38" i="24"/>
  <c r="T39" i="24"/>
  <c r="V39" i="24"/>
  <c r="W39" i="24"/>
  <c r="X39" i="24"/>
  <c r="T40" i="24"/>
  <c r="V40" i="24"/>
  <c r="W40" i="24"/>
  <c r="X40" i="24"/>
  <c r="T41" i="24"/>
  <c r="V41" i="24"/>
  <c r="W41" i="24"/>
  <c r="X41" i="24"/>
  <c r="BG29" i="24"/>
  <c r="BH29" i="24"/>
  <c r="BG30" i="24"/>
  <c r="BH30" i="24"/>
  <c r="BD29" i="24"/>
  <c r="BE29" i="24"/>
  <c r="BF29" i="24"/>
  <c r="BD30" i="24"/>
  <c r="BE30" i="24"/>
  <c r="BF30" i="24"/>
  <c r="BA29" i="24"/>
  <c r="BB29" i="24"/>
  <c r="BC29" i="24"/>
  <c r="BA30" i="24"/>
  <c r="BB30" i="24"/>
  <c r="BC30" i="24"/>
  <c r="AU29" i="24"/>
  <c r="AV29" i="24"/>
  <c r="AW29" i="24"/>
  <c r="AX29" i="24"/>
  <c r="AY29" i="24"/>
  <c r="AZ29" i="24"/>
  <c r="AU30" i="24"/>
  <c r="AV30" i="24"/>
  <c r="AW30" i="24"/>
  <c r="AX30" i="24"/>
  <c r="AY30" i="24"/>
  <c r="AZ30" i="24"/>
  <c r="AR29" i="24"/>
  <c r="AS29" i="24"/>
  <c r="AT29" i="24"/>
  <c r="AR30" i="24"/>
  <c r="AS30" i="24"/>
  <c r="AT30" i="24"/>
  <c r="AQ29" i="24"/>
  <c r="AQ30" i="24"/>
  <c r="AP29" i="24"/>
  <c r="AP30" i="24"/>
  <c r="AO29" i="24"/>
  <c r="AO30" i="24"/>
  <c r="J8" i="24"/>
  <c r="L29" i="24" l="1"/>
  <c r="M29" i="24"/>
  <c r="N29" i="24"/>
  <c r="O29" i="24"/>
  <c r="P29" i="24"/>
  <c r="L30" i="24"/>
  <c r="M30" i="24"/>
  <c r="N30" i="24"/>
  <c r="O30" i="24"/>
  <c r="P30" i="24"/>
  <c r="AP15" i="26" l="1"/>
  <c r="BF15" i="26"/>
  <c r="AP13" i="26"/>
  <c r="BF13" i="26"/>
  <c r="AP14" i="26"/>
  <c r="BF14" i="26"/>
  <c r="BF9" i="26"/>
  <c r="AP9" i="26"/>
  <c r="AY8" i="26"/>
  <c r="AS8" i="26"/>
  <c r="AV8" i="26"/>
  <c r="AP8" i="26"/>
  <c r="AP10" i="26"/>
  <c r="BF10" i="26"/>
  <c r="AP12" i="26"/>
  <c r="BF12" i="26"/>
  <c r="BF11" i="26"/>
  <c r="AP11" i="26"/>
  <c r="D31" i="24"/>
  <c r="K25" i="24"/>
  <c r="R25" i="24" s="1"/>
  <c r="K26" i="24"/>
  <c r="R26" i="24" s="1"/>
  <c r="K27" i="24"/>
  <c r="R27" i="24" s="1"/>
  <c r="K28" i="24"/>
  <c r="R28" i="24" s="1"/>
  <c r="K29" i="24"/>
  <c r="R29" i="24" s="1"/>
  <c r="K30" i="24"/>
  <c r="R30" i="24" s="1"/>
  <c r="K24" i="24"/>
  <c r="R24" i="24" s="1"/>
  <c r="I27" i="24"/>
  <c r="BH13" i="26" l="1"/>
  <c r="BH15" i="26"/>
  <c r="BH14" i="26"/>
  <c r="BH10" i="26"/>
  <c r="BH8" i="26"/>
  <c r="BH9" i="26"/>
  <c r="BH12" i="26"/>
  <c r="BH11" i="26"/>
  <c r="AO27" i="24"/>
  <c r="AP27" i="24"/>
  <c r="R31" i="24"/>
  <c r="I25" i="24"/>
  <c r="I26" i="24"/>
  <c r="I28" i="24"/>
  <c r="I29" i="24"/>
  <c r="I30" i="24"/>
  <c r="H25" i="24"/>
  <c r="H26" i="24"/>
  <c r="H27" i="24"/>
  <c r="H28" i="24"/>
  <c r="H29" i="24"/>
  <c r="H30" i="24"/>
  <c r="H24" i="24"/>
  <c r="AB24" i="38" l="1"/>
  <c r="AB26" i="49"/>
  <c r="AB31" i="49" s="1"/>
  <c r="I177" i="49" s="1"/>
  <c r="BQ16" i="26"/>
  <c r="BP16" i="26"/>
  <c r="BO16" i="26"/>
  <c r="BP15" i="26"/>
  <c r="L26" i="47"/>
  <c r="T26" i="47" s="1"/>
  <c r="BO15" i="26"/>
  <c r="P24" i="47"/>
  <c r="X24" i="47" s="1"/>
  <c r="BN15" i="26"/>
  <c r="O24" i="47"/>
  <c r="W24" i="47" s="1"/>
  <c r="BR14" i="26"/>
  <c r="N24" i="47"/>
  <c r="V24" i="47" s="1"/>
  <c r="N26" i="47"/>
  <c r="V26" i="47" s="1"/>
  <c r="BQ14" i="26"/>
  <c r="M24" i="47"/>
  <c r="U24" i="47" s="1"/>
  <c r="Y24" i="47" s="1"/>
  <c r="BP14" i="26"/>
  <c r="L24" i="47"/>
  <c r="T24" i="47" s="1"/>
  <c r="BO14" i="26"/>
  <c r="BN14" i="26"/>
  <c r="BR13" i="26"/>
  <c r="BQ15" i="26"/>
  <c r="BQ13" i="26"/>
  <c r="BP13" i="26"/>
  <c r="BO13" i="26"/>
  <c r="BN13" i="26"/>
  <c r="P26" i="47"/>
  <c r="X26" i="47" s="1"/>
  <c r="BR15" i="26"/>
  <c r="M26" i="47"/>
  <c r="U26" i="47" s="1"/>
  <c r="Y26" i="47" s="1"/>
  <c r="BN16" i="26"/>
  <c r="O26" i="47"/>
  <c r="W26" i="47" s="1"/>
  <c r="AB29" i="38"/>
  <c r="AB28" i="38"/>
  <c r="AB28" i="39"/>
  <c r="AB26" i="47"/>
  <c r="AB24" i="37"/>
  <c r="AB24" i="47"/>
  <c r="AB27" i="38"/>
  <c r="AB27" i="37"/>
  <c r="AB24" i="39"/>
  <c r="AB28" i="37"/>
  <c r="AB29" i="37"/>
  <c r="AB26" i="33"/>
  <c r="P29" i="38"/>
  <c r="X29" i="38" s="1"/>
  <c r="BH29" i="38"/>
  <c r="BG29" i="38"/>
  <c r="L29" i="38"/>
  <c r="T29" i="38" s="1"/>
  <c r="AS29" i="38"/>
  <c r="AQ29" i="38"/>
  <c r="AT29" i="38"/>
  <c r="AR29" i="38"/>
  <c r="O29" i="38"/>
  <c r="W29" i="38" s="1"/>
  <c r="BF29" i="38"/>
  <c r="BD29" i="38"/>
  <c r="BE29" i="38"/>
  <c r="N29" i="38"/>
  <c r="V29" i="38" s="1"/>
  <c r="BB29" i="38"/>
  <c r="BA29" i="38"/>
  <c r="BC29" i="38"/>
  <c r="M29" i="38"/>
  <c r="U29" i="38" s="1"/>
  <c r="Y29" i="38" s="1"/>
  <c r="AW29" i="38"/>
  <c r="AV29" i="38"/>
  <c r="AX29" i="38"/>
  <c r="AY29" i="38"/>
  <c r="AU29" i="38"/>
  <c r="AZ29" i="38"/>
  <c r="M26" i="33"/>
  <c r="U26" i="33" s="1"/>
  <c r="Y26" i="33" s="1"/>
  <c r="L26" i="33"/>
  <c r="T26" i="33" s="1"/>
  <c r="P26" i="33"/>
  <c r="X26" i="33" s="1"/>
  <c r="O26" i="33"/>
  <c r="W26" i="33" s="1"/>
  <c r="N26" i="33"/>
  <c r="V26" i="33" s="1"/>
  <c r="N29" i="37"/>
  <c r="V29" i="37" s="1"/>
  <c r="BC29" i="37"/>
  <c r="BB29" i="37"/>
  <c r="BA29" i="37"/>
  <c r="M29" i="37"/>
  <c r="U29" i="37" s="1"/>
  <c r="Y29" i="37" s="1"/>
  <c r="AZ29" i="37"/>
  <c r="AW29" i="37"/>
  <c r="AX29" i="37"/>
  <c r="AU29" i="37"/>
  <c r="AY29" i="37"/>
  <c r="AV29" i="37"/>
  <c r="P29" i="37"/>
  <c r="X29" i="37" s="1"/>
  <c r="BH29" i="37"/>
  <c r="BG29" i="37"/>
  <c r="L29" i="37"/>
  <c r="T29" i="37" s="1"/>
  <c r="AQ29" i="37"/>
  <c r="AS29" i="37"/>
  <c r="AT29" i="37"/>
  <c r="AR29" i="37"/>
  <c r="O29" i="37"/>
  <c r="W29" i="37" s="1"/>
  <c r="BD29" i="37"/>
  <c r="BE29" i="37"/>
  <c r="BF29" i="37"/>
  <c r="BP10" i="26"/>
  <c r="L24" i="39"/>
  <c r="T24" i="39" s="1"/>
  <c r="O28" i="38"/>
  <c r="W28" i="38" s="1"/>
  <c r="BR11" i="26"/>
  <c r="BN11" i="26"/>
  <c r="BO10" i="26"/>
  <c r="N28" i="39"/>
  <c r="V28" i="39" s="1"/>
  <c r="BC28" i="39"/>
  <c r="BA28" i="39"/>
  <c r="BB28" i="39"/>
  <c r="O24" i="39"/>
  <c r="W24" i="39" s="1"/>
  <c r="P28" i="38"/>
  <c r="X28" i="38" s="1"/>
  <c r="BO11" i="26"/>
  <c r="P24" i="39"/>
  <c r="X24" i="39" s="1"/>
  <c r="N28" i="38"/>
  <c r="V28" i="38" s="1"/>
  <c r="BQ11" i="26"/>
  <c r="BR10" i="26"/>
  <c r="BN10" i="26"/>
  <c r="M28" i="39"/>
  <c r="U28" i="39" s="1"/>
  <c r="Y28" i="39" s="1"/>
  <c r="AX28" i="39"/>
  <c r="AW28" i="39"/>
  <c r="AZ28" i="39"/>
  <c r="AU28" i="39"/>
  <c r="AV28" i="39"/>
  <c r="AY28" i="39"/>
  <c r="N24" i="39"/>
  <c r="V24" i="39" s="1"/>
  <c r="L28" i="38"/>
  <c r="T28" i="38" s="1"/>
  <c r="BD28" i="39"/>
  <c r="O28" i="39"/>
  <c r="W28" i="39" s="1"/>
  <c r="BE28" i="39"/>
  <c r="BF28" i="39"/>
  <c r="M28" i="38"/>
  <c r="U28" i="38" s="1"/>
  <c r="Y28" i="38" s="1"/>
  <c r="BP11" i="26"/>
  <c r="BQ10" i="26"/>
  <c r="P28" i="39"/>
  <c r="X28" i="39" s="1"/>
  <c r="BH28" i="39"/>
  <c r="BG28" i="39"/>
  <c r="L28" i="39"/>
  <c r="T28" i="39" s="1"/>
  <c r="AR28" i="39"/>
  <c r="AS28" i="39"/>
  <c r="AQ28" i="39"/>
  <c r="AT28" i="39"/>
  <c r="M24" i="39"/>
  <c r="U24" i="39" s="1"/>
  <c r="O27" i="38"/>
  <c r="W27" i="38" s="1"/>
  <c r="BF28" i="38"/>
  <c r="BE28" i="38"/>
  <c r="BD28" i="38"/>
  <c r="P24" i="38"/>
  <c r="X24" i="38" s="1"/>
  <c r="BH27" i="38"/>
  <c r="BG27" i="38"/>
  <c r="N27" i="38"/>
  <c r="V27" i="38" s="1"/>
  <c r="BA28" i="38"/>
  <c r="BC28" i="38"/>
  <c r="BB28" i="38"/>
  <c r="O24" i="38"/>
  <c r="W24" i="38" s="1"/>
  <c r="BE27" i="38"/>
  <c r="BD27" i="38"/>
  <c r="BF27" i="38"/>
  <c r="L24" i="38"/>
  <c r="T24" i="38" s="1"/>
  <c r="AQ27" i="38"/>
  <c r="AR27" i="38"/>
  <c r="AS27" i="38"/>
  <c r="AT27" i="38"/>
  <c r="M27" i="38"/>
  <c r="U27" i="38" s="1"/>
  <c r="Y27" i="38" s="1"/>
  <c r="AU28" i="38"/>
  <c r="AV28" i="38"/>
  <c r="AZ28" i="38"/>
  <c r="AW28" i="38"/>
  <c r="AX28" i="38"/>
  <c r="AY28" i="38"/>
  <c r="N24" i="38"/>
  <c r="V24" i="38" s="1"/>
  <c r="BA27" i="38"/>
  <c r="BC27" i="38"/>
  <c r="BB27" i="38"/>
  <c r="P27" i="38"/>
  <c r="X27" i="38" s="1"/>
  <c r="BH28" i="38"/>
  <c r="BG28" i="38"/>
  <c r="L27" i="38"/>
  <c r="T27" i="38" s="1"/>
  <c r="AR28" i="38"/>
  <c r="AT28" i="38"/>
  <c r="AS28" i="38"/>
  <c r="AQ28" i="38"/>
  <c r="M24" i="38"/>
  <c r="U24" i="38" s="1"/>
  <c r="AV27" i="38"/>
  <c r="AW27" i="38"/>
  <c r="AY27" i="38"/>
  <c r="AZ27" i="38"/>
  <c r="AU27" i="38"/>
  <c r="AX27" i="38"/>
  <c r="BQ12" i="26"/>
  <c r="O28" i="37"/>
  <c r="W28" i="37" s="1"/>
  <c r="BA28" i="37"/>
  <c r="BB28" i="37"/>
  <c r="BC28" i="37"/>
  <c r="BN12" i="26"/>
  <c r="L28" i="37"/>
  <c r="T28" i="37" s="1"/>
  <c r="BP12" i="26"/>
  <c r="N28" i="37"/>
  <c r="V28" i="37" s="1"/>
  <c r="AX28" i="37"/>
  <c r="AU28" i="37"/>
  <c r="AW28" i="37"/>
  <c r="AY28" i="37"/>
  <c r="AV28" i="37"/>
  <c r="AZ28" i="37"/>
  <c r="P28" i="37"/>
  <c r="X28" i="37" s="1"/>
  <c r="BR12" i="26"/>
  <c r="BE28" i="37"/>
  <c r="BF28" i="37"/>
  <c r="BD28" i="37"/>
  <c r="BO12" i="26"/>
  <c r="M28" i="37"/>
  <c r="U28" i="37" s="1"/>
  <c r="Y28" i="37" s="1"/>
  <c r="P27" i="37"/>
  <c r="X27" i="37" s="1"/>
  <c r="BH28" i="37"/>
  <c r="BG28" i="37"/>
  <c r="BR9" i="26"/>
  <c r="AR28" i="37"/>
  <c r="AS28" i="37"/>
  <c r="AT28" i="37"/>
  <c r="AQ28" i="37"/>
  <c r="BN8" i="26"/>
  <c r="L24" i="37"/>
  <c r="T24" i="37" s="1"/>
  <c r="AS27" i="37"/>
  <c r="AT27" i="37"/>
  <c r="AR27" i="37"/>
  <c r="AQ27" i="37"/>
  <c r="BP9" i="26"/>
  <c r="N27" i="37"/>
  <c r="V27" i="37" s="1"/>
  <c r="BQ8" i="26"/>
  <c r="O24" i="37"/>
  <c r="W24" i="37" s="1"/>
  <c r="BE27" i="37"/>
  <c r="BD27" i="37"/>
  <c r="BF27" i="37"/>
  <c r="BQ9" i="26"/>
  <c r="O27" i="37"/>
  <c r="W27" i="37" s="1"/>
  <c r="BO9" i="26"/>
  <c r="M27" i="37"/>
  <c r="U27" i="37" s="1"/>
  <c r="Y27" i="37" s="1"/>
  <c r="BP8" i="26"/>
  <c r="N24" i="37"/>
  <c r="V24" i="37" s="1"/>
  <c r="BC27" i="37"/>
  <c r="BA27" i="37"/>
  <c r="BB27" i="37"/>
  <c r="BR8" i="26"/>
  <c r="P24" i="37"/>
  <c r="X24" i="37" s="1"/>
  <c r="BH27" i="37"/>
  <c r="BG27" i="37"/>
  <c r="BN9" i="26"/>
  <c r="L27" i="37"/>
  <c r="T27" i="37" s="1"/>
  <c r="BO8" i="26"/>
  <c r="M24" i="37"/>
  <c r="U24" i="37" s="1"/>
  <c r="AZ27" i="37"/>
  <c r="AY27" i="37"/>
  <c r="AX27" i="37"/>
  <c r="AW27" i="37"/>
  <c r="AU27" i="37"/>
  <c r="AV27" i="37"/>
  <c r="BE28" i="34"/>
  <c r="BD28" i="34"/>
  <c r="BD28" i="33"/>
  <c r="BF28" i="33"/>
  <c r="BF28" i="34"/>
  <c r="BE28" i="33"/>
  <c r="BA28" i="34"/>
  <c r="BB28" i="34"/>
  <c r="BC28" i="34"/>
  <c r="BA28" i="33"/>
  <c r="BC28" i="33"/>
  <c r="BB28" i="33"/>
  <c r="AZ28" i="34"/>
  <c r="AW28" i="34"/>
  <c r="AZ28" i="33"/>
  <c r="AY28" i="34"/>
  <c r="AU28" i="34"/>
  <c r="AY28" i="33"/>
  <c r="AU28" i="33"/>
  <c r="AV28" i="33"/>
  <c r="AW28" i="33"/>
  <c r="AV28" i="34"/>
  <c r="AX28" i="33"/>
  <c r="AX28" i="34"/>
  <c r="AR27" i="33"/>
  <c r="AS27" i="34"/>
  <c r="AS27" i="33"/>
  <c r="AT27" i="33"/>
  <c r="AR27" i="34"/>
  <c r="AT27" i="34"/>
  <c r="AQ27" i="33"/>
  <c r="AQ27" i="34"/>
  <c r="AT28" i="34"/>
  <c r="AS28" i="34"/>
  <c r="AQ28" i="34"/>
  <c r="AQ28" i="33"/>
  <c r="AS28" i="33"/>
  <c r="AR28" i="34"/>
  <c r="AR28" i="33"/>
  <c r="AT28" i="33"/>
  <c r="BH27" i="34"/>
  <c r="BG27" i="34"/>
  <c r="BH27" i="33"/>
  <c r="BG27" i="33"/>
  <c r="BE27" i="34"/>
  <c r="BD27" i="33"/>
  <c r="BF27" i="33"/>
  <c r="BE27" i="33"/>
  <c r="BF27" i="34"/>
  <c r="BD27" i="34"/>
  <c r="BC27" i="33"/>
  <c r="BB27" i="34"/>
  <c r="BC27" i="34"/>
  <c r="BA27" i="34"/>
  <c r="BA27" i="33"/>
  <c r="BB27" i="33"/>
  <c r="BG28" i="34"/>
  <c r="BG28" i="33"/>
  <c r="BH28" i="34"/>
  <c r="BH28" i="33"/>
  <c r="AY27" i="34"/>
  <c r="AV27" i="33"/>
  <c r="AX27" i="33"/>
  <c r="AW27" i="34"/>
  <c r="AU27" i="33"/>
  <c r="AY27" i="33"/>
  <c r="AX27" i="34"/>
  <c r="AV27" i="34"/>
  <c r="AU27" i="34"/>
  <c r="AZ27" i="34"/>
  <c r="AW27" i="33"/>
  <c r="AZ27" i="33"/>
  <c r="BE28" i="27"/>
  <c r="BD28" i="27"/>
  <c r="BF28" i="27"/>
  <c r="BH27" i="24"/>
  <c r="BH27" i="27"/>
  <c r="BH31" i="27" s="1"/>
  <c r="BG27" i="27"/>
  <c r="BG31" i="27" s="1"/>
  <c r="AQ27" i="24"/>
  <c r="AR27" i="27"/>
  <c r="AS27" i="27"/>
  <c r="AQ27" i="27"/>
  <c r="AQ31" i="27" s="1"/>
  <c r="AT27" i="27"/>
  <c r="BA28" i="27"/>
  <c r="BC28" i="27"/>
  <c r="BB28" i="27"/>
  <c r="BD27" i="24"/>
  <c r="BF27" i="27"/>
  <c r="BE27" i="27"/>
  <c r="BD27" i="27"/>
  <c r="BD31" i="27" s="1"/>
  <c r="AY28" i="27"/>
  <c r="AZ28" i="27"/>
  <c r="AV28" i="27"/>
  <c r="AX28" i="27"/>
  <c r="AW28" i="27"/>
  <c r="AU28" i="27"/>
  <c r="BC27" i="24"/>
  <c r="BC27" i="27"/>
  <c r="BB27" i="27"/>
  <c r="BA27" i="27"/>
  <c r="BA31" i="27" s="1"/>
  <c r="BG28" i="27"/>
  <c r="BH28" i="27"/>
  <c r="AR28" i="27"/>
  <c r="AT28" i="27"/>
  <c r="AQ28" i="27"/>
  <c r="AS28" i="27"/>
  <c r="AV27" i="24"/>
  <c r="AU27" i="27"/>
  <c r="AU31" i="27" s="1"/>
  <c r="AY27" i="27"/>
  <c r="AX27" i="27"/>
  <c r="AV27" i="27"/>
  <c r="AZ27" i="27"/>
  <c r="AW27" i="27"/>
  <c r="BB27" i="24"/>
  <c r="BG27" i="24"/>
  <c r="AW27" i="24"/>
  <c r="AY27" i="24"/>
  <c r="AS27" i="24"/>
  <c r="BE27" i="24"/>
  <c r="AR27" i="24"/>
  <c r="BF27" i="24"/>
  <c r="BA27" i="24"/>
  <c r="AZ27" i="24"/>
  <c r="AU27" i="24"/>
  <c r="AX27" i="24"/>
  <c r="AT27" i="24"/>
  <c r="BE28" i="24"/>
  <c r="BA28" i="24"/>
  <c r="AX28" i="24"/>
  <c r="AS28" i="24"/>
  <c r="AQ28" i="24"/>
  <c r="AR28" i="24"/>
  <c r="BG28" i="24"/>
  <c r="BF28" i="24"/>
  <c r="BB28" i="24"/>
  <c r="AU28" i="24"/>
  <c r="AY28" i="24"/>
  <c r="AT28" i="24"/>
  <c r="AP28" i="24"/>
  <c r="BH28" i="24"/>
  <c r="BC28" i="24"/>
  <c r="AV28" i="24"/>
  <c r="AZ28" i="24"/>
  <c r="AO28" i="24"/>
  <c r="BD28" i="24"/>
  <c r="AW28" i="24"/>
  <c r="AO24" i="24"/>
  <c r="AP24" i="24"/>
  <c r="AP26" i="24"/>
  <c r="AO26" i="24"/>
  <c r="AO25" i="24"/>
  <c r="AP25" i="24"/>
  <c r="AB31" i="39" l="1"/>
  <c r="I177" i="39" s="1"/>
  <c r="V31" i="47"/>
  <c r="V32" i="47" s="1"/>
  <c r="BS16" i="26"/>
  <c r="Y31" i="47"/>
  <c r="Y32" i="47" s="1"/>
  <c r="G6" i="47" s="1"/>
  <c r="T31" i="47"/>
  <c r="T32" i="47" s="1"/>
  <c r="AB31" i="47"/>
  <c r="I177" i="47" s="1"/>
  <c r="W31" i="47"/>
  <c r="W32" i="47" s="1"/>
  <c r="AB31" i="38"/>
  <c r="I177" i="38" s="1"/>
  <c r="X31" i="47"/>
  <c r="X32" i="47" s="1"/>
  <c r="U31" i="47"/>
  <c r="BS15" i="26"/>
  <c r="BS14" i="26"/>
  <c r="BS13" i="26"/>
  <c r="AB31" i="37"/>
  <c r="I177" i="37" s="1"/>
  <c r="AX31" i="27"/>
  <c r="BE31" i="27"/>
  <c r="AZ31" i="27"/>
  <c r="V31" i="38"/>
  <c r="V32" i="38" s="1"/>
  <c r="T31" i="38"/>
  <c r="T32" i="38" s="1"/>
  <c r="W31" i="38"/>
  <c r="W32" i="38" s="1"/>
  <c r="V31" i="39"/>
  <c r="V32" i="39" s="1"/>
  <c r="X31" i="39"/>
  <c r="X32" i="39" s="1"/>
  <c r="BS9" i="26"/>
  <c r="BS12" i="26"/>
  <c r="U31" i="39"/>
  <c r="U32" i="39" s="1"/>
  <c r="Y24" i="39"/>
  <c r="Y31" i="39" s="1"/>
  <c r="Y32" i="39" s="1"/>
  <c r="G6" i="39" s="1"/>
  <c r="BS10" i="26"/>
  <c r="T31" i="39"/>
  <c r="T32" i="39" s="1"/>
  <c r="BS11" i="26"/>
  <c r="W31" i="39"/>
  <c r="W32" i="39" s="1"/>
  <c r="BS8" i="26"/>
  <c r="Y24" i="38"/>
  <c r="Y31" i="38" s="1"/>
  <c r="Y32" i="38" s="1"/>
  <c r="G6" i="38" s="1"/>
  <c r="U31" i="38"/>
  <c r="U32" i="38" s="1"/>
  <c r="X31" i="38"/>
  <c r="X32" i="38" s="1"/>
  <c r="X31" i="37"/>
  <c r="X32" i="37" s="1"/>
  <c r="W31" i="37"/>
  <c r="W32" i="37" s="1"/>
  <c r="V31" i="37"/>
  <c r="V32" i="37" s="1"/>
  <c r="Y24" i="37"/>
  <c r="Y31" i="37" s="1"/>
  <c r="Y32" i="37" s="1"/>
  <c r="G6" i="37" s="1"/>
  <c r="U31" i="37"/>
  <c r="U32" i="37" s="1"/>
  <c r="T31" i="37"/>
  <c r="T32" i="37" s="1"/>
  <c r="AV31" i="27"/>
  <c r="BC31" i="27"/>
  <c r="BB31" i="27"/>
  <c r="AW31" i="27"/>
  <c r="AY31" i="27"/>
  <c r="BF31" i="27"/>
  <c r="AR31" i="27"/>
  <c r="AT31" i="27"/>
  <c r="AS31" i="27"/>
  <c r="AP31" i="24"/>
  <c r="AO31" i="24"/>
  <c r="R36" i="24" l="1"/>
  <c r="D36" i="24" s="1"/>
  <c r="W36" i="24"/>
  <c r="V36" i="24"/>
  <c r="T36" i="24"/>
  <c r="X36" i="24"/>
  <c r="BO90" i="24"/>
  <c r="T105" i="24"/>
  <c r="S105" i="24"/>
  <c r="R105" i="24"/>
  <c r="P105" i="24"/>
  <c r="T104" i="24"/>
  <c r="S104" i="24"/>
  <c r="R104" i="24"/>
  <c r="P104" i="24"/>
  <c r="T103" i="24"/>
  <c r="S103" i="24"/>
  <c r="R103" i="24"/>
  <c r="P103" i="24"/>
  <c r="T102" i="24"/>
  <c r="S102" i="24"/>
  <c r="R102" i="24"/>
  <c r="P102" i="24"/>
  <c r="T101" i="24"/>
  <c r="S101" i="24"/>
  <c r="R101" i="24"/>
  <c r="P101" i="24"/>
  <c r="T100" i="24"/>
  <c r="S100" i="24"/>
  <c r="R100" i="24"/>
  <c r="P100" i="24"/>
  <c r="T99" i="24"/>
  <c r="S99" i="24"/>
  <c r="R99" i="24"/>
  <c r="P99" i="24"/>
  <c r="T98" i="24"/>
  <c r="S98" i="24"/>
  <c r="R98" i="24"/>
  <c r="P98" i="24"/>
  <c r="T97" i="24"/>
  <c r="S97" i="24"/>
  <c r="R97" i="24"/>
  <c r="P97" i="24"/>
  <c r="BN91" i="24"/>
  <c r="BN90" i="24"/>
  <c r="BN89" i="24"/>
  <c r="BN88" i="24"/>
  <c r="BN87" i="24"/>
  <c r="P92" i="24"/>
  <c r="E92" i="24"/>
  <c r="S92" i="24" s="1"/>
  <c r="D92" i="24"/>
  <c r="R92" i="24" s="1"/>
  <c r="BN86" i="24"/>
  <c r="P91" i="24"/>
  <c r="E91" i="24"/>
  <c r="S91" i="24" s="1"/>
  <c r="D91" i="24"/>
  <c r="R91" i="24" s="1"/>
  <c r="BN85" i="24"/>
  <c r="P90" i="24"/>
  <c r="E90" i="24"/>
  <c r="S90" i="24" s="1"/>
  <c r="D90" i="24"/>
  <c r="R90" i="24" s="1"/>
  <c r="BN84" i="24"/>
  <c r="BL84" i="24"/>
  <c r="BM84" i="24" s="1"/>
  <c r="P89" i="24"/>
  <c r="E89" i="24"/>
  <c r="S89" i="24" s="1"/>
  <c r="D89" i="24"/>
  <c r="R89" i="24" s="1"/>
  <c r="BN83" i="24"/>
  <c r="BL83" i="24"/>
  <c r="BM83" i="24" s="1"/>
  <c r="P88" i="24"/>
  <c r="E88" i="24"/>
  <c r="S88" i="24" s="1"/>
  <c r="D88" i="24"/>
  <c r="R88" i="24" s="1"/>
  <c r="BN82" i="24"/>
  <c r="P87" i="24"/>
  <c r="E87" i="24"/>
  <c r="S87" i="24" s="1"/>
  <c r="D87" i="24"/>
  <c r="R87" i="24" s="1"/>
  <c r="BN81" i="24"/>
  <c r="P86" i="24"/>
  <c r="BN80" i="24"/>
  <c r="BM80" i="24"/>
  <c r="P85" i="24"/>
  <c r="BN79" i="24"/>
  <c r="BM79" i="24"/>
  <c r="P84" i="24"/>
  <c r="BN78" i="24"/>
  <c r="BM78" i="24"/>
  <c r="BN77" i="24"/>
  <c r="BM77" i="24"/>
  <c r="BN76" i="24"/>
  <c r="BM76" i="24"/>
  <c r="L81" i="24"/>
  <c r="BN75" i="24"/>
  <c r="BM75" i="24"/>
  <c r="L80" i="24"/>
  <c r="BN74" i="24"/>
  <c r="BM74" i="24"/>
  <c r="L79" i="24"/>
  <c r="BN73" i="24"/>
  <c r="BM73" i="24"/>
  <c r="L78" i="24"/>
  <c r="BN72" i="24"/>
  <c r="BM72" i="24"/>
  <c r="L77" i="24"/>
  <c r="BN71" i="24"/>
  <c r="BM71" i="24"/>
  <c r="L76" i="24"/>
  <c r="BN70" i="24"/>
  <c r="BM70" i="24"/>
  <c r="L75" i="24"/>
  <c r="BN69" i="24"/>
  <c r="BM69" i="24"/>
  <c r="L74" i="24"/>
  <c r="BN68" i="24"/>
  <c r="BM68" i="24"/>
  <c r="BN67" i="24"/>
  <c r="BM67" i="24"/>
  <c r="BN66" i="24"/>
  <c r="BM66" i="24"/>
  <c r="BN65" i="24"/>
  <c r="BM65" i="24"/>
  <c r="L70" i="24"/>
  <c r="BM64" i="24"/>
  <c r="BL64" i="24"/>
  <c r="L69" i="24"/>
  <c r="BM63" i="24"/>
  <c r="BL63" i="24"/>
  <c r="BM62" i="24"/>
  <c r="BL62" i="24"/>
  <c r="BN61" i="24"/>
  <c r="BM61" i="24"/>
  <c r="BN60" i="24"/>
  <c r="BM60" i="24"/>
  <c r="BN59" i="24"/>
  <c r="BM59" i="24"/>
  <c r="BN58" i="24"/>
  <c r="BM58" i="24"/>
  <c r="BN57" i="24"/>
  <c r="BM57" i="24"/>
  <c r="BN56" i="24"/>
  <c r="BM56" i="24"/>
  <c r="BN55" i="24"/>
  <c r="BM55" i="24"/>
  <c r="BN54" i="24"/>
  <c r="BM54" i="24"/>
  <c r="BN53" i="24"/>
  <c r="BM53" i="24"/>
  <c r="BN52" i="24"/>
  <c r="BM52" i="24"/>
  <c r="BN51" i="24"/>
  <c r="BM51" i="24"/>
  <c r="BN50" i="24"/>
  <c r="BM50" i="24"/>
  <c r="BO80" i="24"/>
  <c r="BO79" i="24"/>
  <c r="BO78" i="24"/>
  <c r="BO77" i="24"/>
  <c r="BO76" i="24"/>
  <c r="BN49" i="24"/>
  <c r="BM49" i="24"/>
  <c r="BO74" i="24"/>
  <c r="BO73" i="24"/>
  <c r="BO72" i="24"/>
  <c r="BO71" i="24"/>
  <c r="BO70" i="24"/>
  <c r="BN48" i="24"/>
  <c r="BM48" i="24"/>
  <c r="BO68" i="24"/>
  <c r="BO67" i="24"/>
  <c r="BO66" i="24"/>
  <c r="BO65" i="24"/>
  <c r="BN64" i="24"/>
  <c r="BN47" i="24"/>
  <c r="BM47" i="24"/>
  <c r="BN62" i="24"/>
  <c r="BO61" i="24"/>
  <c r="BO60" i="24"/>
  <c r="BO59" i="24"/>
  <c r="BN46" i="24"/>
  <c r="BM46" i="24"/>
  <c r="BO58" i="24"/>
  <c r="BO57" i="24"/>
  <c r="BO56" i="24"/>
  <c r="BO55" i="24"/>
  <c r="BO54" i="24"/>
  <c r="BN45" i="24"/>
  <c r="BM45" i="24"/>
  <c r="BN44" i="24"/>
  <c r="BM44" i="24"/>
  <c r="BN43" i="24"/>
  <c r="BM43" i="24"/>
  <c r="BN42" i="24"/>
  <c r="BM42" i="24"/>
  <c r="BN41" i="24"/>
  <c r="BM41" i="24"/>
  <c r="G41" i="24"/>
  <c r="F41" i="24"/>
  <c r="E41" i="24"/>
  <c r="BO40" i="24"/>
  <c r="BN40" i="24"/>
  <c r="BM40" i="24"/>
  <c r="G40" i="24"/>
  <c r="F40" i="24"/>
  <c r="E40" i="24"/>
  <c r="BO39" i="24"/>
  <c r="BN39" i="24"/>
  <c r="BM39" i="24"/>
  <c r="G39" i="24"/>
  <c r="F39" i="24"/>
  <c r="E39" i="24"/>
  <c r="BO38" i="24"/>
  <c r="BN38" i="24"/>
  <c r="BM38" i="24"/>
  <c r="BO37" i="24"/>
  <c r="BN37" i="24"/>
  <c r="BM37" i="24"/>
  <c r="BO36" i="24"/>
  <c r="BN36" i="24"/>
  <c r="BM36" i="24"/>
  <c r="E36" i="24"/>
  <c r="BO35" i="24"/>
  <c r="BN35" i="24"/>
  <c r="BM35" i="24"/>
  <c r="BO34" i="24"/>
  <c r="BN34" i="24"/>
  <c r="BM34" i="24"/>
  <c r="BM33" i="24"/>
  <c r="BL33" i="24"/>
  <c r="D33" i="24"/>
  <c r="BM32" i="24"/>
  <c r="BL32" i="24"/>
  <c r="S106" i="24" l="1"/>
  <c r="BO88" i="24" s="1"/>
  <c r="T106" i="24"/>
  <c r="BO89" i="24" s="1"/>
  <c r="BJ86" i="24"/>
  <c r="BK82" i="24"/>
  <c r="BK54" i="24"/>
  <c r="R106" i="24"/>
  <c r="G177" i="24" s="1"/>
  <c r="BO47" i="24"/>
  <c r="BO46" i="24"/>
  <c r="BO43" i="24"/>
  <c r="BO44" i="24"/>
  <c r="BK52" i="24"/>
  <c r="BK35" i="24"/>
  <c r="BK80" i="24"/>
  <c r="BJ76" i="24"/>
  <c r="BJ37" i="24"/>
  <c r="BJ41" i="24"/>
  <c r="BJ43" i="24"/>
  <c r="BJ58" i="24"/>
  <c r="BJ78" i="24"/>
  <c r="BJ40" i="24"/>
  <c r="BJ61" i="24"/>
  <c r="BJ49" i="24"/>
  <c r="BJ72" i="24"/>
  <c r="BJ36" i="24"/>
  <c r="BJ45" i="24"/>
  <c r="BJ51" i="24"/>
  <c r="BJ59" i="24"/>
  <c r="BJ74" i="24"/>
  <c r="BJ79" i="24"/>
  <c r="BJ83" i="24"/>
  <c r="BJ87" i="24"/>
  <c r="BJ62" i="24"/>
  <c r="BJ64" i="24"/>
  <c r="BJ35" i="24"/>
  <c r="BK36" i="24"/>
  <c r="BJ46" i="24"/>
  <c r="BJ54" i="24"/>
  <c r="BJ56" i="24"/>
  <c r="BK66" i="24"/>
  <c r="BK68" i="24"/>
  <c r="BK70" i="24"/>
  <c r="BJ73" i="24"/>
  <c r="BJ75" i="24"/>
  <c r="BK91" i="24"/>
  <c r="BK90" i="24"/>
  <c r="BK89" i="24"/>
  <c r="BK88" i="24"/>
  <c r="BK85" i="24"/>
  <c r="BK81" i="24"/>
  <c r="BK60" i="24"/>
  <c r="BK57" i="24"/>
  <c r="BK55" i="24"/>
  <c r="BK53" i="24"/>
  <c r="BK50" i="24"/>
  <c r="BK47" i="24"/>
  <c r="BK38" i="24"/>
  <c r="BK34" i="24"/>
  <c r="BK87" i="24"/>
  <c r="BK78" i="24"/>
  <c r="BK76" i="24"/>
  <c r="BK75" i="24"/>
  <c r="BK74" i="24"/>
  <c r="BK73" i="24"/>
  <c r="BK72" i="24"/>
  <c r="BK46" i="24"/>
  <c r="BK43" i="24"/>
  <c r="BK41" i="24"/>
  <c r="BK37" i="24"/>
  <c r="BK48" i="24"/>
  <c r="BK51" i="24"/>
  <c r="BK56" i="24"/>
  <c r="BK59" i="24"/>
  <c r="BK86" i="24"/>
  <c r="BK39" i="24"/>
  <c r="BK40" i="24"/>
  <c r="BK42" i="24"/>
  <c r="BK45" i="24"/>
  <c r="BK49" i="24"/>
  <c r="BO81" i="24"/>
  <c r="BK58" i="24"/>
  <c r="BK61" i="24"/>
  <c r="BJ63" i="24"/>
  <c r="BK65" i="24"/>
  <c r="BK67" i="24"/>
  <c r="BK69" i="24"/>
  <c r="BK71" i="24"/>
  <c r="BK77" i="24"/>
  <c r="BK83" i="24"/>
  <c r="BK44" i="24"/>
  <c r="BK79" i="24"/>
  <c r="BK84" i="24"/>
  <c r="BJ34" i="24"/>
  <c r="BO45" i="24"/>
  <c r="BJ38" i="24"/>
  <c r="BJ47" i="24"/>
  <c r="BJ50" i="24"/>
  <c r="BJ53" i="24"/>
  <c r="BJ55" i="24"/>
  <c r="BJ57" i="24"/>
  <c r="BJ60" i="24"/>
  <c r="BJ81" i="24"/>
  <c r="BJ85" i="24"/>
  <c r="BJ88" i="24"/>
  <c r="BJ89" i="24"/>
  <c r="BJ90" i="24"/>
  <c r="BJ91" i="24"/>
  <c r="BJ39" i="24"/>
  <c r="BJ42" i="24"/>
  <c r="BJ44" i="24"/>
  <c r="BJ48" i="24"/>
  <c r="BJ52" i="24"/>
  <c r="BI62" i="24"/>
  <c r="BI63" i="24"/>
  <c r="BI64" i="24"/>
  <c r="BJ65" i="24"/>
  <c r="BJ66" i="24"/>
  <c r="BJ67" i="24"/>
  <c r="BJ68" i="24"/>
  <c r="BJ69" i="24"/>
  <c r="BJ70" i="24"/>
  <c r="BJ71" i="24"/>
  <c r="BJ77" i="24"/>
  <c r="BJ80" i="24"/>
  <c r="BJ82" i="24"/>
  <c r="BJ84" i="24"/>
  <c r="BO87" i="24" l="1"/>
  <c r="BO41" i="24"/>
  <c r="BO42" i="24"/>
  <c r="D84" i="24" l="1"/>
  <c r="E86" i="24"/>
  <c r="S86" i="24" s="1"/>
  <c r="D86" i="24"/>
  <c r="R86" i="24" s="1"/>
  <c r="E85" i="24"/>
  <c r="S85" i="24" s="1"/>
  <c r="D85" i="24"/>
  <c r="R85" i="24" s="1"/>
  <c r="E84" i="24"/>
  <c r="S84" i="24" l="1"/>
  <c r="S93" i="24" s="1"/>
  <c r="BO86" i="24" s="1"/>
  <c r="R84" i="24"/>
  <c r="R93" i="24" s="1"/>
  <c r="H177" i="24" s="1"/>
  <c r="P76" i="24"/>
  <c r="P72" i="24"/>
  <c r="P75" i="24"/>
  <c r="P71" i="24"/>
  <c r="P70" i="24"/>
  <c r="P74" i="24"/>
  <c r="P73" i="24"/>
  <c r="P69" i="24"/>
  <c r="BO85" i="24" l="1"/>
  <c r="P67" i="24" l="1"/>
  <c r="L68" i="24"/>
  <c r="P68" i="24"/>
  <c r="U12" i="24" l="1"/>
  <c r="U15" i="24"/>
  <c r="Y15" i="24" s="1"/>
  <c r="W13" i="24"/>
  <c r="T16" i="24"/>
  <c r="R16" i="24" s="1"/>
  <c r="T13" i="24"/>
  <c r="V15" i="24"/>
  <c r="U16" i="24"/>
  <c r="Y16" i="24" s="1"/>
  <c r="U13" i="24"/>
  <c r="Y13" i="24" s="1"/>
  <c r="W15" i="24"/>
  <c r="V16" i="24"/>
  <c r="V13" i="24"/>
  <c r="T15" i="24"/>
  <c r="R15" i="24" s="1"/>
  <c r="W16" i="24"/>
  <c r="R14" i="24"/>
  <c r="BF7" i="26" l="1"/>
  <c r="BC26" i="47"/>
  <c r="BB26" i="47"/>
  <c r="BA26" i="47"/>
  <c r="AW26" i="47"/>
  <c r="AV26" i="47"/>
  <c r="AU26" i="47"/>
  <c r="AX26" i="47"/>
  <c r="AY26" i="47"/>
  <c r="AZ26" i="47"/>
  <c r="BG26" i="47"/>
  <c r="BH26" i="47"/>
  <c r="AT26" i="47"/>
  <c r="AQ26" i="47"/>
  <c r="AR26" i="47"/>
  <c r="AS26" i="47"/>
  <c r="BA24" i="47"/>
  <c r="BB24" i="47"/>
  <c r="BC24" i="47"/>
  <c r="BF24" i="47"/>
  <c r="BD24" i="47"/>
  <c r="BE24" i="47"/>
  <c r="AU24" i="47"/>
  <c r="AV24" i="47"/>
  <c r="AW24" i="47"/>
  <c r="AX24" i="47"/>
  <c r="AY24" i="47"/>
  <c r="AZ24" i="47"/>
  <c r="BG24" i="47"/>
  <c r="BH24" i="47"/>
  <c r="BD26" i="47"/>
  <c r="BE26" i="47"/>
  <c r="BF26" i="47"/>
  <c r="AQ24" i="47"/>
  <c r="AR24" i="47"/>
  <c r="AS24" i="47"/>
  <c r="AT24" i="47"/>
  <c r="BF6" i="26"/>
  <c r="AP6" i="26"/>
  <c r="AP7" i="26"/>
  <c r="K73" i="24"/>
  <c r="E111" i="24"/>
  <c r="E110" i="24"/>
  <c r="E109" i="24"/>
  <c r="BA26" i="33"/>
  <c r="BB26" i="33"/>
  <c r="BC26" i="33"/>
  <c r="BF26" i="33"/>
  <c r="BD26" i="33"/>
  <c r="BE26" i="33"/>
  <c r="AY26" i="33"/>
  <c r="AW26" i="33"/>
  <c r="AU26" i="33"/>
  <c r="AX26" i="33"/>
  <c r="AZ26" i="33"/>
  <c r="AV26" i="33"/>
  <c r="BH26" i="33"/>
  <c r="BG26" i="33"/>
  <c r="AQ26" i="33"/>
  <c r="AS26" i="33"/>
  <c r="AR26" i="33"/>
  <c r="AT26" i="33"/>
  <c r="BA24" i="39"/>
  <c r="BA31" i="39" s="1"/>
  <c r="BB24" i="39"/>
  <c r="BB31" i="39" s="1"/>
  <c r="BC24" i="39"/>
  <c r="BC31" i="39" s="1"/>
  <c r="AT24" i="39"/>
  <c r="AT31" i="39" s="1"/>
  <c r="AR24" i="39"/>
  <c r="AR31" i="39" s="1"/>
  <c r="AQ24" i="39"/>
  <c r="AQ31" i="39" s="1"/>
  <c r="AS24" i="39"/>
  <c r="AS31" i="39" s="1"/>
  <c r="BH24" i="39"/>
  <c r="BH31" i="39" s="1"/>
  <c r="BG24" i="39"/>
  <c r="BG31" i="39" s="1"/>
  <c r="BF24" i="39"/>
  <c r="BF31" i="39" s="1"/>
  <c r="BE24" i="39"/>
  <c r="BE31" i="39" s="1"/>
  <c r="BD24" i="39"/>
  <c r="BD31" i="39" s="1"/>
  <c r="AU24" i="39"/>
  <c r="AU31" i="39" s="1"/>
  <c r="AY24" i="39"/>
  <c r="AY31" i="39" s="1"/>
  <c r="AV24" i="39"/>
  <c r="AV31" i="39" s="1"/>
  <c r="AZ24" i="39"/>
  <c r="AZ31" i="39" s="1"/>
  <c r="AX24" i="39"/>
  <c r="AX31" i="39" s="1"/>
  <c r="AW24" i="39"/>
  <c r="AW31" i="39" s="1"/>
  <c r="BA24" i="38"/>
  <c r="BA31" i="38" s="1"/>
  <c r="BC24" i="38"/>
  <c r="BC31" i="38" s="1"/>
  <c r="BB24" i="38"/>
  <c r="BB31" i="38" s="1"/>
  <c r="AQ24" i="38"/>
  <c r="AQ31" i="38" s="1"/>
  <c r="AT24" i="38"/>
  <c r="AT31" i="38" s="1"/>
  <c r="AS24" i="38"/>
  <c r="AS31" i="38" s="1"/>
  <c r="AR24" i="38"/>
  <c r="AR31" i="38" s="1"/>
  <c r="BH24" i="38"/>
  <c r="BH31" i="38" s="1"/>
  <c r="BG24" i="38"/>
  <c r="BG31" i="38" s="1"/>
  <c r="BE24" i="38"/>
  <c r="BE31" i="38" s="1"/>
  <c r="BD24" i="38"/>
  <c r="BD31" i="38" s="1"/>
  <c r="BF24" i="38"/>
  <c r="BF31" i="38" s="1"/>
  <c r="AX24" i="38"/>
  <c r="AX31" i="38" s="1"/>
  <c r="AV24" i="38"/>
  <c r="AV31" i="38" s="1"/>
  <c r="AU24" i="38"/>
  <c r="AU31" i="38" s="1"/>
  <c r="AY24" i="38"/>
  <c r="AY31" i="38" s="1"/>
  <c r="AZ24" i="38"/>
  <c r="AZ31" i="38" s="1"/>
  <c r="AW24" i="38"/>
  <c r="AW31" i="38" s="1"/>
  <c r="BB24" i="37"/>
  <c r="BB31" i="37" s="1"/>
  <c r="BC24" i="37"/>
  <c r="BC31" i="37" s="1"/>
  <c r="BA24" i="37"/>
  <c r="BA31" i="37" s="1"/>
  <c r="BH24" i="37"/>
  <c r="BH31" i="37" s="1"/>
  <c r="BG24" i="37"/>
  <c r="BG31" i="37" s="1"/>
  <c r="AR24" i="37"/>
  <c r="AR31" i="37" s="1"/>
  <c r="AS24" i="37"/>
  <c r="AS31" i="37" s="1"/>
  <c r="AQ24" i="37"/>
  <c r="AQ31" i="37" s="1"/>
  <c r="AT24" i="37"/>
  <c r="AT31" i="37" s="1"/>
  <c r="BD24" i="37"/>
  <c r="BD31" i="37" s="1"/>
  <c r="BF24" i="37"/>
  <c r="BF31" i="37" s="1"/>
  <c r="BE24" i="37"/>
  <c r="BE31" i="37" s="1"/>
  <c r="AZ24" i="37"/>
  <c r="AZ31" i="37" s="1"/>
  <c r="AX24" i="37"/>
  <c r="AX31" i="37" s="1"/>
  <c r="AV24" i="37"/>
  <c r="AV31" i="37" s="1"/>
  <c r="AW24" i="37"/>
  <c r="AW31" i="37" s="1"/>
  <c r="AY24" i="37"/>
  <c r="AY31" i="37" s="1"/>
  <c r="AU24" i="37"/>
  <c r="AU31" i="37" s="1"/>
  <c r="N28" i="34"/>
  <c r="V28" i="34" s="1"/>
  <c r="N28" i="33"/>
  <c r="V28" i="33" s="1"/>
  <c r="L27" i="33"/>
  <c r="T27" i="33" s="1"/>
  <c r="L27" i="34"/>
  <c r="T27" i="34" s="1"/>
  <c r="L28" i="34"/>
  <c r="T28" i="34" s="1"/>
  <c r="L28" i="33"/>
  <c r="T28" i="33" s="1"/>
  <c r="M27" i="33"/>
  <c r="U27" i="33" s="1"/>
  <c r="Y27" i="33" s="1"/>
  <c r="M27" i="34"/>
  <c r="U27" i="34" s="1"/>
  <c r="Y27" i="34" s="1"/>
  <c r="O27" i="34"/>
  <c r="W27" i="34" s="1"/>
  <c r="O27" i="33"/>
  <c r="W27" i="33" s="1"/>
  <c r="M24" i="34"/>
  <c r="U24" i="34" s="1"/>
  <c r="M24" i="33"/>
  <c r="U24" i="33" s="1"/>
  <c r="AV24" i="34"/>
  <c r="AV31" i="34" s="1"/>
  <c r="AZ24" i="34"/>
  <c r="AZ31" i="34" s="1"/>
  <c r="AV24" i="33"/>
  <c r="AU24" i="33"/>
  <c r="AU31" i="33" s="1"/>
  <c r="AY24" i="33"/>
  <c r="AY24" i="34"/>
  <c r="AY31" i="34" s="1"/>
  <c r="AU24" i="34"/>
  <c r="AU31" i="34" s="1"/>
  <c r="AX24" i="33"/>
  <c r="AX24" i="34"/>
  <c r="AX31" i="34" s="1"/>
  <c r="AW24" i="33"/>
  <c r="AW24" i="34"/>
  <c r="AW31" i="34" s="1"/>
  <c r="AZ24" i="33"/>
  <c r="N27" i="33"/>
  <c r="V27" i="33" s="1"/>
  <c r="N27" i="34"/>
  <c r="V27" i="34" s="1"/>
  <c r="M28" i="34"/>
  <c r="U28" i="34" s="1"/>
  <c r="Y28" i="34" s="1"/>
  <c r="M28" i="33"/>
  <c r="U28" i="33" s="1"/>
  <c r="Y28" i="33" s="1"/>
  <c r="N24" i="33"/>
  <c r="V24" i="33" s="1"/>
  <c r="N24" i="34"/>
  <c r="V24" i="34" s="1"/>
  <c r="BB24" i="33"/>
  <c r="BA24" i="33"/>
  <c r="BA31" i="33" s="1"/>
  <c r="BA24" i="34"/>
  <c r="BA31" i="34" s="1"/>
  <c r="BC24" i="34"/>
  <c r="BC31" i="34" s="1"/>
  <c r="BC24" i="33"/>
  <c r="BB24" i="34"/>
  <c r="BB31" i="34" s="1"/>
  <c r="L24" i="34"/>
  <c r="T24" i="34" s="1"/>
  <c r="L24" i="33"/>
  <c r="T24" i="33" s="1"/>
  <c r="AR24" i="34"/>
  <c r="AR31" i="34" s="1"/>
  <c r="AR24" i="33"/>
  <c r="AQ24" i="34"/>
  <c r="AQ31" i="34" s="1"/>
  <c r="AS24" i="34"/>
  <c r="AS31" i="34" s="1"/>
  <c r="AT24" i="34"/>
  <c r="AT31" i="34" s="1"/>
  <c r="AQ24" i="33"/>
  <c r="AQ31" i="33" s="1"/>
  <c r="AT24" i="33"/>
  <c r="AS24" i="33"/>
  <c r="P24" i="34"/>
  <c r="X24" i="34" s="1"/>
  <c r="P24" i="33"/>
  <c r="X24" i="33" s="1"/>
  <c r="BH24" i="33"/>
  <c r="BH31" i="33" s="1"/>
  <c r="BH24" i="34"/>
  <c r="BH31" i="34" s="1"/>
  <c r="BG24" i="34"/>
  <c r="BG31" i="34" s="1"/>
  <c r="BG24" i="33"/>
  <c r="BG31" i="33" s="1"/>
  <c r="O28" i="33"/>
  <c r="W28" i="33" s="1"/>
  <c r="O28" i="34"/>
  <c r="W28" i="34" s="1"/>
  <c r="O24" i="34"/>
  <c r="W24" i="34" s="1"/>
  <c r="O24" i="33"/>
  <c r="W24" i="33" s="1"/>
  <c r="BE24" i="34"/>
  <c r="BE31" i="34" s="1"/>
  <c r="BF24" i="34"/>
  <c r="BF31" i="34" s="1"/>
  <c r="BD24" i="33"/>
  <c r="BD31" i="33" s="1"/>
  <c r="BE24" i="33"/>
  <c r="BF24" i="33"/>
  <c r="BD24" i="34"/>
  <c r="BD31" i="34" s="1"/>
  <c r="P28" i="33"/>
  <c r="X28" i="33" s="1"/>
  <c r="P28" i="34"/>
  <c r="X28" i="34" s="1"/>
  <c r="P27" i="34"/>
  <c r="X27" i="34" s="1"/>
  <c r="P27" i="33"/>
  <c r="X27" i="33" s="1"/>
  <c r="L28" i="27"/>
  <c r="T28" i="27" s="1"/>
  <c r="M27" i="27"/>
  <c r="U27" i="27" s="1"/>
  <c r="Y27" i="27" s="1"/>
  <c r="N28" i="27"/>
  <c r="V28" i="27" s="1"/>
  <c r="L27" i="27"/>
  <c r="T27" i="27" s="1"/>
  <c r="O28" i="27"/>
  <c r="W28" i="27" s="1"/>
  <c r="M28" i="27"/>
  <c r="U28" i="27" s="1"/>
  <c r="Y28" i="27" s="1"/>
  <c r="O27" i="27"/>
  <c r="W27" i="27" s="1"/>
  <c r="N27" i="27"/>
  <c r="V27" i="27" s="1"/>
  <c r="P28" i="24"/>
  <c r="X28" i="24" s="1"/>
  <c r="P28" i="27"/>
  <c r="X28" i="27" s="1"/>
  <c r="P27" i="24"/>
  <c r="X27" i="24" s="1"/>
  <c r="P27" i="27"/>
  <c r="X27" i="27" s="1"/>
  <c r="N28" i="24"/>
  <c r="V28" i="24" s="1"/>
  <c r="L27" i="24"/>
  <c r="T27" i="24" s="1"/>
  <c r="O28" i="24"/>
  <c r="W28" i="24" s="1"/>
  <c r="O27" i="24"/>
  <c r="W27" i="24" s="1"/>
  <c r="M27" i="24"/>
  <c r="U27" i="24" s="1"/>
  <c r="Y27" i="24" s="1"/>
  <c r="M28" i="24"/>
  <c r="U28" i="24" s="1"/>
  <c r="Y28" i="24" s="1"/>
  <c r="N27" i="24"/>
  <c r="V27" i="24" s="1"/>
  <c r="L28" i="24"/>
  <c r="T28" i="24" s="1"/>
  <c r="K71" i="24"/>
  <c r="L71" i="24" s="1"/>
  <c r="K72" i="24"/>
  <c r="L72" i="24" s="1"/>
  <c r="L73" i="24"/>
  <c r="BQ7" i="26"/>
  <c r="BQ5" i="26"/>
  <c r="BR7" i="26"/>
  <c r="BN7" i="26"/>
  <c r="BO6" i="26"/>
  <c r="BO7" i="26"/>
  <c r="BQ6" i="26"/>
  <c r="BN6" i="26"/>
  <c r="BO5" i="26"/>
  <c r="BP6" i="26"/>
  <c r="BP5" i="26"/>
  <c r="BN5" i="26"/>
  <c r="BP7" i="26"/>
  <c r="BR5" i="26"/>
  <c r="BH25" i="24"/>
  <c r="BR6" i="26"/>
  <c r="Y12" i="24"/>
  <c r="Y20" i="24" s="1"/>
  <c r="R13" i="24"/>
  <c r="R12" i="24"/>
  <c r="K68" i="24" s="1"/>
  <c r="BC26" i="24"/>
  <c r="BA26" i="24"/>
  <c r="BB26" i="24"/>
  <c r="N26" i="24"/>
  <c r="V26" i="24" s="1"/>
  <c r="AT26" i="24"/>
  <c r="AQ26" i="24"/>
  <c r="AR26" i="24"/>
  <c r="AS26" i="24"/>
  <c r="L26" i="24"/>
  <c r="T26" i="24" s="1"/>
  <c r="BH24" i="24"/>
  <c r="BG24" i="24"/>
  <c r="P24" i="24"/>
  <c r="X24" i="24" s="1"/>
  <c r="AU25" i="24"/>
  <c r="AY25" i="24"/>
  <c r="AV25" i="24"/>
  <c r="AZ25" i="24"/>
  <c r="AW25" i="24"/>
  <c r="AX25" i="24"/>
  <c r="M25" i="24"/>
  <c r="U25" i="24" s="1"/>
  <c r="Y25" i="24" s="1"/>
  <c r="AW26" i="24"/>
  <c r="AV26" i="24"/>
  <c r="AX26" i="24"/>
  <c r="AU26" i="24"/>
  <c r="AY26" i="24"/>
  <c r="AZ26" i="24"/>
  <c r="M26" i="24"/>
  <c r="U26" i="24" s="1"/>
  <c r="Y26" i="24" s="1"/>
  <c r="BF24" i="24"/>
  <c r="BE24" i="24"/>
  <c r="BD24" i="24"/>
  <c r="O24" i="24"/>
  <c r="W24" i="24" s="1"/>
  <c r="BF25" i="24"/>
  <c r="BD25" i="24"/>
  <c r="BE25" i="24"/>
  <c r="O25" i="24"/>
  <c r="W25" i="24" s="1"/>
  <c r="BH26" i="24"/>
  <c r="BG26" i="24"/>
  <c r="P26" i="24"/>
  <c r="AZ24" i="24"/>
  <c r="AV24" i="24"/>
  <c r="AY24" i="24"/>
  <c r="AW24" i="24"/>
  <c r="AX24" i="24"/>
  <c r="AU24" i="24"/>
  <c r="M24" i="24"/>
  <c r="U24" i="24" s="1"/>
  <c r="Y24" i="24" s="1"/>
  <c r="BG25" i="24"/>
  <c r="P25" i="24"/>
  <c r="BB25" i="24"/>
  <c r="BA25" i="24"/>
  <c r="BC25" i="24"/>
  <c r="N25" i="24"/>
  <c r="V25" i="24" s="1"/>
  <c r="BF26" i="24"/>
  <c r="BD26" i="24"/>
  <c r="BE26" i="24"/>
  <c r="O26" i="24"/>
  <c r="W26" i="24" s="1"/>
  <c r="BA24" i="24"/>
  <c r="BC24" i="24"/>
  <c r="BB24" i="24"/>
  <c r="N24" i="24"/>
  <c r="V24" i="24" s="1"/>
  <c r="AS25" i="24"/>
  <c r="AQ25" i="24"/>
  <c r="AR25" i="24"/>
  <c r="AT25" i="24"/>
  <c r="L25" i="24"/>
  <c r="T25" i="24" s="1"/>
  <c r="AT24" i="24"/>
  <c r="AS24" i="24"/>
  <c r="AR24" i="24"/>
  <c r="AQ24" i="24"/>
  <c r="L24" i="24"/>
  <c r="T24" i="24" s="1"/>
  <c r="X20" i="24"/>
  <c r="V20" i="24"/>
  <c r="W20" i="24"/>
  <c r="U20" i="24"/>
  <c r="T20" i="24"/>
  <c r="AU31" i="47" l="1"/>
  <c r="BC31" i="47"/>
  <c r="BH6" i="26"/>
  <c r="AW31" i="47"/>
  <c r="BH31" i="47"/>
  <c r="BG31" i="47"/>
  <c r="BD31" i="47"/>
  <c r="AQ31" i="47"/>
  <c r="BA31" i="47"/>
  <c r="AY31" i="47"/>
  <c r="AX31" i="47"/>
  <c r="AV31" i="47"/>
  <c r="BH7" i="26"/>
  <c r="AZ31" i="47"/>
  <c r="BE31" i="47"/>
  <c r="AT31" i="47"/>
  <c r="AS31" i="47"/>
  <c r="BF31" i="47"/>
  <c r="AR31" i="47"/>
  <c r="BB31" i="47"/>
  <c r="BC31" i="33"/>
  <c r="BE31" i="33"/>
  <c r="AR31" i="33"/>
  <c r="AX31" i="33"/>
  <c r="BB31" i="33"/>
  <c r="AZ31" i="33"/>
  <c r="AT31" i="33"/>
  <c r="AY31" i="33"/>
  <c r="AV31" i="33"/>
  <c r="AS31" i="33"/>
  <c r="AW31" i="33"/>
  <c r="BF31" i="33"/>
  <c r="V31" i="34"/>
  <c r="V32" i="34" s="1"/>
  <c r="V31" i="33"/>
  <c r="V32" i="33" s="1"/>
  <c r="BS7" i="26"/>
  <c r="BS5" i="26"/>
  <c r="BS6" i="26"/>
  <c r="T31" i="33"/>
  <c r="T32" i="33" s="1"/>
  <c r="T31" i="34"/>
  <c r="T32" i="34" s="1"/>
  <c r="W31" i="33"/>
  <c r="W32" i="33" s="1"/>
  <c r="X31" i="33"/>
  <c r="X32" i="33" s="1"/>
  <c r="W31" i="34"/>
  <c r="W32" i="34" s="1"/>
  <c r="X31" i="34"/>
  <c r="X32" i="34" s="1"/>
  <c r="Y24" i="33"/>
  <c r="Y31" i="33" s="1"/>
  <c r="Y32" i="33" s="1"/>
  <c r="G6" i="33" s="1"/>
  <c r="U31" i="33"/>
  <c r="U31" i="34"/>
  <c r="Y24" i="34"/>
  <c r="Y31" i="34" s="1"/>
  <c r="Y32" i="34" s="1"/>
  <c r="G6" i="34" s="1"/>
  <c r="V31" i="27"/>
  <c r="V32" i="27" s="1"/>
  <c r="W31" i="27"/>
  <c r="W32" i="27" s="1"/>
  <c r="T31" i="27"/>
  <c r="T32" i="27" s="1"/>
  <c r="Y31" i="27"/>
  <c r="Y32" i="27" s="1"/>
  <c r="G6" i="27" s="1"/>
  <c r="U31" i="27"/>
  <c r="U32" i="27" s="1"/>
  <c r="AX31" i="24"/>
  <c r="X31" i="24"/>
  <c r="X32" i="24" s="1"/>
  <c r="X31" i="27"/>
  <c r="X32" i="27" s="1"/>
  <c r="E118" i="24"/>
  <c r="BO91" i="24" s="1"/>
  <c r="K69" i="24"/>
  <c r="K70" i="24"/>
  <c r="R70" i="24"/>
  <c r="R74" i="24"/>
  <c r="R71" i="24"/>
  <c r="R75" i="24"/>
  <c r="R73" i="24"/>
  <c r="R68" i="24"/>
  <c r="R72" i="24"/>
  <c r="R76" i="24"/>
  <c r="R69" i="24"/>
  <c r="AR31" i="24"/>
  <c r="AY31" i="24"/>
  <c r="T31" i="24"/>
  <c r="T32" i="24" s="1"/>
  <c r="AU31" i="24"/>
  <c r="AV31" i="24"/>
  <c r="BD31" i="24"/>
  <c r="AW31" i="24"/>
  <c r="BC31" i="24"/>
  <c r="AQ31" i="24"/>
  <c r="BA31" i="24"/>
  <c r="BE31" i="24"/>
  <c r="BF31" i="24"/>
  <c r="BG31" i="24"/>
  <c r="AS31" i="24"/>
  <c r="BB31" i="24"/>
  <c r="BH31" i="24"/>
  <c r="AT31" i="24"/>
  <c r="AZ31" i="24"/>
  <c r="Y31" i="24"/>
  <c r="Y32" i="24" s="1"/>
  <c r="U31" i="24"/>
  <c r="U32" i="24" s="1"/>
  <c r="W31" i="24"/>
  <c r="W32" i="24" s="1"/>
  <c r="V31" i="24"/>
  <c r="V32" i="24" s="1"/>
  <c r="AB28" i="34" l="1"/>
  <c r="AB28" i="33"/>
  <c r="AB24" i="34"/>
  <c r="AB24" i="33"/>
  <c r="AB27" i="34"/>
  <c r="AB27" i="33"/>
  <c r="AB27" i="27"/>
  <c r="AB28" i="24"/>
  <c r="AB28" i="27"/>
  <c r="S69" i="24"/>
  <c r="T69" i="24" s="1"/>
  <c r="S75" i="24"/>
  <c r="T75" i="24" s="1"/>
  <c r="S70" i="24"/>
  <c r="T70" i="24" s="1"/>
  <c r="S72" i="24"/>
  <c r="T72" i="24" s="1"/>
  <c r="S76" i="24"/>
  <c r="T76" i="24" s="1"/>
  <c r="S73" i="24"/>
  <c r="T73" i="24" s="1"/>
  <c r="S68" i="24"/>
  <c r="S74" i="24"/>
  <c r="T74" i="24" s="1"/>
  <c r="S71" i="24"/>
  <c r="T71" i="24" s="1"/>
  <c r="T68" i="24"/>
  <c r="AB27" i="24"/>
  <c r="R77" i="24"/>
  <c r="BO83" i="24" s="1"/>
  <c r="AB26" i="24"/>
  <c r="AB25" i="24"/>
  <c r="AB24" i="24"/>
  <c r="BO82" i="24"/>
  <c r="AB31" i="33" l="1"/>
  <c r="I177" i="33" s="1"/>
  <c r="AB31" i="34"/>
  <c r="I177" i="34" s="1"/>
  <c r="AB31" i="27"/>
  <c r="I177" i="27" s="1"/>
  <c r="T77" i="24"/>
  <c r="BO84" i="24" s="1"/>
  <c r="AB31" i="24"/>
  <c r="D20" i="24" l="1"/>
  <c r="D32" i="24" l="1"/>
  <c r="C136" i="24" s="1"/>
  <c r="R20" i="24"/>
  <c r="BO75" i="24"/>
  <c r="BO69" i="24"/>
  <c r="BN63" i="24"/>
  <c r="BO53" i="24"/>
  <c r="R32" i="24" l="1"/>
  <c r="D140" i="24"/>
  <c r="G6" i="24"/>
  <c r="BO52" i="24"/>
  <c r="BO49" i="24"/>
  <c r="BO51" i="24"/>
  <c r="BO50" i="24"/>
  <c r="BO48" i="24"/>
  <c r="E161" i="24" l="1"/>
  <c r="E159" i="24"/>
  <c r="E160" i="24"/>
  <c r="K146" i="24"/>
  <c r="E168" i="24" l="1"/>
  <c r="S150" i="24"/>
  <c r="S146" i="24"/>
  <c r="S148" i="24"/>
  <c r="L146" i="24"/>
  <c r="S152" i="24"/>
  <c r="S147" i="24"/>
  <c r="S153" i="24"/>
  <c r="S151" i="24"/>
  <c r="S149" i="24"/>
  <c r="S154" i="24"/>
  <c r="R154" i="24" l="1"/>
  <c r="T154" i="24" s="1"/>
  <c r="R146" i="24"/>
  <c r="R150" i="24"/>
  <c r="T150" i="24" s="1"/>
  <c r="R148" i="24"/>
  <c r="T148" i="24" s="1"/>
  <c r="R147" i="24"/>
  <c r="T147" i="24" s="1"/>
  <c r="R153" i="24"/>
  <c r="T153" i="24" s="1"/>
  <c r="R151" i="24"/>
  <c r="T151" i="24" s="1"/>
  <c r="R149" i="24"/>
  <c r="T149" i="24" s="1"/>
  <c r="R152" i="24"/>
  <c r="T152" i="24" s="1"/>
  <c r="T146" i="24" l="1"/>
  <c r="R155" i="24"/>
  <c r="I177" i="24" s="1"/>
  <c r="R171" i="24"/>
  <c r="R177" i="24"/>
  <c r="R174" i="24"/>
  <c r="R178" i="24"/>
  <c r="R179" i="24"/>
  <c r="R172" i="24"/>
  <c r="R176" i="24"/>
  <c r="R173" i="24"/>
  <c r="R175" i="24"/>
  <c r="R180" i="24" l="1"/>
  <c r="T155" i="24"/>
  <c r="J177" i="24" s="1"/>
  <c r="T176" i="24"/>
  <c r="T177" i="24"/>
  <c r="T173" i="24"/>
  <c r="T175" i="24"/>
  <c r="T174" i="24"/>
  <c r="T179" i="24"/>
  <c r="T178" i="24"/>
  <c r="T172" i="24"/>
  <c r="T171" i="24"/>
  <c r="T180" i="24" l="1"/>
  <c r="U37" i="27" l="1"/>
  <c r="U36" i="33"/>
  <c r="U36" i="34"/>
  <c r="U36" i="27"/>
  <c r="U36" i="24"/>
  <c r="U37" i="30" l="1"/>
  <c r="U35" i="30"/>
  <c r="U37" i="36"/>
  <c r="U37" i="35"/>
  <c r="U36" i="30"/>
  <c r="U36" i="36"/>
  <c r="U36" i="35"/>
  <c r="E37" i="34" l="1"/>
  <c r="E37" i="33"/>
  <c r="W37" i="33"/>
  <c r="W37" i="34"/>
  <c r="R37" i="33"/>
  <c r="D37" i="33" s="1"/>
  <c r="X37" i="34"/>
  <c r="R37" i="34"/>
  <c r="D37" i="34" s="1"/>
  <c r="V37" i="34"/>
  <c r="V37" i="33"/>
  <c r="X37" i="33"/>
  <c r="T37" i="33"/>
  <c r="T37" i="34"/>
  <c r="V37" i="38"/>
  <c r="R37" i="37" l="1"/>
  <c r="D37" i="37" s="1"/>
  <c r="X37" i="37"/>
  <c r="E37" i="37"/>
  <c r="V37" i="37"/>
  <c r="U37" i="37"/>
  <c r="T37" i="37"/>
  <c r="W37" i="37"/>
  <c r="E37" i="38"/>
  <c r="U37" i="38"/>
  <c r="T37" i="38"/>
  <c r="W37" i="38"/>
  <c r="X37" i="38"/>
  <c r="R37" i="38"/>
  <c r="D37" i="38" s="1"/>
  <c r="R37" i="24"/>
  <c r="D37" i="24" s="1"/>
  <c r="W37" i="24"/>
  <c r="U37" i="24"/>
  <c r="X37" i="24"/>
  <c r="T37" i="24"/>
  <c r="V37" i="24"/>
  <c r="E37" i="24"/>
  <c r="V35" i="33"/>
  <c r="E35" i="27"/>
  <c r="R35" i="33"/>
  <c r="D35" i="33" s="1"/>
  <c r="R35" i="27"/>
  <c r="D35" i="27" s="1"/>
  <c r="D42" i="27" s="1"/>
  <c r="X35" i="24"/>
  <c r="E35" i="33"/>
  <c r="W35" i="33"/>
  <c r="T35" i="33"/>
  <c r="V35" i="27"/>
  <c r="W35" i="27"/>
  <c r="X35" i="33"/>
  <c r="X35" i="27"/>
  <c r="T35" i="27"/>
  <c r="R35" i="24"/>
  <c r="D35" i="24" s="1"/>
  <c r="T35" i="24"/>
  <c r="V35" i="24"/>
  <c r="W35" i="24"/>
  <c r="E35" i="24"/>
  <c r="X36" i="38" l="1"/>
  <c r="E36" i="38"/>
  <c r="E36" i="39"/>
  <c r="D42" i="24"/>
  <c r="R36" i="39"/>
  <c r="D36" i="39" s="1"/>
  <c r="U36" i="39"/>
  <c r="W36" i="39"/>
  <c r="X36" i="39"/>
  <c r="V36" i="39"/>
  <c r="T36" i="39"/>
  <c r="R35" i="37"/>
  <c r="D35" i="37" s="1"/>
  <c r="U36" i="38"/>
  <c r="T36" i="38"/>
  <c r="W36" i="38"/>
  <c r="V36" i="38"/>
  <c r="R36" i="38"/>
  <c r="D36" i="38" s="1"/>
  <c r="X36" i="37"/>
  <c r="T35" i="37"/>
  <c r="U35" i="37"/>
  <c r="T36" i="37"/>
  <c r="W35" i="37"/>
  <c r="W36" i="37"/>
  <c r="R36" i="37"/>
  <c r="D36" i="37" s="1"/>
  <c r="E36" i="37"/>
  <c r="V36" i="37"/>
  <c r="E35" i="37"/>
  <c r="V35" i="37"/>
  <c r="X35" i="37"/>
  <c r="U36" i="37"/>
  <c r="T35" i="38" l="1"/>
  <c r="E35" i="39"/>
  <c r="E35" i="38"/>
  <c r="D42" i="37"/>
  <c r="U35" i="39"/>
  <c r="R35" i="39"/>
  <c r="D35" i="39" s="1"/>
  <c r="T35" i="39"/>
  <c r="W35" i="39"/>
  <c r="V35" i="39"/>
  <c r="X35" i="39"/>
  <c r="W35" i="38"/>
  <c r="X35" i="38"/>
  <c r="R35" i="38"/>
  <c r="U35" i="38"/>
  <c r="V35" i="38"/>
  <c r="D42" i="39" l="1"/>
  <c r="D51" i="39" s="1"/>
  <c r="D35" i="38"/>
  <c r="U18" i="47" l="1"/>
  <c r="U20" i="47" s="1"/>
  <c r="U32" i="47" s="1"/>
  <c r="U18" i="50"/>
  <c r="U20" i="50" s="1"/>
  <c r="U32" i="50" s="1"/>
  <c r="U18" i="30"/>
  <c r="U20" i="30" s="1"/>
  <c r="U32" i="30" s="1"/>
  <c r="U18" i="35"/>
  <c r="U20" i="35" s="1"/>
  <c r="U32" i="35" s="1"/>
  <c r="U18" i="36"/>
  <c r="U20" i="36" s="1"/>
  <c r="U32" i="36" s="1"/>
  <c r="U18" i="33"/>
  <c r="U20" i="33" s="1"/>
  <c r="U32" i="33" s="1"/>
  <c r="U18" i="34"/>
  <c r="U20" i="34" s="1"/>
  <c r="U32" i="34" s="1"/>
  <c r="U35" i="27" l="1"/>
  <c r="U35" i="33"/>
  <c r="U35" i="24"/>
  <c r="U37" i="33"/>
  <c r="U37" i="34"/>
  <c r="X35" i="34" l="1"/>
  <c r="E35" i="34"/>
  <c r="V35" i="34"/>
  <c r="R35" i="34"/>
  <c r="D35" i="34" s="1"/>
  <c r="D42" i="34" s="1"/>
  <c r="D51" i="34" s="1"/>
  <c r="U35" i="34"/>
  <c r="T35" i="34"/>
  <c r="W35" i="34"/>
  <c r="V38" i="33" l="1"/>
  <c r="E38" i="33"/>
  <c r="X38" i="33"/>
  <c r="U38" i="33"/>
  <c r="T38" i="33"/>
  <c r="W38" i="33"/>
  <c r="R38" i="33"/>
  <c r="D38" i="33" s="1"/>
  <c r="D42" i="33" s="1"/>
  <c r="D51" i="33" s="1"/>
  <c r="F37" i="34"/>
  <c r="F36" i="35"/>
  <c r="F36" i="36"/>
  <c r="G36" i="36"/>
  <c r="G36" i="35"/>
  <c r="G37" i="34"/>
  <c r="U38" i="38" l="1"/>
  <c r="E38" i="38"/>
  <c r="R38" i="38"/>
  <c r="D38" i="38" s="1"/>
  <c r="D42" i="38" s="1"/>
  <c r="D51" i="38" s="1"/>
  <c r="W38" i="38"/>
  <c r="T38" i="38"/>
  <c r="V38" i="38"/>
  <c r="X38" i="38"/>
  <c r="R20" i="33" l="1"/>
  <c r="R32" i="33" s="1"/>
  <c r="L45" i="37" l="1"/>
  <c r="M45" i="37"/>
  <c r="N45" i="37"/>
  <c r="K45" i="37"/>
  <c r="O45" i="37" s="1"/>
  <c r="D51" i="37"/>
  <c r="L45" i="27"/>
  <c r="N45" i="27"/>
  <c r="M45" i="27"/>
  <c r="K45" i="27"/>
  <c r="O45" i="27" s="1"/>
  <c r="D51" i="27"/>
  <c r="N45" i="24"/>
  <c r="K45" i="24"/>
  <c r="O45" i="24" s="1"/>
  <c r="M45" i="24"/>
  <c r="L45" i="24"/>
  <c r="D51" i="24"/>
  <c r="T35" i="35" l="1"/>
  <c r="E35" i="35"/>
  <c r="X35" i="35"/>
  <c r="W35" i="35"/>
  <c r="V35" i="35"/>
  <c r="U35" i="35"/>
  <c r="R35" i="35"/>
  <c r="D35" i="35" s="1"/>
  <c r="D42" i="35" s="1"/>
  <c r="D51" i="35" s="1"/>
  <c r="E35" i="36"/>
  <c r="W35" i="36"/>
  <c r="V35" i="36"/>
  <c r="R35" i="36"/>
  <c r="D35" i="36" s="1"/>
  <c r="D42" i="36" s="1"/>
  <c r="D51" i="36" s="1"/>
  <c r="X35" i="36"/>
  <c r="U35" i="36"/>
  <c r="T35" i="36"/>
  <c r="G37" i="47" l="1"/>
  <c r="F38" i="38"/>
  <c r="F37" i="48"/>
  <c r="G35" i="47"/>
  <c r="G37" i="50"/>
  <c r="F35" i="50"/>
  <c r="F37" i="47"/>
  <c r="G35" i="50"/>
  <c r="F37" i="49"/>
  <c r="F35" i="47"/>
  <c r="G38" i="38"/>
  <c r="G37" i="48"/>
  <c r="F37" i="50"/>
  <c r="G37" i="49"/>
  <c r="F45" i="37"/>
  <c r="G45" i="37"/>
  <c r="G37" i="30" l="1"/>
  <c r="G36" i="24"/>
  <c r="G36" i="27"/>
  <c r="G36" i="34"/>
  <c r="G36" i="33"/>
  <c r="G45" i="27"/>
  <c r="G45" i="24"/>
  <c r="F37" i="38"/>
  <c r="F37" i="37"/>
  <c r="G36" i="39"/>
  <c r="G35" i="37"/>
  <c r="G36" i="38"/>
  <c r="G36" i="37"/>
  <c r="G36" i="48"/>
  <c r="G36" i="47"/>
  <c r="G36" i="49"/>
  <c r="F37" i="30"/>
  <c r="G37" i="36"/>
  <c r="G35" i="38"/>
  <c r="G35" i="39"/>
  <c r="F36" i="48"/>
  <c r="F36" i="49"/>
  <c r="F36" i="47"/>
  <c r="G37" i="27"/>
  <c r="G37" i="24"/>
  <c r="G37" i="33"/>
  <c r="F35" i="38"/>
  <c r="F35" i="39"/>
  <c r="F37" i="36"/>
  <c r="G37" i="35"/>
  <c r="G35" i="30"/>
  <c r="G37" i="37"/>
  <c r="G37" i="38"/>
  <c r="F35" i="37"/>
  <c r="F36" i="39"/>
  <c r="F36" i="37"/>
  <c r="F36" i="38"/>
  <c r="F35" i="30"/>
  <c r="F37" i="35"/>
  <c r="F35" i="33"/>
  <c r="F35" i="34"/>
  <c r="F35" i="27"/>
  <c r="F35" i="24"/>
  <c r="F38" i="33"/>
  <c r="G35" i="27"/>
  <c r="G35" i="34"/>
  <c r="G35" i="33"/>
  <c r="G35" i="24"/>
  <c r="G35" i="36"/>
  <c r="F35" i="36"/>
  <c r="G38" i="33"/>
  <c r="G36" i="30"/>
  <c r="F35" i="35"/>
  <c r="G35" i="35"/>
  <c r="F36" i="30"/>
  <c r="F37" i="24"/>
  <c r="F37" i="33"/>
  <c r="F37" i="27"/>
  <c r="F36" i="33"/>
  <c r="F36" i="27"/>
  <c r="F36" i="24"/>
  <c r="F36" i="34"/>
  <c r="F45" i="24"/>
  <c r="F45"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tc={52E47FDE-1EEB-4D8A-AD57-7842028C01AA}</author>
    <author>tc={C1EEFB40-50DB-4C96-82FE-788D1A204E5B}</author>
    <author>tc={3E6C1F9F-34FB-4090-93CF-D9D33B6C5952}</author>
    <author>tc={F24DC046-A867-42A7-9433-36C67E68ED7C}</author>
    <author>tc={84BCDBF6-65F6-4241-84CB-FDBF0C8E215E}</author>
    <author>tc={20AB13C4-3011-4008-9041-55F701EED6B2}</author>
    <author>tc={42E8275A-B5D8-43F2-BC78-714EBD2FEEE8}</author>
    <author>tc={2FB8C425-6524-4791-BC92-E575DCC61DD8}</author>
    <author>tc={512D198A-930D-494C-9E24-D4BBD5EBD870}</author>
    <author>tc={9413502E-339F-4C3B-AAF3-858CB0C4D600}</author>
  </authors>
  <commentList>
    <comment ref="D4" authorId="0" shapeId="0" xr:uid="{52E47FDE-1EEB-4D8A-AD57-7842028C01AA}">
      <text>
        <t>[Threaded comment]
Your version of Excel allows you to read this threaded comment; however, any edits to it will get removed if the file is opened in a newer version of Excel. Learn more: https://go.microsoft.com/fwlink/?linkid=870924
Comment:
    In this entry, the livestock species age class required as input (the previous age class) is selected.</t>
      </text>
    </comment>
    <comment ref="D6" authorId="1" shapeId="0" xr:uid="{C1EEFB40-50DB-4C96-82FE-788D1A204E5B}">
      <text>
        <t>[Threaded comment]
Your version of Excel allows you to read this threaded comment; however, any edits to it will get removed if the file is opened in a newer version of Excel. Learn more: https://go.microsoft.com/fwlink/?linkid=870924
Comment:
    This entry enables the model to provide information on the total amount of the above livestock species and age class, which is needed to support the production of the livestock defined by this index card.</t>
      </text>
    </comment>
    <comment ref="H22" authorId="2" shapeId="0" xr:uid="{3E6C1F9F-34FB-4090-93CF-D9D33B6C5952}">
      <text>
        <t>[Threaded comment]
Your version of Excel allows you to read this threaded comment; however, any edits to it will get removed if the file is opened in a newer version of Excel. Learn more: https://go.microsoft.com/fwlink/?linkid=870924
Comment:
    This means the biomass pool input to the converted feed product, for instance maize is input for maize silage.</t>
      </text>
    </comment>
    <comment ref="K33" authorId="3" shapeId="0" xr:uid="{F24DC046-A867-42A7-9433-36C67E68ED7C}">
      <text>
        <t>[Threaded comment]
Your version of Excel allows you to read this threaded comment; however, any edits to it will get removed if the file is opened in a newer version of Excel. Learn more: https://go.microsoft.com/fwlink/?linkid=870924
Comment:
    This table includes the information needed for the dead proportion of the livestock species defined in this index card. When a animal dies, also the weight of the previous live stage is dead, and that is the purpose of this information.</t>
      </text>
    </comment>
    <comment ref="D68" authorId="4" shapeId="0" xr:uid="{84BCDBF6-65F6-4241-84CB-FDBF0C8E215E}">
      <text>
        <t>[Threaded comment]
Your version of Excel allows you to read this threaded comment; however, any edits to it will get removed if the file is opened in a newer version of Excel. Learn more: https://go.microsoft.com/fwlink/?linkid=870924
Comment:
    Truck larger than 20 tons</t>
      </text>
    </comment>
    <comment ref="D69" authorId="5" shapeId="0" xr:uid="{20AB13C4-3011-4008-9041-55F701EED6B2}">
      <text>
        <t>[Threaded comment]
Your version of Excel allows you to read this threaded comment; however, any edits to it will get removed if the file is opened in a newer version of Excel. Learn more: https://go.microsoft.com/fwlink/?linkid=870924
Comment:
    Truck larger than 20 tons</t>
      </text>
    </comment>
    <comment ref="D71" authorId="6" shapeId="0" xr:uid="{42E8275A-B5D8-43F2-BC78-714EBD2FEEE8}">
      <text>
        <t>[Threaded comment]
Your version of Excel allows you to read this threaded comment; however, any edits to it will get removed if the file is opened in a newer version of Excel. Learn more: https://go.microsoft.com/fwlink/?linkid=870924
Comment:
    Truck between 10 and 20 tons</t>
      </text>
    </comment>
    <comment ref="D72" authorId="7" shapeId="0" xr:uid="{2FB8C425-6524-4791-BC92-E575DCC61DD8}">
      <text>
        <t>[Threaded comment]
Your version of Excel allows you to read this threaded comment; however, any edits to it will get removed if the file is opened in a newer version of Excel. Learn more: https://go.microsoft.com/fwlink/?linkid=870924
Comment:
    Tractor transport</t>
      </text>
    </comment>
    <comment ref="D73" authorId="8" shapeId="0" xr:uid="{512D198A-930D-494C-9E24-D4BBD5EBD870}">
      <text>
        <t>[Threaded comment]
Your version of Excel allows you to read this threaded comment; however, any edits to it will get removed if the file is opened in a newer version of Excel. Learn more: https://go.microsoft.com/fwlink/?linkid=870924
Comment:
    Truck larger than 20 tons</t>
      </text>
    </comment>
    <comment ref="C84" authorId="9" shapeId="0" xr:uid="{9413502E-339F-4C3B-AAF3-858CB0C4D600}">
      <text>
        <t>[Threaded comment]
Your version of Excel allows you to read this threaded comment; however, any edits to it will get removed if the file is opened in a newer version of Excel. Learn more: https://go.microsoft.com/fwlink/?linkid=870924
Comment:
    Grain drying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tc={B60EBEAF-EDCC-44B1-8021-027FAB969793}</author>
    <author>tc={2CB75C4F-851B-4C8C-ABB0-4EBF3E5E2B01}</author>
    <author>tc={0A769790-EE85-4100-885D-1FD4DCE25FCD}</author>
    <author>tc={BB8DB62C-A809-432F-8CF7-60D0F1DEDEFB}</author>
    <author>tc={74C8D05A-6F96-4D4C-A035-2ACE06F7083D}</author>
    <author>tc={DFCBA846-2B91-4663-990E-DCCB4B83C326}</author>
    <author>tc={FF8698ED-B43B-4312-96A6-A77D7F253FF1}</author>
    <author>tc={A07B9B15-20A1-43ED-A476-21DBE7FB6243}</author>
    <author>tc={F4F207E9-EDD8-4B11-A3F2-4536D26D42D7}</author>
    <author>tc={43CF03E9-0C66-45EF-A5D2-4888BF3BB7F0}</author>
    <author>tc={6F994D13-456A-46E7-B132-B31CCC4D519E}</author>
    <author>tc={8CCD0343-36EF-4085-9061-32357B7F159F}</author>
    <author>tc={BBA7795B-94BB-4015-9DE3-3C28EA041B83}</author>
    <author>tc={FF0153F5-72E3-4A79-8F33-B33DED6375E3}</author>
    <author>tc={57925C9B-1EEC-4D39-BA52-316F36D36B59}</author>
    <author>tc={54A0D5F1-1BDF-4BA6-9BC8-9573FA072F55}</author>
    <author>tc={EB47D635-F467-4A77-B3D1-24FB9917401E}</author>
    <author>tc={B1E3313A-3DE9-4A87-A394-BCE44E8ED577}</author>
    <author>tc={7FA64C8D-4AE5-417E-A657-92AD06E4E813}</author>
    <author>tc={212ED4B2-DDBD-46BA-AA32-8FB428E39993}</author>
    <author>tc={168E4490-8176-450B-8FF9-D1CB5ECA4391}</author>
    <author>tc={FFEA3EC6-4722-485D-9187-5DF950127D56}</author>
    <author>tc={5C985B65-0C52-43E6-A45B-5DFB872A0FDF}</author>
    <author>tc={335151C9-EF78-4A4C-8ACD-28BB585EE3A5}</author>
    <author>tc={C8DDF3EB-E08E-45AA-A3AC-628184DD802B}</author>
    <author>tc={4EA8918D-1F7A-4AAA-A4B2-CFEC6DC57DA7}</author>
    <author>tc={14CCE9B2-1FAB-4101-A650-46870142FDA8}</author>
    <author>tc={3A661C6B-67A4-496D-B68F-88C58C051C5B}</author>
    <author>tc={9190BDF8-7C25-4E70-99CB-3977DD01E028}</author>
    <author>tc={7868A6D1-53DB-4668-8332-F23618CA05D8}</author>
    <author>tc={F80AC1C6-7810-49F8-BEBD-1C43366B1883}</author>
    <author>tc={E64AC16E-9BE2-4D67-9EE7-EDB97DF4F9B4}</author>
    <author>tc={F45AA29B-AD50-4EC2-8E1C-F00BA864B8B1}</author>
    <author>tc={05EF4D54-05B7-4B6C-B170-1C49A33CAA86}</author>
    <author>tc={51F7BD60-60BE-46D1-A67B-33723A7A7B84}</author>
    <author>tc={359C6D14-72B0-4341-8815-221E6FE57CD8}</author>
    <author>tc={E15FCAEB-4333-4821-AF11-95825C27E8A0}</author>
    <author>tc={C9FE3D46-C70A-4161-A324-2C48736CE465}</author>
    <author>tc={8CC2F684-C748-437F-9A47-1F910133636C}</author>
    <author>tc={AF6C6DC1-46A5-4271-BE39-E1461D6EDC49}</author>
    <author>tc={89C2D5D2-0DFB-4B7E-86B6-1E2D33E39CDF}</author>
    <author>tc={86245989-7191-4006-BC78-6D4227584FF9}</author>
    <author>tc={D92A8561-C8B7-47DC-816A-82BE93207852}</author>
    <author>tc={D140D44D-C43F-4D0A-9617-5372E960BECF}</author>
    <author>tc={B709B115-149F-472E-B031-A50C02E4E575}</author>
    <author>tc={DD39B12A-5E41-44D8-8E4E-26998BDC1862}</author>
    <author>tc={088EC4D7-4D14-485F-AE41-EBE973E89B63}</author>
    <author>tc={FC4C47CE-E8AA-4F10-9782-FE39AB750649}</author>
    <author>tc={2401878E-514C-4615-B20D-16126422AE5C}</author>
    <author>tc={8E6E3CBD-4784-409C-97DB-BD5B66B183D4}</author>
    <author>tc={531B0BDE-1C1A-41D0-8BA9-43626A620267}</author>
    <author>tc={76A150A5-452D-40E0-AD73-887E25ECC476}</author>
    <author>tc={7A5BAB70-1CDC-4825-A29A-6EAEA7C741AD}</author>
    <author>tc={CD459158-B7FE-4B01-A951-0F3FF6AD4923}</author>
    <author>tc={004379F3-8771-4F48-9BBC-A73195E6E954}</author>
    <author>tc={37EDB4E5-4C44-40AB-B81C-B8B5FED8990D}</author>
    <author>tc={8B5F515D-DA85-473F-834B-5D60FD368577}</author>
    <author>tc={C0E3CCB3-A912-4675-AEDC-B75826CC2F0A}</author>
    <author>tc={E2A0B92F-B02F-44BF-9398-4DCEC48644B2}</author>
    <author>tc={9980606D-7524-42A2-9D62-59FE87727410}</author>
    <author>tc={69C484F4-088B-4AC2-8218-9308447AB596}</author>
    <author>tc={ACBFB6A4-4ECB-4545-A71E-D69B9F7F7155}</author>
    <author>tc={B3E85673-F4B1-4814-AF42-A2CEA30CD825}</author>
    <author>tc={90E0816D-74AE-49D0-85B8-15E1F2F59E73}</author>
    <author>tc={93298F12-7D1E-4B07-A448-611059892D89}</author>
    <author>tc={15F7200B-7A97-4DA6-9197-57C8FC885360}</author>
    <author>tc={721542CE-4A36-4018-BDDB-E6F291AAC940}</author>
    <author>tc={180158D2-BD35-4E22-A2D9-7FF154C866E7}</author>
    <author>tc={D3316A5A-73D6-4E96-8C2F-CC76A02D09C2}</author>
    <author>tc={C4777BEA-EFF1-4B8A-8F1C-59BB931A0CAC}</author>
    <author>tc={16B48899-AB9A-4E57-BCF3-AE6AA77EC944}</author>
    <author>tc={3C9A37E7-EBC4-49D2-BD43-BA7741559BBB}</author>
    <author>tc={9A255EC4-896A-4E41-8E96-7B02007927F7}</author>
    <author>tc={C714C49F-77EF-42A1-8F1C-3C98C7425962}</author>
    <author>tc={A631B509-EEC3-4D5D-8BA7-C467B210AD92}</author>
    <author>tc={FFC76F75-5CC7-4221-B983-F6F46A591D2C}</author>
    <author>tc={A7317C9E-C7D2-4177-B8C8-812BAB0738C4}</author>
    <author>tc={A0A022F6-3CED-410B-BB23-CDDF62B938AD}</author>
    <author>tc={BAA81C7C-C554-4F01-9B75-376FC67521E0}</author>
    <author>tc={BF6EC29E-CC56-4082-836C-2DBA6738E34C}</author>
    <author>tc={4A8362BF-2F00-434A-A5A8-72E4E910A595}</author>
    <author>tc={6F854CA8-A4F1-4683-B735-52EB254042F3}</author>
    <author>tc={58A78AEE-4B78-46D9-98EA-399DCE3716D7}</author>
    <author>tc={974DA0A6-0A24-474E-9A55-8E0F2E5F0304}</author>
    <author>tc={BA981AB2-4A44-4626-82EB-9C6F35C771BF}</author>
    <author>tc={14A03AE8-EA08-4132-B023-81434625C526}</author>
    <author>tc={632034DF-AA3E-41E6-946E-73C9053B575D}</author>
    <author>tc={FEE5EBF3-065E-47F9-97AC-65B566B630A8}</author>
    <author>tc={CB0A5849-2D8C-4276-A01D-186D3F197D5B}</author>
    <author>tc={D20AA195-E90B-488C-8380-A70004326067}</author>
    <author>tc={9D69C42B-42A6-4A77-B3B7-75A1B88C765B}</author>
    <author>tc={0C76DAD2-5829-4F1F-B40E-CC5D3B39B8E5}</author>
    <author>tc={9BC6AF48-CDB1-411E-AED7-4D1D27584EFA}</author>
    <author>tc={01F07919-A9AB-4C91-8D87-95B3B760D385}</author>
    <author>tc={CB1FD57A-060A-4B8B-9AEA-7FCC71551E28}</author>
    <author>tc={18A0E7AA-38C2-43A3-BF2A-A5C10561C90C}</author>
  </authors>
  <commentList>
    <comment ref="B3" authorId="0" shapeId="0" xr:uid="{B60EBEAF-EDCC-44B1-8021-027FAB969793}">
      <text>
        <t>[Threaded comment]
Your version of Excel allows you to read this threaded comment; however, any edits to it will get removed if the file is opened in a newer version of Excel. Learn more: https://go.microsoft.com/fwlink/?linkid=870924
Comment:
    For definitions of manure products, see Table 33 (Processed products without a fixed difinition (content)).</t>
      </text>
    </comment>
    <comment ref="J3" authorId="1" shapeId="0" xr:uid="{2CB75C4F-851B-4C8C-ABB0-4EBF3E5E2B01}">
      <text>
        <t>[Threaded comment]
Your version of Excel allows you to read this threaded comment; however, any edits to it will get removed if the file is opened in a newer version of Excel. Learn more: https://go.microsoft.com/fwlink/?linkid=870924
Comment:
    For definitions of manure products, see Table 33 (Processed products without a fixed difinition (content)).</t>
      </text>
    </comment>
    <comment ref="A4" authorId="2" shapeId="0" xr:uid="{0A769790-EE85-4100-885D-1FD4DCE25FCD}">
      <text>
        <t xml:space="preserve">[Threaded comment]
Your version of Excel allows you to read this threaded comment; however, any edits to it will get removed if the file is opened in a newer version of Excel. Learn more: https://go.microsoft.com/fwlink/?linkid=870924
Comment:
    Cattle stable, where the cattle are tied and produce the manure types of solid manure and urine </t>
      </text>
    </comment>
    <comment ref="A5" authorId="3" shapeId="0" xr:uid="{BB8DB62C-A809-432F-8CF7-60D0F1DEDEFB}">
      <text>
        <t>[Threaded comment]
Your version of Excel allows you to read this threaded comment; however, any edits to it will get removed if the file is opened in a newer version of Excel. Learn more: https://go.microsoft.com/fwlink/?linkid=870924
Comment:
    Cattle stable, where the cattle are tied and produce the manure type of slurry</t>
      </text>
    </comment>
    <comment ref="A6" authorId="4" shapeId="0" xr:uid="{74C8D05A-6F96-4D4C-A035-2ACE06F7083D}">
      <text>
        <t>[Threaded comment]
Your version of Excel allows you to read this threaded comment; however, any edits to it will get removed if the file is opened in a newer version of Excel. Learn more: https://go.microsoft.com/fwlink/?linkid=870924
Comment:
    Cattle stable, with cubicles and solid floor, where the cattle produce the manure type of slurry</t>
      </text>
    </comment>
    <comment ref="A7" authorId="5" shapeId="0" xr:uid="{DFCBA846-2B91-4663-990E-DCCB4B83C326}">
      <text>
        <t>[Threaded comment]
Your version of Excel allows you to read this threaded comment; however, any edits to it will get removed if the file is opened in a newer version of Excel. Learn more: https://go.microsoft.com/fwlink/?linkid=870924
Comment:
    Cattle stable with cubicles and slatted floor (channel, line winch), where the cattle produce the manure type of slurry.</t>
      </text>
    </comment>
    <comment ref="A8" authorId="6" shapeId="0" xr:uid="{FF8698ED-B43B-4312-96A6-A77D7F253FF1}">
      <text>
        <t>[Threaded comment]
Your version of Excel allows you to read this threaded comment; however, any edits to it will get removed if the file is opened in a newer version of Excel. Learn more: https://go.microsoft.com/fwlink/?linkid=870924
Comment:
    Cattle stable with cubicles and slatted floor (channel, backwash or ring channel), where the cattle produce the manure type of slurry.</t>
      </text>
    </comment>
    <comment ref="A9" authorId="7" shapeId="0" xr:uid="{A07B9B15-20A1-43ED-A476-21DBE7FB6243}">
      <text>
        <t>[Threaded comment]
Your version of Excel allows you to read this threaded comment; however, any edits to it will get removed if the file is opened in a newer version of Excel. Learn more: https://go.microsoft.com/fwlink/?linkid=870924
Comment:
    Cattle stable with cubicles and drained solid floor, where the cattle produce the manure type of slurry.</t>
      </text>
    </comment>
    <comment ref="A10" authorId="8" shapeId="0" xr:uid="{F4F207E9-EDD8-4B11-A3F2-4536D26D42D7}">
      <text>
        <t>[Threaded comment]
Your version of Excel allows you to read this threaded comment; however, any edits to it will get removed if the file is opened in a newer version of Excel. Learn more: https://go.microsoft.com/fwlink/?linkid=870924
Comment:
    Cattle stable with full area deep litter, where the cattle produce the manure type of deep litter.</t>
      </text>
    </comment>
    <comment ref="A11" authorId="9" shapeId="0" xr:uid="{43CF03E9-0C66-45EF-A5D2-4888BF3BB7F0}">
      <text>
        <t>[Threaded comment]
Your version of Excel allows you to read this threaded comment; however, any edits to it will get removed if the file is opened in a newer version of Excel. Learn more: https://go.microsoft.com/fwlink/?linkid=870924
Comment:
    Cattle stable with deep litter and solid floor, where the cattle produce the manure types of deep litter and slurry.</t>
      </text>
    </comment>
    <comment ref="A12" authorId="10" shapeId="0" xr:uid="{6F994D13-456A-46E7-B132-B31CCC4D519E}">
      <text>
        <t>[Threaded comment]
Your version of Excel allows you to read this threaded comment; however, any edits to it will get removed if the file is opened in a newer version of Excel. Learn more: https://go.microsoft.com/fwlink/?linkid=870924
Comment:
    Cattle stable with deep litter and slatted floor (channel, line winch), where the cattle produce the manure types of deep litter and slurry.</t>
      </text>
    </comment>
    <comment ref="A13" authorId="11" shapeId="0" xr:uid="{8CCD0343-36EF-4085-9061-32357B7F159F}">
      <text>
        <t>[Threaded comment]
Your version of Excel allows you to read this threaded comment; however, any edits to it will get removed if the file is opened in a newer version of Excel. Learn more: https://go.microsoft.com/fwlink/?linkid=870924
Comment:
    Cattle stable with deep litter and slatted floor (channel, backwash or ring channel), where the cattle produce the manure types of deep litter and slurry.</t>
      </text>
    </comment>
    <comment ref="A14" authorId="12" shapeId="0" xr:uid="{BBA7795B-94BB-4015-9DE3-3C28EA041B83}">
      <text>
        <t>[Threaded comment]
Your version of Excel allows you to read this threaded comment; however, any edits to it will get removed if the file is opened in a newer version of Excel. Learn more: https://go.microsoft.com/fwlink/?linkid=870924
Comment:
    Cattle stable with deep litter and drained solid floor, where the cattle produce the manure types of deep litter and slurry.</t>
      </text>
    </comment>
    <comment ref="A15" authorId="13" shapeId="0" xr:uid="{FF0153F5-72E3-4A79-8F33-B33DED6375E3}">
      <text>
        <t>[Threaded comment]
Your version of Excel allows you to read this threaded comment; however, any edits to it will get removed if the file is opened in a newer version of Excel. Learn more: https://go.microsoft.com/fwlink/?linkid=870924
Comment:
    Grazing, the cattle are outside.</t>
      </text>
    </comment>
    <comment ref="A16" authorId="14" shapeId="0" xr:uid="{57925C9B-1EEC-4D39-BA52-316F36D36B59}">
      <text>
        <t xml:space="preserve">[Threaded comment]
Your version of Excel allows you to read this threaded comment; however, any edits to it will get removed if the file is opened in a newer version of Excel. Learn more: https://go.microsoft.com/fwlink/?linkid=870924
Comment:
    A stable for sows during mating and gestation, with individual housing and partly slatted floor, and where the sows produce the manure type of slurry.
</t>
      </text>
    </comment>
    <comment ref="A17" authorId="15" shapeId="0" xr:uid="{54A0D5F1-1BDF-4BA6-9BC8-9573FA072F55}">
      <text>
        <t>[Threaded comment]
Your version of Excel allows you to read this threaded comment; however, any edits to it will get removed if the file is opened in a newer version of Excel. Learn more: https://go.microsoft.com/fwlink/?linkid=870924
Comment:
    A stable for sows during mating and gestation, with individual housing and solid floor, and where the sows produce the manure type of solid manure and urine.</t>
      </text>
    </comment>
    <comment ref="A18" authorId="16" shapeId="0" xr:uid="{EB47D635-F467-4A77-B3D1-24FB9917401E}">
      <text>
        <t>[Threaded comment]
Your version of Excel allows you to read this threaded comment; however, any edits to it will get removed if the file is opened in a newer version of Excel. Learn more: https://go.microsoft.com/fwlink/?linkid=870924
Comment:
    A stable for sows during mating and gestation, with deep litter and slatted floor, and where the sows produce the manure types of deep litter and slurry.</t>
      </text>
    </comment>
    <comment ref="A19" authorId="17" shapeId="0" xr:uid="{B1E3313A-3DE9-4A87-A394-BCE44E8ED577}">
      <text>
        <t>[Threaded comment]
Your version of Excel allows you to read this threaded comment; however, any edits to it will get removed if the file is opened in a newer version of Excel. Learn more: https://go.microsoft.com/fwlink/?linkid=870924
Comment:
    A stable for sows during mating and gestation, with deep litter and solid floor, and where the sows produce the manure types of deep litter and slurry.</t>
      </text>
    </comment>
    <comment ref="A20" authorId="18" shapeId="0" xr:uid="{7FA64C8D-4AE5-417E-A657-92AD06E4E813}">
      <text>
        <t>[Threaded comment]
Your version of Excel allows you to read this threaded comment; however, any edits to it will get removed if the file is opened in a newer version of Excel. Learn more: https://go.microsoft.com/fwlink/?linkid=870924
Comment:
    A stable for sows during mating and gestation, with deep litter, where the sows produce the manure type of deep litter.</t>
      </text>
    </comment>
    <comment ref="A21" authorId="19" shapeId="0" xr:uid="{212ED4B2-DDBD-46BA-AA32-8FB428E39993}">
      <text>
        <t>[Threaded comment]
Your version of Excel allows you to read this threaded comment; however, any edits to it will get removed if the file is opened in a newer version of Excel. Learn more: https://go.microsoft.com/fwlink/?linkid=870924
Comment:
    A stable for sows during mating and gestation, with partly slatted floor, and where the sows produce the manure type of slurry.</t>
      </text>
    </comment>
    <comment ref="A22" authorId="20" shapeId="0" xr:uid="{168E4490-8176-450B-8FF9-D1CB5ECA4391}">
      <text>
        <t>[Threaded comment]
Your version of Excel allows you to read this threaded comment; however, any edits to it will get removed if the file is opened in a newer version of Excel. Learn more: https://go.microsoft.com/fwlink/?linkid=870924
Comment:
    A stable with farrowing pens for sows, with partly slatted floor, and where the sows produce the manure type of slurry.</t>
      </text>
    </comment>
    <comment ref="A23" authorId="21" shapeId="0" xr:uid="{FFEA3EC6-4722-485D-9187-5DF950127D56}">
      <text>
        <t>[Threaded comment]
Your version of Excel allows you to read this threaded comment; however, any edits to it will get removed if the file is opened in a newer version of Excel. Learn more: https://go.microsoft.com/fwlink/?linkid=870924
Comment:
    A stable with farrowing pens for sows, with  slatted floor, and where the sows produce the manure type of slurry.</t>
      </text>
    </comment>
    <comment ref="A24" authorId="22" shapeId="0" xr:uid="{5C985B65-0C52-43E6-A45B-5DFB872A0FDF}">
      <text>
        <t>[Threaded comment]
Your version of Excel allows you to read this threaded comment; however, any edits to it will get removed if the file is opened in a newer version of Excel. Learn more: https://go.microsoft.com/fwlink/?linkid=870924
Comment:
    Sows outside in a farrowing fen.</t>
      </text>
    </comment>
    <comment ref="A25" authorId="23" shapeId="0" xr:uid="{335151C9-EF78-4A4C-8ACD-28BB585EE3A5}">
      <text>
        <t>[Threaded comment]
Your version of Excel allows you to read this threaded comment; however, any edits to it will get removed if the file is opened in a newer version of Excel. Learn more: https://go.microsoft.com/fwlink/?linkid=870924
Comment:
    A stable for slaughter pigs with partly slatted floor, and where the pigs produce the manure type of slurry.</t>
      </text>
    </comment>
    <comment ref="A26" authorId="24" shapeId="0" xr:uid="{C8DDF3EB-E08E-45AA-A3AC-628184DD802B}">
      <text>
        <t>[Threaded comment]
Your version of Excel allows you to read this threaded comment; however, any edits to it will get removed if the file is opened in a newer version of Excel. Learn more: https://go.microsoft.com/fwlink/?linkid=870924
Comment:
    A stable for slaughter pigs with partly slatted floor, and where the pigs produce the manure type of slurry.</t>
      </text>
    </comment>
    <comment ref="A27" authorId="25" shapeId="0" xr:uid="{4EA8918D-1F7A-4AAA-A4B2-CFEC6DC57DA7}">
      <text>
        <t>[Threaded comment]
Your version of Excel allows you to read this threaded comment; however, any edits to it will get removed if the file is opened in a newer version of Excel. Learn more: https://go.microsoft.com/fwlink/?linkid=870924
Comment:
    A stable for slaughter pigs with partly slatted floor, and where the pigs produce the manure type of slurry.</t>
      </text>
    </comment>
    <comment ref="A28" authorId="26" shapeId="0" xr:uid="{14CCE9B2-1FAB-4101-A650-46870142FDA8}">
      <text>
        <t>[Threaded comment]
Your version of Excel allows you to read this threaded comment; however, any edits to it will get removed if the file is opened in a newer version of Excel. Learn more: https://go.microsoft.com/fwlink/?linkid=870924
Comment:
    A stable for slaughter pigs with deep litter, and where the pigs produce the manure type of deep litter.</t>
      </text>
    </comment>
    <comment ref="A29" authorId="27" shapeId="0" xr:uid="{3A661C6B-67A4-496D-B68F-88C58C051C5B}">
      <text>
        <t>[Threaded comment]
Your version of Excel allows you to read this threaded comment; however, any edits to it will get removed if the file is opened in a newer version of Excel. Learn more: https://go.microsoft.com/fwlink/?linkid=870924
Comment:
    Duo climate stable for piglets, with slatted floor, and where the piglets produce the manure type of slurry.</t>
      </text>
    </comment>
    <comment ref="A30" authorId="28" shapeId="0" xr:uid="{9190BDF8-7C25-4E70-99CB-3977DD01E028}">
      <text>
        <t>[Threaded comment]
Your version of Excel allows you to read this threaded comment; however, any edits to it will get removed if the file is opened in a newer version of Excel. Learn more: https://go.microsoft.com/fwlink/?linkid=870924
Comment:
    Duo climate stable for piglets, with drained and slatted floor, and where the piglets produce the manure type of slurry.</t>
      </text>
    </comment>
    <comment ref="A31" authorId="29" shapeId="0" xr:uid="{7868A6D1-53DB-4668-8332-F23618CA05D8}">
      <text>
        <t>[Threaded comment]
Your version of Excel allows you to read this threaded comment; however, any edits to it will get removed if the file is opened in a newer version of Excel. Learn more: https://go.microsoft.com/fwlink/?linkid=870924
Comment:
    Deep litter stable for piglets, where the piglets produce the manure type of deep litter.</t>
      </text>
    </comment>
    <comment ref="A32" authorId="30" shapeId="0" xr:uid="{F80AC1C6-7810-49F8-BEBD-1C43366B1883}">
      <text>
        <t xml:space="preserve">[Threaded comment]
Your version of Excel allows you to read this threaded comment; however, any edits to it will get removed if the file is opened in a newer version of Excel. Learn more: https://go.microsoft.com/fwlink/?linkid=870924
Comment:
    Stable for organic cattle, where the cattle are tied and produce the manure types of solid manure and urine </t>
      </text>
    </comment>
    <comment ref="A33" authorId="31" shapeId="0" xr:uid="{E64AC16E-9BE2-4D67-9EE7-EDB97DF4F9B4}">
      <text>
        <t>[Threaded comment]
Your version of Excel allows you to read this threaded comment; however, any edits to it will get removed if the file is opened in a newer version of Excel. Learn more: https://go.microsoft.com/fwlink/?linkid=870924
Comment:
    Stable for organic cattle, where the cattle are tied and produce the manure type of slurry</t>
      </text>
    </comment>
    <comment ref="A34" authorId="32" shapeId="0" xr:uid="{F45AA29B-AD50-4EC2-8E1C-F00BA864B8B1}">
      <text>
        <t>[Threaded comment]
Your version of Excel allows you to read this threaded comment; however, any edits to it will get removed if the file is opened in a newer version of Excel. Learn more: https://go.microsoft.com/fwlink/?linkid=870924
Comment:
    Stable for organic cattle, with cubicles and solid floor, where the catlle produce the manure type of slurry</t>
      </text>
    </comment>
    <comment ref="A35" authorId="33" shapeId="0" xr:uid="{05EF4D54-05B7-4B6C-B170-1C49A33CAA86}">
      <text>
        <t>[Threaded comment]
Your version of Excel allows you to read this threaded comment; however, any edits to it will get removed if the file is opened in a newer version of Excel. Learn more: https://go.microsoft.com/fwlink/?linkid=870924
Comment:
    Stable for organic cattle with cubicles and slatted floor (channel, line winch), where the cattle produce the manure type of slurry.</t>
      </text>
    </comment>
    <comment ref="A36" authorId="34" shapeId="0" xr:uid="{51F7BD60-60BE-46D1-A67B-33723A7A7B84}">
      <text>
        <t>[Threaded comment]
Your version of Excel allows you to read this threaded comment; however, any edits to it will get removed if the file is opened in a newer version of Excel. Learn more: https://go.microsoft.com/fwlink/?linkid=870924
Comment:
    Stable for organic cattle with cubicles and slatted floor (channel, backwash or ring channel), where the cattle produce the manure type of slurry.</t>
      </text>
    </comment>
    <comment ref="A37" authorId="35" shapeId="0" xr:uid="{359C6D14-72B0-4341-8815-221E6FE57CD8}">
      <text>
        <t>[Threaded comment]
Your version of Excel allows you to read this threaded comment; however, any edits to it will get removed if the file is opened in a newer version of Excel. Learn more: https://go.microsoft.com/fwlink/?linkid=870924
Comment:
    Stable for organic cattle with cubicles and drained solid floor, where the cattle produce the manure type of slurry.</t>
      </text>
    </comment>
    <comment ref="A38" authorId="36" shapeId="0" xr:uid="{E15FCAEB-4333-4821-AF11-95825C27E8A0}">
      <text>
        <t>[Threaded comment]
Your version of Excel allows you to read this threaded comment; however, any edits to it will get removed if the file is opened in a newer version of Excel. Learn more: https://go.microsoft.com/fwlink/?linkid=870924
Comment:
    Stable for organic cattle with full area deep litter, where the cattle produce the manure type of deep litter.</t>
      </text>
    </comment>
    <comment ref="A39" authorId="37" shapeId="0" xr:uid="{C9FE3D46-C70A-4161-A324-2C48736CE465}">
      <text>
        <t>[Threaded comment]
Your version of Excel allows you to read this threaded comment; however, any edits to it will get removed if the file is opened in a newer version of Excel. Learn more: https://go.microsoft.com/fwlink/?linkid=870924
Comment:
    Stable for organic cattle with deep litter and solid floor, where the cattle produce the manure types of deep litter and slurry.</t>
      </text>
    </comment>
    <comment ref="A40" authorId="38" shapeId="0" xr:uid="{8CC2F684-C748-437F-9A47-1F910133636C}">
      <text>
        <t>[Threaded comment]
Your version of Excel allows you to read this threaded comment; however, any edits to it will get removed if the file is opened in a newer version of Excel. Learn more: https://go.microsoft.com/fwlink/?linkid=870924
Comment:
    Stable for organic cattle with deep litter and slatted floor (channel, line winch), where the cattle produce the manure types of deep litter and slurry.</t>
      </text>
    </comment>
    <comment ref="A41" authorId="39" shapeId="0" xr:uid="{AF6C6DC1-46A5-4271-BE39-E1461D6EDC49}">
      <text>
        <t>[Threaded comment]
Your version of Excel allows you to read this threaded comment; however, any edits to it will get removed if the file is opened in a newer version of Excel. Learn more: https://go.microsoft.com/fwlink/?linkid=870924
Comment:
    Stable for organic cattle with deep litter and slatted floor (channel, backwash or ring channel), where the cattle produce the manure types of deep litter and slurry.</t>
      </text>
    </comment>
    <comment ref="A42" authorId="40" shapeId="0" xr:uid="{89C2D5D2-0DFB-4B7E-86B6-1E2D33E39CDF}">
      <text>
        <t>[Threaded comment]
Your version of Excel allows you to read this threaded comment; however, any edits to it will get removed if the file is opened in a newer version of Excel. Learn more: https://go.microsoft.com/fwlink/?linkid=870924
Comment:
    Stable for organic cattle with deep litter and drained solid floor, where the cattle produce the manure types of deep litter and slurry.</t>
      </text>
    </comment>
    <comment ref="A44" authorId="41" shapeId="0" xr:uid="{86245989-7191-4006-BC78-6D4227584FF9}">
      <text>
        <t xml:space="preserve">[Threaded comment]
Your version of Excel allows you to read this threaded comment; however, any edits to it will get removed if the file is opened in a newer version of Excel. Learn more: https://go.microsoft.com/fwlink/?linkid=870924
Comment:
    Stable for heifers, where the cattle are tied and produce the manure types of solid manure and urine </t>
      </text>
    </comment>
    <comment ref="A45" authorId="42" shapeId="0" xr:uid="{D92A8561-C8B7-47DC-816A-82BE93207852}">
      <text>
        <t>[Threaded comment]
Your version of Excel allows you to read this threaded comment; however, any edits to it will get removed if the file is opened in a newer version of Excel. Learn more: https://go.microsoft.com/fwlink/?linkid=870924
Comment:
    Stable for heifers, where the cattle are tied and produce the manure type of slurry</t>
      </text>
    </comment>
    <comment ref="A46" authorId="43" shapeId="0" xr:uid="{D140D44D-C43F-4D0A-9617-5372E960BECF}">
      <text>
        <t>[Threaded comment]
Your version of Excel allows you to read this threaded comment; however, any edits to it will get removed if the file is opened in a newer version of Excel. Learn more: https://go.microsoft.com/fwlink/?linkid=870924
Comment:
    Stable for heifers, with cubicles and solid floor, where the cattle produce the manure type of slurry</t>
      </text>
    </comment>
    <comment ref="A47" authorId="44" shapeId="0" xr:uid="{B709B115-149F-472E-B031-A50C02E4E575}">
      <text>
        <t>[Threaded comment]
Your version of Excel allows you to read this threaded comment; however, any edits to it will get removed if the file is opened in a newer version of Excel. Learn more: https://go.microsoft.com/fwlink/?linkid=870924
Comment:
    Stable for heifers with cubicles and slatted floor (channel, backwash or ring channel), where the cattle produce the manure type of slurry.</t>
      </text>
    </comment>
    <comment ref="A48" authorId="45" shapeId="0" xr:uid="{DD39B12A-5E41-44D8-8E4E-26998BDC1862}">
      <text>
        <t>[Threaded comment]
Your version of Excel allows you to read this threaded comment; however, any edits to it will get removed if the file is opened in a newer version of Excel. Learn more: https://go.microsoft.com/fwlink/?linkid=870924
Comment:
    Stable for heifers with cubicles and slatted floor (channel, backwash or ring channel), where the cattle produce the manure type of slurry.</t>
      </text>
    </comment>
    <comment ref="A49" authorId="46" shapeId="0" xr:uid="{088EC4D7-4D14-485F-AE41-EBE973E89B63}">
      <text>
        <t>[Threaded comment]
Your version of Excel allows you to read this threaded comment; however, any edits to it will get removed if the file is opened in a newer version of Excel. Learn more: https://go.microsoft.com/fwlink/?linkid=870924
Comment:
    Stable for heifers with cubicles and drained solid floor, where the cattle produce the manure type of slurry.</t>
      </text>
    </comment>
    <comment ref="A50" authorId="47" shapeId="0" xr:uid="{FC4C47CE-E8AA-4F10-9782-FE39AB750649}">
      <text>
        <t>[Threaded comment]
Your version of Excel allows you to read this threaded comment; however, any edits to it will get removed if the file is opened in a newer version of Excel. Learn more: https://go.microsoft.com/fwlink/?linkid=870924
Comment:
    Stable for heifers with full area deep litter, where the cattle produce the manure type of deep litter.</t>
      </text>
    </comment>
    <comment ref="A51" authorId="48" shapeId="0" xr:uid="{2401878E-514C-4615-B20D-16126422AE5C}">
      <text>
        <t>[Threaded comment]
Your version of Excel allows you to read this threaded comment; however, any edits to it will get removed if the file is opened in a newer version of Excel. Learn more: https://go.microsoft.com/fwlink/?linkid=870924
Comment:
    Stable for heifers with deep litter and solid floor, where the cattle produce the manure types of deep litter and slurry.</t>
      </text>
    </comment>
    <comment ref="A52" authorId="49" shapeId="0" xr:uid="{8E6E3CBD-4784-409C-97DB-BD5B66B183D4}">
      <text>
        <t>[Threaded comment]
Your version of Excel allows you to read this threaded comment; however, any edits to it will get removed if the file is opened in a newer version of Excel. Learn more: https://go.microsoft.com/fwlink/?linkid=870924
Comment:
    Stable for heifers with deep litter and solid floor, where the cattle produce the manure types of deep litter and slurry.</t>
      </text>
    </comment>
    <comment ref="A53" authorId="50" shapeId="0" xr:uid="{531B0BDE-1C1A-41D0-8BA9-43626A620267}">
      <text>
        <t>[Threaded comment]
Your version of Excel allows you to read this threaded comment; however, any edits to it will get removed if the file is opened in a newer version of Excel. Learn more: https://go.microsoft.com/fwlink/?linkid=870924
Comment:
    Stable for heifers with deep litter and slatted floor (channel, line winch), where the cattle produce the manure types of deep litter and slurry.</t>
      </text>
    </comment>
    <comment ref="A54" authorId="51" shapeId="0" xr:uid="{76A150A5-452D-40E0-AD73-887E25ECC476}">
      <text>
        <t>[Threaded comment]
Your version of Excel allows you to read this threaded comment; however, any edits to it will get removed if the file is opened in a newer version of Excel. Learn more: https://go.microsoft.com/fwlink/?linkid=870924
Comment:
    Stable for heifers with deep litter and slatted floor (channel, backwash or ring channel), where the cattle produce the manure types of deep litter and slurry.</t>
      </text>
    </comment>
    <comment ref="A55" authorId="52" shapeId="0" xr:uid="{7A5BAB70-1CDC-4825-A29A-6EAEA7C741AD}">
      <text>
        <t>[Threaded comment]
Your version of Excel allows you to read this threaded comment; however, any edits to it will get removed if the file is opened in a newer version of Excel. Learn more: https://go.microsoft.com/fwlink/?linkid=870924
Comment:
    Stable for heifers in a stable with fully slatted floor.</t>
      </text>
    </comment>
    <comment ref="A56" authorId="53" shapeId="0" xr:uid="{CD459158-B7FE-4B01-A951-0F3FF6AD4923}">
      <text>
        <t xml:space="preserve">[Threaded comment]
Your version of Excel allows you to read this threaded comment; however, any edits to it will get removed if the file is opened in a newer version of Excel. Learn more: https://go.microsoft.com/fwlink/?linkid=870924
Comment:
    Stable for organic heifers, where the catlle are tied and produce the manure types of solid manure and urine </t>
      </text>
    </comment>
    <comment ref="A57" authorId="54" shapeId="0" xr:uid="{004379F3-8771-4F48-9BBC-A73195E6E954}">
      <text>
        <t>[Threaded comment]
Your version of Excel allows you to read this threaded comment; however, any edits to it will get removed if the file is opened in a newer version of Excel. Learn more: https://go.microsoft.com/fwlink/?linkid=870924
Comment:
    Stable for organic heifers, where the catlle are tied and produce the manure type of slurry</t>
      </text>
    </comment>
    <comment ref="A58" authorId="55" shapeId="0" xr:uid="{37EDB4E5-4C44-40AB-B81C-B8B5FED8990D}">
      <text>
        <t>[Threaded comment]
Your version of Excel allows you to read this threaded comment; however, any edits to it will get removed if the file is opened in a newer version of Excel. Learn more: https://go.microsoft.com/fwlink/?linkid=870924
Comment:
    Stable for organic heifers, with cubicles and solid floor, where the cattle produce the manure type of slurry</t>
      </text>
    </comment>
    <comment ref="A59" authorId="56" shapeId="0" xr:uid="{8B5F515D-DA85-473F-834B-5D60FD368577}">
      <text>
        <t>[Threaded comment]
Your version of Excel allows you to read this threaded comment; however, any edits to it will get removed if the file is opened in a newer version of Excel. Learn more: https://go.microsoft.com/fwlink/?linkid=870924
Comment:
    Stable for organic heifers with cubicles and slatted floor (channel, backwash or ring channel), where the cattle produce the manure type of slurry.</t>
      </text>
    </comment>
    <comment ref="A60" authorId="57" shapeId="0" xr:uid="{C0E3CCB3-A912-4675-AEDC-B75826CC2F0A}">
      <text>
        <t>[Threaded comment]
Your version of Excel allows you to read this threaded comment; however, any edits to it will get removed if the file is opened in a newer version of Excel. Learn more: https://go.microsoft.com/fwlink/?linkid=870924
Comment:
    Stable for organic heifers with cubicles and slatted floor (channel, backwash or ring channel), where the cattle produce the manure type of slurry.</t>
      </text>
    </comment>
    <comment ref="A61" authorId="58" shapeId="0" xr:uid="{E2A0B92F-B02F-44BF-9398-4DCEC48644B2}">
      <text>
        <t>[Threaded comment]
Your version of Excel allows you to read this threaded comment; however, any edits to it will get removed if the file is opened in a newer version of Excel. Learn more: https://go.microsoft.com/fwlink/?linkid=870924
Comment:
    Stable for organic heifers with cubicles and drained solid floor, where the cattle produce the manure type of slurry.</t>
      </text>
    </comment>
    <comment ref="A62" authorId="59" shapeId="0" xr:uid="{9980606D-7524-42A2-9D62-59FE87727410}">
      <text>
        <t>[Threaded comment]
Your version of Excel allows you to read this threaded comment; however, any edits to it will get removed if the file is opened in a newer version of Excel. Learn more: https://go.microsoft.com/fwlink/?linkid=870924
Comment:
    Stable for organic heifers with full area deep litter, where the cattle produce the manure type of deep litter.</t>
      </text>
    </comment>
    <comment ref="A63" authorId="60" shapeId="0" xr:uid="{69C484F4-088B-4AC2-8218-9308447AB596}">
      <text>
        <t>[Threaded comment]
Your version of Excel allows you to read this threaded comment; however, any edits to it will get removed if the file is opened in a newer version of Excel. Learn more: https://go.microsoft.com/fwlink/?linkid=870924
Comment:
    Stable for organic heifers with deep litter and solid floor, where the cattle produce the manure types of deep litter and slurry.</t>
      </text>
    </comment>
    <comment ref="A64" authorId="61" shapeId="0" xr:uid="{ACBFB6A4-4ECB-4545-A71E-D69B9F7F7155}">
      <text>
        <t>[Threaded comment]
Your version of Excel allows you to read this threaded comment; however, any edits to it will get removed if the file is opened in a newer version of Excel. Learn more: https://go.microsoft.com/fwlink/?linkid=870924
Comment:
    Stable for organic heifers with deep litter and solid floor, where the cattle produce the manure types of deep litter and slurry.</t>
      </text>
    </comment>
    <comment ref="A65" authorId="62" shapeId="0" xr:uid="{B3E85673-F4B1-4814-AF42-A2CEA30CD825}">
      <text>
        <t>[Threaded comment]
Your version of Excel allows you to read this threaded comment; however, any edits to it will get removed if the file is opened in a newer version of Excel. Learn more: https://go.microsoft.com/fwlink/?linkid=870924
Comment:
    Stable for organic heifers with deep litter and slatted floor (channel, line winch), where the cattle produce the manure types of deep litter and slurry.</t>
      </text>
    </comment>
    <comment ref="A66" authorId="63" shapeId="0" xr:uid="{90E0816D-74AE-49D0-85B8-15E1F2F59E73}">
      <text>
        <t>[Threaded comment]
Your version of Excel allows you to read this threaded comment; however, any edits to it will get removed if the file is opened in a newer version of Excel. Learn more: https://go.microsoft.com/fwlink/?linkid=870924
Comment:
    Stable for organic heifers with deep litter and slatted floor (channel, backwash or ring channel), where the cattle produce the manure types of deep litter and slurry.</t>
      </text>
    </comment>
    <comment ref="A67" authorId="64" shapeId="0" xr:uid="{93298F12-7D1E-4B07-A448-611059892D89}">
      <text>
        <t>[Threaded comment]
Your version of Excel allows you to read this threaded comment; however, any edits to it will get removed if the file is opened in a newer version of Excel. Learn more: https://go.microsoft.com/fwlink/?linkid=870924
Comment:
    Stable for organic heifers in a stable with fully slatted floor.</t>
      </text>
    </comment>
    <comment ref="A68" authorId="65" shapeId="0" xr:uid="{15F7200B-7A97-4DA6-9197-57C8FC885360}">
      <text>
        <t xml:space="preserve">[Threaded comment]
Your version of Excel allows you to read this threaded comment; however, any edits to it will get removed if the file is opened in a newer version of Excel. Learn more: https://go.microsoft.com/fwlink/?linkid=870924
Comment:
    Stable for bulls, where the cattle are tied and produce the manure types of solid manure and urine </t>
      </text>
    </comment>
    <comment ref="A69" authorId="66" shapeId="0" xr:uid="{721542CE-4A36-4018-BDDB-E6F291AAC940}">
      <text>
        <t>[Threaded comment]
Your version of Excel allows you to read this threaded comment; however, any edits to it will get removed if the file is opened in a newer version of Excel. Learn more: https://go.microsoft.com/fwlink/?linkid=870924
Comment:
    Stable for bulls, where the cattle are tied and produce the manure type of slurry</t>
      </text>
    </comment>
    <comment ref="A70" authorId="67" shapeId="0" xr:uid="{180158D2-BD35-4E22-A2D9-7FF154C866E7}">
      <text>
        <t>[Threaded comment]
Your version of Excel allows you to read this threaded comment; however, any edits to it will get removed if the file is opened in a newer version of Excel. Learn more: https://go.microsoft.com/fwlink/?linkid=870924
Comment:
    Stable for bulls with full area deep litter, where the cattle produce the manure type of deep litter.</t>
      </text>
    </comment>
    <comment ref="A71" authorId="68" shapeId="0" xr:uid="{D3316A5A-73D6-4E96-8C2F-CC76A02D09C2}">
      <text>
        <t>[Threaded comment]
Your version of Excel allows you to read this threaded comment; however, any edits to it will get removed if the file is opened in a newer version of Excel. Learn more: https://go.microsoft.com/fwlink/?linkid=870924
Comment:
    Stable for bulls with deep litter and solid floor, where the cattle produce the manure types of deep litter and slurry.</t>
      </text>
    </comment>
    <comment ref="A72" authorId="69" shapeId="0" xr:uid="{C4777BEA-EFF1-4B8A-8F1C-59BB931A0CAC}">
      <text>
        <t>[Threaded comment]
Your version of Excel allows you to read this threaded comment; however, any edits to it will get removed if the file is opened in a newer version of Excel. Learn more: https://go.microsoft.com/fwlink/?linkid=870924
Comment:
    Stable for bulls with deep litter and solid floor, where the cattle produce the manure types of deep litter and slurry.</t>
      </text>
    </comment>
    <comment ref="A73" authorId="70" shapeId="0" xr:uid="{16B48899-AB9A-4E57-BCF3-AE6AA77EC944}">
      <text>
        <t>[Threaded comment]
Your version of Excel allows you to read this threaded comment; however, any edits to it will get removed if the file is opened in a newer version of Excel. Learn more: https://go.microsoft.com/fwlink/?linkid=870924
Comment:
    Stable for bulls with deep litter and slatted floor (channel, line winch), where the cattle produce the manure types of deep litter and slurry.</t>
      </text>
    </comment>
    <comment ref="A74" authorId="71" shapeId="0" xr:uid="{3C9A37E7-EBC4-49D2-BD43-BA7741559BBB}">
      <text>
        <t>[Threaded comment]
Your version of Excel allows you to read this threaded comment; however, any edits to it will get removed if the file is opened in a newer version of Excel. Learn more: https://go.microsoft.com/fwlink/?linkid=870924
Comment:
    Stable for bulls with deep litter and slatted floor (channel, backwash or ring channel), where the cattle produce the manure types of deep litter and slurry.</t>
      </text>
    </comment>
    <comment ref="A75" authorId="72" shapeId="0" xr:uid="{9A255EC4-896A-4E41-8E96-7B02007927F7}">
      <text>
        <t>[Threaded comment]
Your version of Excel allows you to read this threaded comment; however, any edits to it will get removed if the file is opened in a newer version of Excel. Learn more: https://go.microsoft.com/fwlink/?linkid=870924
Comment:
    Stable for bulls in a stable with fully slatted floor.</t>
      </text>
    </comment>
    <comment ref="A76" authorId="73" shapeId="0" xr:uid="{C714C49F-77EF-42A1-8F1C-3C98C7425962}">
      <text>
        <t>[Threaded comment]
Your version of Excel allows you to read this threaded comment; however, any edits to it will get removed if the file is opened in a newer version of Excel. Learn more: https://go.microsoft.com/fwlink/?linkid=870924
Comment:
    Stable for bulls, with cubicles and solid floor, where the cattle produce the manure type of slurry</t>
      </text>
    </comment>
    <comment ref="A77" authorId="74" shapeId="0" xr:uid="{A631B509-EEC3-4D5D-8BA7-C467B210AD92}">
      <text>
        <t>[Threaded comment]
Your version of Excel allows you to read this threaded comment; however, any edits to it will get removed if the file is opened in a newer version of Excel. Learn more: https://go.microsoft.com/fwlink/?linkid=870924
Comment:
    Stable for bulls with cubicles and slatted floor (channel, backwash or ring channel), where the cattle produce the manure type of slurry.</t>
      </text>
    </comment>
    <comment ref="A78" authorId="75" shapeId="0" xr:uid="{FFC76F75-5CC7-4221-B983-F6F46A591D2C}">
      <text>
        <t>[Threaded comment]
Your version of Excel allows you to read this threaded comment; however, any edits to it will get removed if the file is opened in a newer version of Excel. Learn more: https://go.microsoft.com/fwlink/?linkid=870924
Comment:
    Stable for bulls with deep litter and slatted floor (channel, backwash or ring channel), where the cattle produce the manure types of deep litter and slurry.</t>
      </text>
    </comment>
    <comment ref="A79" authorId="76" shapeId="0" xr:uid="{A7317C9E-C7D2-4177-B8C8-812BAB0738C4}">
      <text>
        <t>[Threaded comment]
Your version of Excel allows you to read this threaded comment; however, any edits to it will get removed if the file is opened in a newer version of Excel. Learn more: https://go.microsoft.com/fwlink/?linkid=870924
Comment:
    Stable for bulls with cubicles and drained solid floor, where the cattle produce the manure type of slurry.</t>
      </text>
    </comment>
    <comment ref="A80" authorId="77" shapeId="0" xr:uid="{A0A022F6-3CED-410B-BB23-CDDF62B938AD}">
      <text>
        <t>[Threaded comment]
Your version of Excel allows you to read this threaded comment; however, any edits to it will get removed if the file is opened in a newer version of Excel. Learn more: https://go.microsoft.com/fwlink/?linkid=870924
Comment:
    Stable for organic bulls with full area deep litter, where the cattle produce the manure type of deep litter.</t>
      </text>
    </comment>
    <comment ref="A81" authorId="78" shapeId="0" xr:uid="{BAA81C7C-C554-4F01-9B75-376FC67521E0}">
      <text>
        <t>[Threaded comment]
Your version of Excel allows you to read this threaded comment; however, any edits to it will get removed if the file is opened in a newer version of Excel. Learn more: https://go.microsoft.com/fwlink/?linkid=870924
Comment:
    Stable for organic bulls with deep litter and solid floor, where the cattle produce the manure types of deep litter and slurry.</t>
      </text>
    </comment>
    <comment ref="A82" authorId="79" shapeId="0" xr:uid="{BF6EC29E-CC56-4082-836C-2DBA6738E34C}">
      <text>
        <t>[Threaded comment]
Your version of Excel allows you to read this threaded comment; however, any edits to it will get removed if the file is opened in a newer version of Excel. Learn more: https://go.microsoft.com/fwlink/?linkid=870924
Comment:
    Stable for organic bulls with deep litter and solid floor, where the cattle produce the manure types of deep litter and slurry.</t>
      </text>
    </comment>
    <comment ref="A83" authorId="80" shapeId="0" xr:uid="{4A8362BF-2F00-434A-A5A8-72E4E910A595}">
      <text>
        <t>[Threaded comment]
Your version of Excel allows you to read this threaded comment; however, any edits to it will get removed if the file is opened in a newer version of Excel. Learn more: https://go.microsoft.com/fwlink/?linkid=870924
Comment:
    Stable for organic bulls with deep litter and slatted floor (channel, line winch), where the cattle produce the manure types of deep litter and slurry.</t>
      </text>
    </comment>
    <comment ref="A84" authorId="81" shapeId="0" xr:uid="{6F854CA8-A4F1-4683-B735-52EB254042F3}">
      <text>
        <t>[Threaded comment]
Your version of Excel allows you to read this threaded comment; however, any edits to it will get removed if the file is opened in a newer version of Excel. Learn more: https://go.microsoft.com/fwlink/?linkid=870924
Comment:
    Stable for organic bulls with deep litter and slatted floor (channel, backwash or ring channel), where the cattle produce the manure types of deep litter and slurry.</t>
      </text>
    </comment>
    <comment ref="A85" authorId="82" shapeId="0" xr:uid="{58A78AEE-4B78-46D9-98EA-399DCE3716D7}">
      <text>
        <t>[Threaded comment]
Your version of Excel allows you to read this threaded comment; however, any edits to it will get removed if the file is opened in a newer version of Excel. Learn more: https://go.microsoft.com/fwlink/?linkid=870924
Comment:
    Stable for organic bulls in a stable with partly slatted floor.</t>
      </text>
    </comment>
    <comment ref="A86" authorId="83" shapeId="0" xr:uid="{974DA0A6-0A24-474E-9A55-8E0F2E5F0304}">
      <text>
        <t>[Threaded comment]
Your version of Excel allows you to read this threaded comment; however, any edits to it will get removed if the file is opened in a newer version of Excel. Learn more: https://go.microsoft.com/fwlink/?linkid=870924
Comment:
    Stable for organic bulls, with cubicles and solid floor, where the cattle produce the manure type of slurry</t>
      </text>
    </comment>
    <comment ref="A87" authorId="84" shapeId="0" xr:uid="{BA981AB2-4A44-4626-82EB-9C6F35C771BF}">
      <text>
        <t>[Threaded comment]
Your version of Excel allows you to read this threaded comment; however, any edits to it will get removed if the file is opened in a newer version of Excel. Learn more: https://go.microsoft.com/fwlink/?linkid=870924
Comment:
    Stable for organic bulls with cubicles and slatted floor (channel, backwash or ring channel), where the cattle produce the manure type of slurry.</t>
      </text>
    </comment>
    <comment ref="A88" authorId="85" shapeId="0" xr:uid="{14A03AE8-EA08-4132-B023-81434625C526}">
      <text>
        <t>[Threaded comment]
Your version of Excel allows you to read this threaded comment; however, any edits to it will get removed if the file is opened in a newer version of Excel. Learn more: https://go.microsoft.com/fwlink/?linkid=870924
Comment:
    Stable for organic bulls with deep litter and slatted floor (channel, backwash or ring channel), where the cattle produce the manure types of deep litter and slurry.</t>
      </text>
    </comment>
    <comment ref="A90" authorId="86" shapeId="0" xr:uid="{632034DF-AA3E-41E6-946E-73C9053B575D}">
      <text>
        <t>[Threaded comment]
Your version of Excel allows you to read this threaded comment; however, any edits to it will get removed if the file is opened in a newer version of Excel. Learn more: https://go.microsoft.com/fwlink/?linkid=870924
Comment:
    Outside farrowing fen for organic sows including piglets up to 15 kg.</t>
      </text>
    </comment>
    <comment ref="A91" authorId="87" shapeId="0" xr:uid="{FEE5EBF3-065E-47F9-97AC-65B566B630A8}">
      <text>
        <t>[Threaded comment]
Your version of Excel allows you to read this threaded comment; however, any edits to it will get removed if the file is opened in a newer version of Excel. Learn more: https://go.microsoft.com/fwlink/?linkid=870924
Comment:
    Stable for organic sows with deep litter inside and an outside running yard with solid or drained floor + slatted floor. The pigs produce deep litter and slurry.</t>
      </text>
    </comment>
    <comment ref="A92" authorId="88" shapeId="0" xr:uid="{CB0A5849-2D8C-4276-A01D-186D3F197D5B}">
      <text>
        <t>[Threaded comment]
Your version of Excel allows you to read this threaded comment; however, any edits to it will get removed if the file is opened in a newer version of Excel. Learn more: https://go.microsoft.com/fwlink/?linkid=870924
Comment:
    An outside fen for organic sows during mating and gestation.</t>
      </text>
    </comment>
    <comment ref="A93" authorId="89" shapeId="0" xr:uid="{D20AA195-E90B-488C-8380-A70004326067}">
      <text>
        <t>[Threaded comment]
Your version of Excel allows you to read this threaded comment; however, any edits to it will get removed if the file is opened in a newer version of Excel. Learn more: https://go.microsoft.com/fwlink/?linkid=870924
Comment:
    Stable for organic sows with partly slatted floor inside and an outside running yard with solid or drained floor + slatted floor. The pigs produce slurry.</t>
      </text>
    </comment>
    <comment ref="A94" authorId="90" shapeId="0" xr:uid="{9D69C42B-42A6-4A77-B3B7-75A1B88C765B}">
      <text>
        <t>[Threaded comment]
Your version of Excel allows you to read this threaded comment; however, any edits to it will get removed if the file is opened in a newer version of Excel. Learn more: https://go.microsoft.com/fwlink/?linkid=870924
Comment:
    Af fen for organic little pigs outside.</t>
      </text>
    </comment>
    <comment ref="A95" authorId="91" shapeId="0" xr:uid="{0C76DAD2-5829-4F1F-B40E-CC5D3B39B8E5}">
      <text>
        <t>[Threaded comment]
Your version of Excel allows you to read this threaded comment; however, any edits to it will get removed if the file is opened in a newer version of Excel. Learn more: https://go.microsoft.com/fwlink/?linkid=870924
Comment:
    Stable for organic little pigs with deep litter inside and an outside running yard with solid or drained floor + slatted floor. The pigs produce deep litter and slurry.</t>
      </text>
    </comment>
    <comment ref="A96" authorId="92" shapeId="0" xr:uid="{9BC6AF48-CDB1-411E-AED7-4D1D27584EFA}">
      <text>
        <t>[Threaded comment]
Your version of Excel allows you to read this threaded comment; however, any edits to it will get removed if the file is opened in a newer version of Excel. Learn more: https://go.microsoft.com/fwlink/?linkid=870924
Comment:
    Stable for organic little pigs with partly slatted floor inside and an outside running yard with solid or drained floor + slatted floor. The pigs produce slurry.</t>
      </text>
    </comment>
    <comment ref="A97" authorId="93" shapeId="0" xr:uid="{01F07919-A9AB-4C91-8D87-95B3B760D385}">
      <text>
        <t>[Threaded comment]
Your version of Excel allows you to read this threaded comment; however, any edits to it will get removed if the file is opened in a newer version of Excel. Learn more: https://go.microsoft.com/fwlink/?linkid=870924
Comment:
    Af fen for organic slaughter pigs outside.</t>
      </text>
    </comment>
    <comment ref="A98" authorId="94" shapeId="0" xr:uid="{CB1FD57A-060A-4B8B-9AEA-7FCC71551E28}">
      <text>
        <t>[Threaded comment]
Your version of Excel allows you to read this threaded comment; however, any edits to it will get removed if the file is opened in a newer version of Excel. Learn more: https://go.microsoft.com/fwlink/?linkid=870924
Comment:
    Stable for organic slaughter pigs with deep litter inside and an outside running yard with solid or drained floor + slatted floor. The pigs produce deep litter and slurry.</t>
      </text>
    </comment>
    <comment ref="A99" authorId="95" shapeId="0" xr:uid="{18A0E7AA-38C2-43A3-BF2A-A5C10561C90C}">
      <text>
        <t>[Threaded comment]
Your version of Excel allows you to read this threaded comment; however, any edits to it will get removed if the file is opened in a newer version of Excel. Learn more: https://go.microsoft.com/fwlink/?linkid=870924
Comment:
    Stable for organic slaughter pigs with partly slatted floor inside and an outside running yard with solid or drained floor + slatted floor. The pigs produce slurry.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tc={95135292-B32F-4922-95B0-AFB3512A1D87}</author>
    <author>tc={4A6BDCC5-7144-4F8E-A385-4A7DE9306DD8}</author>
    <author>tc={642FD5E6-F608-4DBB-A055-3ED0FD951999}</author>
    <author>tc={82E80AEC-AAEF-40F0-9DAF-A2E7B061F4CD}</author>
    <author>tc={F66C29AC-EFD9-4F5E-97F4-A649FAE14FDC}</author>
  </authors>
  <commentList>
    <comment ref="AQ4" authorId="0" shapeId="0" xr:uid="{95135292-B32F-4922-95B0-AFB3512A1D87}">
      <text>
        <t>[Threaded comment]
Your version of Excel allows you to read this threaded comment; however, any edits to it will get removed if the file is opened in a newer version of Excel. Learn more: https://go.microsoft.com/fwlink/?linkid=870924
Comment:
    Denotes whether it is an extra ressource (+) or if it is a svaed ressource (-) as compared to default.</t>
      </text>
    </comment>
    <comment ref="L5" authorId="1" shapeId="0" xr:uid="{4A6BDCC5-7144-4F8E-A385-4A7DE9306DD8}">
      <text>
        <t>[Threaded comment]
Your version of Excel allows you to read this threaded comment; however, any edits to it will get removed if the file is opened in a newer version of Excel. Learn more: https://go.microsoft.com/fwlink/?linkid=870924
Comment:
    Standard grazing with default losses</t>
      </text>
    </comment>
    <comment ref="M5" authorId="2" shapeId="0" xr:uid="{642FD5E6-F608-4DBB-A055-3ED0FD951999}">
      <text>
        <t>[Threaded comment]
Your version of Excel allows you to read this threaded comment; however, any edits to it will get removed if the file is opened in a newer version of Excel. Learn more: https://go.microsoft.com/fwlink/?linkid=870924
Comment:
    Yes</t>
      </text>
    </comment>
    <comment ref="L6" authorId="3" shapeId="0" xr:uid="{82E80AEC-AAEF-40F0-9DAF-A2E7B061F4CD}">
      <text>
        <t>[Threaded comment]
Your version of Excel allows you to read this threaded comment; however, any edits to it will get removed if the file is opened in a newer version of Excel. Learn more: https://go.microsoft.com/fwlink/?linkid=870924
Comment:
    Standard ensiling with default losses</t>
      </text>
    </comment>
    <comment ref="M6" authorId="4" shapeId="0" xr:uid="{F66C29AC-EFD9-4F5E-97F4-A649FAE14FDC}">
      <text>
        <t>[Threaded comment]
Your version of Excel allows you to read this threaded comment; however, any edits to it will get removed if the file is opened in a newer version of Excel. Learn more: https://go.microsoft.com/fwlink/?linkid=870924
Comment:
    No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tc={12722B62-2605-43B5-ADF5-B3062D528582}</author>
    <author>tc={3607CF27-891D-40A0-9051-719FA0076324}</author>
    <author>tc={F63D30D5-0B68-441A-BF89-2695F4775EC6}</author>
    <author>tc={F6007E14-FB64-4688-9A3D-2A6AB9C735DE}</author>
    <author>tc={A8A9F695-C0D6-49A5-B2ED-8647E9D0DA79}</author>
    <author>tc={63501054-7478-4BF7-8DA3-A59E369438DC}</author>
    <author>tc={F98ECEC5-7AAA-45C7-82CB-2AF10218C43C}</author>
    <author>tc={B1F4772A-084D-46EF-BADB-11C55280AB39}</author>
    <author>tc={F1B5DFB1-4150-4E90-AAA3-35645532AD5F}</author>
    <author>tc={054D7085-1B8A-49F7-9C57-EF884737CEB0}</author>
    <author>tc={D06314BE-F27D-49DF-82E4-FD9E68D282E6}</author>
    <author>tc={0A1550D9-E20D-47E5-9BEA-863F8EA6F70A}</author>
    <author>tc={BFA7B539-7E72-4C9A-A892-C634C1F68268}</author>
    <author>tc={F32C69CC-95B9-424E-B197-B7A5CAA8B41A}</author>
    <author>tc={48C5923A-D034-463D-8FE4-C70A90F2BBEA}</author>
  </authors>
  <commentList>
    <comment ref="E4" authorId="0" shapeId="0" xr:uid="{12722B62-2605-43B5-ADF5-B3062D528582}">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Q4" authorId="1" shapeId="0" xr:uid="{3607CF27-891D-40A0-9051-719FA0076324}">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E5" authorId="2" shapeId="0" xr:uid="{F63D30D5-0B68-441A-BF89-2695F4775EC6}">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Q5" authorId="3" shapeId="0" xr:uid="{F6007E14-FB64-4688-9A3D-2A6AB9C735DE}">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E6" authorId="4" shapeId="0" xr:uid="{A8A9F695-C0D6-49A5-B2ED-8647E9D0DA79}">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Q6" authorId="5" shapeId="0" xr:uid="{63501054-7478-4BF7-8DA3-A59E369438DC}">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E7" authorId="6" shapeId="0" xr:uid="{F98ECEC5-7AAA-45C7-82CB-2AF10218C43C}">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Q7" authorId="7" shapeId="0" xr:uid="{B1F4772A-084D-46EF-BADB-11C55280AB39}">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E8" authorId="8" shapeId="0" xr:uid="{F1B5DFB1-4150-4E90-AAA3-35645532AD5F}">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Q8" authorId="9" shapeId="0" xr:uid="{054D7085-1B8A-49F7-9C57-EF884737CEB0}">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E9" authorId="10" shapeId="0" xr:uid="{D06314BE-F27D-49DF-82E4-FD9E68D282E6}">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Q9" authorId="11" shapeId="0" xr:uid="{0A1550D9-E20D-47E5-9BEA-863F8EA6F70A}">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Q10" authorId="12" shapeId="0" xr:uid="{BFA7B539-7E72-4C9A-A892-C634C1F68268}">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yearly feed ration for the livestock category.</t>
      </text>
    </comment>
    <comment ref="Q11" authorId="13" shapeId="0" xr:uid="{F32C69CC-95B9-424E-B197-B7A5CAA8B41A}">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 ref="Q12" authorId="14" shapeId="0" xr:uid="{48C5923A-D034-463D-8FE4-C70A90F2BBEA}">
      <text>
        <t>[Threaded comment]
Your version of Excel allows you to read this threaded comment; however, any edits to it will get removed if the file is opened in a newer version of Excel. Learn more: https://go.microsoft.com/fwlink/?linkid=870924
Comment:
    ’MJ’ in the formular is the energy content in the calculated feed ration for 1 produced animal of the specific livestock category.</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<sst xmlns="http://schemas.openxmlformats.org/spreadsheetml/2006/main" count="11321" uniqueCount="1654">
  <si>
    <t>Generelt</t>
  </si>
  <si>
    <t>TS, g / kg</t>
  </si>
  <si>
    <t>Nr</t>
  </si>
  <si>
    <t>Navn</t>
  </si>
  <si>
    <t>Fodergruppe</t>
  </si>
  <si>
    <t>Høsttype</t>
  </si>
  <si>
    <t>Biomassegruppe</t>
  </si>
  <si>
    <t>Næringsstofindhold, per kg TS</t>
  </si>
  <si>
    <t>FE</t>
  </si>
  <si>
    <t xml:space="preserve">C, g </t>
  </si>
  <si>
    <t>N, g</t>
  </si>
  <si>
    <t>P, g</t>
  </si>
  <si>
    <t>K, g</t>
  </si>
  <si>
    <t>BE, MJ</t>
  </si>
  <si>
    <t>RP, g</t>
  </si>
  <si>
    <t>Dyrkede produkter ab mark</t>
  </si>
  <si>
    <t>El</t>
  </si>
  <si>
    <t>Diesel</t>
  </si>
  <si>
    <t>Transport</t>
  </si>
  <si>
    <t>Husdyrart</t>
  </si>
  <si>
    <t>Kvæg</t>
  </si>
  <si>
    <t>Gris</t>
  </si>
  <si>
    <t>Fjerkræ</t>
  </si>
  <si>
    <t>Tom1</t>
  </si>
  <si>
    <t>Tom2</t>
  </si>
  <si>
    <t>Tom3</t>
  </si>
  <si>
    <t>Tom4</t>
  </si>
  <si>
    <t>Teknologi</t>
  </si>
  <si>
    <t>Enhed</t>
  </si>
  <si>
    <t>Vælg</t>
  </si>
  <si>
    <t>Tekst</t>
  </si>
  <si>
    <t>ID-nummer</t>
  </si>
  <si>
    <t>Kode</t>
  </si>
  <si>
    <t>Produkt-1</t>
  </si>
  <si>
    <t>Produkt-2</t>
  </si>
  <si>
    <t>Produkt-3</t>
  </si>
  <si>
    <t>Produkt-4</t>
  </si>
  <si>
    <t>Produkt-5</t>
  </si>
  <si>
    <t>Produkt-6</t>
  </si>
  <si>
    <t>Produkt-7</t>
  </si>
  <si>
    <t>Produkt-8</t>
  </si>
  <si>
    <t>Produkt-9</t>
  </si>
  <si>
    <t>Udbytteenhed</t>
  </si>
  <si>
    <t>Kg</t>
  </si>
  <si>
    <t>Transport 1</t>
  </si>
  <si>
    <t>Transport 2</t>
  </si>
  <si>
    <t>Transport 3</t>
  </si>
  <si>
    <t>Transport 4</t>
  </si>
  <si>
    <t>Transport 7</t>
  </si>
  <si>
    <t>Transport 8</t>
  </si>
  <si>
    <t>Transport 9</t>
  </si>
  <si>
    <t>Energi</t>
  </si>
  <si>
    <t>Basis teknologi</t>
  </si>
  <si>
    <t>Input feed group(s)</t>
  </si>
  <si>
    <t>Produktgruppe</t>
  </si>
  <si>
    <t xml:space="preserve">      Definition</t>
  </si>
  <si>
    <t>Sum</t>
  </si>
  <si>
    <t>Tørring</t>
  </si>
  <si>
    <t>Output (defined)</t>
  </si>
  <si>
    <t>Output (not defined)</t>
  </si>
  <si>
    <t>SPILD</t>
  </si>
  <si>
    <t>SUM</t>
  </si>
  <si>
    <t>C</t>
  </si>
  <si>
    <t>N</t>
  </si>
  <si>
    <t>P</t>
  </si>
  <si>
    <t>K</t>
  </si>
  <si>
    <t>MJ</t>
  </si>
  <si>
    <t>Transport 5</t>
  </si>
  <si>
    <t>Transport 6</t>
  </si>
  <si>
    <t>Input</t>
  </si>
  <si>
    <t>Afstand (km)</t>
  </si>
  <si>
    <t>Ja</t>
  </si>
  <si>
    <t>Nej</t>
  </si>
  <si>
    <t>SVAR</t>
  </si>
  <si>
    <t>Transportmiddel</t>
  </si>
  <si>
    <t>Transport 10</t>
  </si>
  <si>
    <t>Transport 11</t>
  </si>
  <si>
    <t>Transport 12</t>
  </si>
  <si>
    <t>Transport 13</t>
  </si>
  <si>
    <t>Transport 14</t>
  </si>
  <si>
    <t>Km eller diesel</t>
  </si>
  <si>
    <t>Km</t>
  </si>
  <si>
    <t>Ton/km</t>
  </si>
  <si>
    <t>Ton/Km</t>
  </si>
  <si>
    <t>Forarbejdning (Pr kg input DM)</t>
  </si>
  <si>
    <t>Produkt</t>
  </si>
  <si>
    <t>Proces-1</t>
  </si>
  <si>
    <t>Proces-2</t>
  </si>
  <si>
    <t>Proces-3</t>
  </si>
  <si>
    <t>Proces-4</t>
  </si>
  <si>
    <t>Proces-5</t>
  </si>
  <si>
    <t>Proces-6</t>
  </si>
  <si>
    <t>Proces-7</t>
  </si>
  <si>
    <t>Proces-8</t>
  </si>
  <si>
    <t>Proces-9</t>
  </si>
  <si>
    <t>Tørring i alt</t>
  </si>
  <si>
    <t>Forarbejdning i alt</t>
  </si>
  <si>
    <r>
      <t>kg CO</t>
    </r>
    <r>
      <rPr>
        <b/>
        <sz val="11"/>
        <color rgb="FF000000"/>
        <rFont val="Calibri"/>
        <family val="2"/>
      </rPr>
      <t>₂</t>
    </r>
    <r>
      <rPr>
        <b/>
        <sz val="11"/>
        <color rgb="FF000000"/>
        <rFont val="Arial"/>
        <family val="2"/>
      </rPr>
      <t>eq for T/km</t>
    </r>
  </si>
  <si>
    <t>Tørrings type</t>
  </si>
  <si>
    <t>Relateret markarbejde og lignende</t>
  </si>
  <si>
    <t>Operation</t>
  </si>
  <si>
    <t>Varme (MJ)</t>
  </si>
  <si>
    <t>El (KWh)</t>
  </si>
  <si>
    <t>Diesel (liter)</t>
  </si>
  <si>
    <t>Input energi</t>
  </si>
  <si>
    <t>Loss</t>
  </si>
  <si>
    <t>Input-4</t>
  </si>
  <si>
    <t>Input-5</t>
  </si>
  <si>
    <t>Input-6</t>
  </si>
  <si>
    <t>Input-7</t>
  </si>
  <si>
    <t>Def output-5</t>
  </si>
  <si>
    <t>Def output-6</t>
  </si>
  <si>
    <t>Def output-7</t>
  </si>
  <si>
    <t>Sum/gennemsnit af indhold</t>
  </si>
  <si>
    <t>Undef output-2</t>
  </si>
  <si>
    <t>Undef output-3</t>
  </si>
  <si>
    <t>Undef output-4</t>
  </si>
  <si>
    <t>Undef output-5</t>
  </si>
  <si>
    <t>Energy output</t>
  </si>
  <si>
    <t>Diesel (L)</t>
  </si>
  <si>
    <t>Drying</t>
  </si>
  <si>
    <t>Processing</t>
  </si>
  <si>
    <t>EL (KWh)</t>
  </si>
  <si>
    <t>Heat (MJ)</t>
  </si>
  <si>
    <t>Oil based</t>
  </si>
  <si>
    <t>Field_work</t>
  </si>
  <si>
    <t>Def_Output</t>
  </si>
  <si>
    <t>Undef_output</t>
  </si>
  <si>
    <t>Liste over enheder relateret til energi</t>
  </si>
  <si>
    <t>kg CO₂eq for T/km</t>
  </si>
  <si>
    <t>Dairy_cow1_conv</t>
  </si>
  <si>
    <t>Ensilage_graes_conv</t>
  </si>
  <si>
    <t>DM</t>
  </si>
  <si>
    <t>Ensilage_majs_conv</t>
  </si>
  <si>
    <t>Note</t>
  </si>
  <si>
    <t>Standard afgræsning med standard tab</t>
  </si>
  <si>
    <t>Ensilering_1_graes</t>
  </si>
  <si>
    <t>Ensilering_1_majs</t>
  </si>
  <si>
    <t>Mængde (Kg DM)</t>
  </si>
  <si>
    <t xml:space="preserve">Bagved-liggende </t>
  </si>
  <si>
    <t>Mængde</t>
  </si>
  <si>
    <t>Input special feed products for life stock</t>
  </si>
  <si>
    <t>DM (g/kg)</t>
  </si>
  <si>
    <t>C (g)</t>
  </si>
  <si>
    <t>N (g)</t>
  </si>
  <si>
    <t>P (g)</t>
  </si>
  <si>
    <t>K (g)</t>
  </si>
  <si>
    <t>Faktisk:</t>
  </si>
  <si>
    <t>Retur til mark</t>
  </si>
  <si>
    <t>Diffust</t>
  </si>
  <si>
    <t>N2O-N</t>
  </si>
  <si>
    <t>NH3-N</t>
  </si>
  <si>
    <t>NO3-N</t>
  </si>
  <si>
    <t>Vandmiljø</t>
  </si>
  <si>
    <t>N2-N</t>
  </si>
  <si>
    <t>Tab i absolutte tal (Kg eller MJ)</t>
  </si>
  <si>
    <t>CO2-C</t>
  </si>
  <si>
    <t>CH4-C</t>
  </si>
  <si>
    <t>Kun for køer:</t>
  </si>
  <si>
    <t>Ydelse (kg/år)</t>
  </si>
  <si>
    <t>Fedt (%)</t>
  </si>
  <si>
    <t>Protein (%)</t>
  </si>
  <si>
    <t>EKM (kg/år)</t>
  </si>
  <si>
    <t>Mælk</t>
  </si>
  <si>
    <t>Output mængde</t>
  </si>
  <si>
    <t>Kartotekskort for husdyr</t>
  </si>
  <si>
    <t>Emission</t>
  </si>
  <si>
    <t>Skårlægning*</t>
  </si>
  <si>
    <t>Stængelbrydning*</t>
  </si>
  <si>
    <t>Sammenrivning*</t>
  </si>
  <si>
    <t>Snitning*</t>
  </si>
  <si>
    <t>-/+</t>
  </si>
  <si>
    <t>Transport, traktor</t>
  </si>
  <si>
    <t>Læsning og indlægning</t>
  </si>
  <si>
    <t>DM (g/kg FW)</t>
  </si>
  <si>
    <t>FV = frish weight</t>
  </si>
  <si>
    <t>Ressources for special feed products</t>
  </si>
  <si>
    <t>Electricity</t>
  </si>
  <si>
    <r>
      <t>CO</t>
    </r>
    <r>
      <rPr>
        <b/>
        <sz val="12"/>
        <color theme="1"/>
        <rFont val="Calibri"/>
        <family val="2"/>
      </rPr>
      <t>₂</t>
    </r>
    <r>
      <rPr>
        <b/>
        <sz val="12"/>
        <color theme="1"/>
        <rFont val="Arial"/>
        <family val="2"/>
      </rPr>
      <t>eq</t>
    </r>
  </si>
  <si>
    <t>Næringsstofindhold i valgte feed group</t>
  </si>
  <si>
    <t>Næringsstofindhold i valgte feed product</t>
  </si>
  <si>
    <t xml:space="preserve">C, Kg </t>
  </si>
  <si>
    <t>N, Kg</t>
  </si>
  <si>
    <t>P, Kg</t>
  </si>
  <si>
    <t>K, Kg</t>
  </si>
  <si>
    <t>RP, Kg</t>
  </si>
  <si>
    <t xml:space="preserve"> </t>
  </si>
  <si>
    <t>Ønsket sum imp. protein + korn</t>
  </si>
  <si>
    <t>Kan substitueres med</t>
  </si>
  <si>
    <t>Import</t>
  </si>
  <si>
    <t>Produceret i DK</t>
  </si>
  <si>
    <t>Special feed</t>
  </si>
  <si>
    <t>Soyakage_imp_conv</t>
  </si>
  <si>
    <t>Jersey</t>
  </si>
  <si>
    <t>Tung race</t>
  </si>
  <si>
    <t>Standardtal</t>
  </si>
  <si>
    <t>Valgt</t>
  </si>
  <si>
    <t>Ønsket mængde tørstof i foder</t>
  </si>
  <si>
    <t>Forhold CP:N</t>
  </si>
  <si>
    <t>g DM / Kg</t>
  </si>
  <si>
    <t>P (g/Kg)</t>
  </si>
  <si>
    <t>K (g/Kg)</t>
  </si>
  <si>
    <t>C (g/Kg DM)</t>
  </si>
  <si>
    <t>N (g/Kg DM)</t>
  </si>
  <si>
    <t>P (g/Kg DM)</t>
  </si>
  <si>
    <t>K (g/Kg DM)</t>
  </si>
  <si>
    <t>MJ/Kg DM</t>
  </si>
  <si>
    <t>MJ i 1 Kg EKM</t>
  </si>
  <si>
    <t>Frisk vægt mængde</t>
  </si>
  <si>
    <t>Rapskage_imp_conv</t>
  </si>
  <si>
    <t>Én konventionel malkeko (stor race) uden opdræt, med afgræsning</t>
  </si>
  <si>
    <t>Producerer mælk og kød, hertil gylle. En udvokset ko vejer 640 kg</t>
  </si>
  <si>
    <t>Næringsstofindhold i output</t>
  </si>
  <si>
    <t>CP</t>
  </si>
  <si>
    <t>Tilvaekst_kvaeg_conv</t>
  </si>
  <si>
    <t>CP (Kg DM)</t>
  </si>
  <si>
    <t>Dairy_cow2_conv</t>
  </si>
  <si>
    <t>Tørring af korn</t>
  </si>
  <si>
    <t>Hjælpeskema for input til transportberegning, tørring mm.</t>
  </si>
  <si>
    <t>Presning og læsning</t>
  </si>
  <si>
    <t>CH4 fra fordøjelse</t>
  </si>
  <si>
    <t>Staldsystem</t>
  </si>
  <si>
    <t>Protein i rationen</t>
  </si>
  <si>
    <t>Min/optimal protein% i ration</t>
  </si>
  <si>
    <t>Maks protein% i ration</t>
  </si>
  <si>
    <t>Lastbil &gt; 20 T</t>
  </si>
  <si>
    <t>Lastbil 10-20 T</t>
  </si>
  <si>
    <t>Andel der transporteres (%)</t>
  </si>
  <si>
    <t>Andel der tørres (%)</t>
  </si>
  <si>
    <t>Traktor</t>
  </si>
  <si>
    <t>Fra DCA 116</t>
  </si>
  <si>
    <t>Procent af dyretypen</t>
  </si>
  <si>
    <t>https://www.dst.dk/da/Statistik/nyheder-analyser-publ/bagtal/2021/2021-07-20-naesten-halvdelen-af-danmarks-kvaegbestand-kommer-paa-graes</t>
  </si>
  <si>
    <t>Malkeko_standard</t>
  </si>
  <si>
    <t>N_N2O</t>
  </si>
  <si>
    <t>N_N2</t>
  </si>
  <si>
    <t>N_NH3</t>
  </si>
  <si>
    <t>N_NO3</t>
  </si>
  <si>
    <t>C_CH4</t>
  </si>
  <si>
    <t>Kvæg; Bindestald med grebning</t>
  </si>
  <si>
    <t>Kvæg; Bindestald med riste</t>
  </si>
  <si>
    <t>Kvæg; Sengestald med fast gulv</t>
  </si>
  <si>
    <t>Kvæg; Sengestald med spalter (kanal, line-spil)</t>
  </si>
  <si>
    <t>Kvæg; Sengestald med spalter (kanal, bagskyl eller ringkanal)</t>
  </si>
  <si>
    <t>Kvæg; Sengestald, fast drænet gulv med skraber og ajleafløb *)</t>
  </si>
  <si>
    <t>Kvæg; Dybstrøelse (hele arealet)</t>
  </si>
  <si>
    <t>Kvæg; Dybstrøelse, lang ædeplads med fast gulv</t>
  </si>
  <si>
    <t>Kvæg; Dybstrøelse, lang ædeplads med spalter (kanal, linespil)</t>
  </si>
  <si>
    <t>Kvæg; Dybstrøelse, lang ædeplads med spalter (kanal, bagskyl eller ringkanal)</t>
  </si>
  <si>
    <t>Kvæg; Dybstrøelse, lang ædeplads, fast drænet gulv med skraber og ajleafløb</t>
  </si>
  <si>
    <t>Type strøelse</t>
  </si>
  <si>
    <t xml:space="preserve">Standard ensilering med standard tab </t>
  </si>
  <si>
    <t>Default halmmængder</t>
  </si>
  <si>
    <t>Malkeko, stor race (kg DM/ko/år)</t>
  </si>
  <si>
    <t>CO2, respiration</t>
  </si>
  <si>
    <t>Typer af strøelse</t>
  </si>
  <si>
    <t>Forbrug strøelse per dyr</t>
  </si>
  <si>
    <t>Samlet forbrug/dyr (Kg DM)</t>
  </si>
  <si>
    <t>Strøelse DM (g_kg)</t>
  </si>
  <si>
    <t>Evt. tørring af import medtages andre steder</t>
  </si>
  <si>
    <t>Bedding</t>
  </si>
  <si>
    <t>Material_1</t>
  </si>
  <si>
    <t>Material_2</t>
  </si>
  <si>
    <t>Material_3</t>
  </si>
  <si>
    <t>Material_4</t>
  </si>
  <si>
    <t>Bedding transport</t>
  </si>
  <si>
    <t>Opsummering</t>
  </si>
  <si>
    <t>Lastbil &lt; 10 T</t>
  </si>
  <si>
    <t>Fragttog Europa</t>
  </si>
  <si>
    <t>Skib Oversøisk</t>
  </si>
  <si>
    <t>Skib Indlandsk</t>
  </si>
  <si>
    <t>Skib Europa</t>
  </si>
  <si>
    <t>Sum transport</t>
  </si>
  <si>
    <t>Bedding markarbejde og lignende</t>
  </si>
  <si>
    <t>Bedding forarbejdning (Pr kg input DM)</t>
  </si>
  <si>
    <t>Kg CO2-C</t>
  </si>
  <si>
    <t>Øvrige lister</t>
  </si>
  <si>
    <t>Emissions/losses before manure</t>
  </si>
  <si>
    <t>Fra Troels' bud</t>
  </si>
  <si>
    <t>Sum total energy input</t>
  </si>
  <si>
    <t>General (Per animal)</t>
  </si>
  <si>
    <t>Kg CH4_C</t>
  </si>
  <si>
    <t>(MJ*0.06/55.65)*(12/16)</t>
  </si>
  <si>
    <t>MJ*0.06</t>
  </si>
  <si>
    <t>Protein_1_conv</t>
  </si>
  <si>
    <t>Protein_2_conv</t>
  </si>
  <si>
    <t>Afgraesningstab_afgraesning_1_conv</t>
  </si>
  <si>
    <t>Deklaration for 1 kg DM af special feed products</t>
  </si>
  <si>
    <t>((((MJ*0.06/55.65)/0.016)/0.08)*0.044)*(12/44)</t>
  </si>
  <si>
    <t>MJ er det årlige energiindhold i den ration som R har beregnet for det specifikke husdyr-kartotekskort</t>
  </si>
  <si>
    <t>(((((MJ*0.06/55.65)/0.016)*((0.0831*283.15)/0.981))/0.08)*21.75)/1000</t>
  </si>
  <si>
    <t>Malkeko, jersey (kg DM/ko/år)</t>
  </si>
  <si>
    <t>Afgraesning; Malkekvaeg; Standard</t>
  </si>
  <si>
    <t>Én konventionel malkeko (stor race) uden opdræt, uden afgræsning</t>
  </si>
  <si>
    <t>Sow1_conv</t>
  </si>
  <si>
    <t>Én konventionel so inklusiv tilvækst af polt og orne og produktion af norm for syv-kilo-grise.</t>
  </si>
  <si>
    <t>Én konventionel so</t>
  </si>
  <si>
    <t>Svinekoed_adult_conv</t>
  </si>
  <si>
    <t>Svinekoed_affald_conv</t>
  </si>
  <si>
    <t>Svinekoed_piglet_conv</t>
  </si>
  <si>
    <t>(MJ*0.006/55.65)*(12/16)</t>
  </si>
  <si>
    <t>MJ*0.006</t>
  </si>
  <si>
    <t>Søer; løbe og drægt. Individuel opstaldning, delvis spaltegulv</t>
  </si>
  <si>
    <t>Søer; løbe og drægt. Individuel opstaldning, fast gulv</t>
  </si>
  <si>
    <t>Søer; løbe og drægt. Løsgående, dybstrøelse + spaltegulv</t>
  </si>
  <si>
    <t>Søer; løbe og drægt. Løsgående, dybstrøelse + fast gulv</t>
  </si>
  <si>
    <t>Søer; løbe og drægt. Løsgående, dybstrøelse</t>
  </si>
  <si>
    <t>Søer; løbe og drægt. Løsgående, delvis spaltegulv</t>
  </si>
  <si>
    <t>Søer; fare. Kassestier, delvis spaltegulv</t>
  </si>
  <si>
    <t>Søer; fare. Kassestier, fuldspaltegulv</t>
  </si>
  <si>
    <t>Søer; fare. Friland, fareperiode</t>
  </si>
  <si>
    <t>Andre (kg DM/(sti/dyr)/år)</t>
  </si>
  <si>
    <t>Protein_justering</t>
  </si>
  <si>
    <t>Korn_justering</t>
  </si>
  <si>
    <t>Minimum mængde (kg DM)</t>
  </si>
  <si>
    <t>((((MJ*0.06/55.65)/0.016)/0.08)*0.044)*(12/44)*2.5</t>
  </si>
  <si>
    <t>(MJ*0.06/55.65)*2.125</t>
  </si>
  <si>
    <t>(MJ*0.006/55.65)*2.125</t>
  </si>
  <si>
    <t>Input-2</t>
  </si>
  <si>
    <t>Input-3</t>
  </si>
  <si>
    <t>Delvis spaltegulv og spaltegulv er slået sammen her (uden halm)</t>
  </si>
  <si>
    <t>Volatile solids in manure</t>
  </si>
  <si>
    <t>Malkekvaeg_fast_moeg_conv</t>
  </si>
  <si>
    <t>Malkekvaeg_gylle_bindestald_conv</t>
  </si>
  <si>
    <t>Malkekvaeg_gylle_sengestald_fast_gulv_conv</t>
  </si>
  <si>
    <t>Malkekvaeg_gylle_sengestald_spalter_conv</t>
  </si>
  <si>
    <t>Malkekvaeg_gylle_sengestald_draenet_conv</t>
  </si>
  <si>
    <t>Malkekvaeg_dybstroelse_hel_conv</t>
  </si>
  <si>
    <t>Malkekvaeg_dybstroelse_delvis_conv</t>
  </si>
  <si>
    <t>Malkekvaeg_godning_afsat_på_mark_conv</t>
  </si>
  <si>
    <t>Soer_fast_moeg_conv</t>
  </si>
  <si>
    <t>Soer_dybstroelse_conv</t>
  </si>
  <si>
    <t>Soer_gylle_loes_delvis_spaltegulv_conv</t>
  </si>
  <si>
    <t>Soer_gylle_kassestier_delvis_spaltegulv_conv</t>
  </si>
  <si>
    <t>Soer_gylle_kassestier_fuldspaltegulv_conv</t>
  </si>
  <si>
    <t>Soer_godning_afsat_på_mark_conv</t>
  </si>
  <si>
    <t>Malkekvaeg_ajle_conv</t>
  </si>
  <si>
    <t>Malkekvaeg_gylle_dybstroelse_og_gulv_conv</t>
  </si>
  <si>
    <t>Malkekvaeg_gylle_dybstroelse_spalter_linespil_conv</t>
  </si>
  <si>
    <t>Malkekvaeg_gylle_dybstroelse_spalter_ring_bag_conv</t>
  </si>
  <si>
    <t>Soer_ajle_conv</t>
  </si>
  <si>
    <t>Soer_gylle_dybstroelse_og_gulv_conv</t>
  </si>
  <si>
    <t>Soer_gylle_dybstroelse_spaltegulv_conv</t>
  </si>
  <si>
    <t>Soer_gylle_indi_delvis_spaltegulv_conv</t>
  </si>
  <si>
    <t>Korn_standard_imp_conv</t>
  </si>
  <si>
    <t>Dairy_heifer1_conv</t>
  </si>
  <si>
    <t>Én konventionel kvie (stor race) med afgræsning</t>
  </si>
  <si>
    <t>0- 6 mdr</t>
  </si>
  <si>
    <t>6- klv</t>
  </si>
  <si>
    <t>andel</t>
  </si>
  <si>
    <t>prot/FE</t>
  </si>
  <si>
    <t>protein</t>
  </si>
  <si>
    <t>årsopdræt</t>
  </si>
  <si>
    <t>tilv</t>
  </si>
  <si>
    <t>TS</t>
  </si>
  <si>
    <t>foster, kg</t>
  </si>
  <si>
    <t>p/FE</t>
  </si>
  <si>
    <t>k/FE</t>
  </si>
  <si>
    <t>K/FE</t>
  </si>
  <si>
    <t>mælk</t>
  </si>
  <si>
    <t>korn</t>
  </si>
  <si>
    <t>majs ens</t>
  </si>
  <si>
    <t>græs ens</t>
  </si>
  <si>
    <t>afg</t>
  </si>
  <si>
    <t>halm</t>
  </si>
  <si>
    <t>Foder ration, kg TS</t>
  </si>
  <si>
    <t>prot / TS</t>
  </si>
  <si>
    <t>SEGES plan 1 - 2022</t>
  </si>
  <si>
    <t>sl kalve</t>
  </si>
  <si>
    <t>mineral</t>
  </si>
  <si>
    <t>antaget el 10 % af køer, diesel 25%</t>
  </si>
  <si>
    <t>tyre</t>
  </si>
  <si>
    <t>Dairy_bull1_conv</t>
  </si>
  <si>
    <t xml:space="preserve">Én konventionel tyrekalv (Dansk Kalv-stor race) </t>
  </si>
  <si>
    <t>6-sl</t>
  </si>
  <si>
    <t>pr prod</t>
  </si>
  <si>
    <t>hø</t>
  </si>
  <si>
    <t>rapskage 0,75 korn 0,25</t>
  </si>
  <si>
    <t>vgt FE</t>
  </si>
  <si>
    <t>DM/pod</t>
  </si>
  <si>
    <t>Slpig1_conv</t>
  </si>
  <si>
    <t>Én konventionel slagtegris</t>
  </si>
  <si>
    <t>Planteolie_conv</t>
  </si>
  <si>
    <t>Andersen et al 2021</t>
  </si>
  <si>
    <t>Sl. svin; Delvis spalte - 50-75% fast gulv</t>
  </si>
  <si>
    <t>Sl. svin; Delvis spalte - 25-49 % fast gulv</t>
  </si>
  <si>
    <t>Sl. svin; Drænet gulv + spalter</t>
  </si>
  <si>
    <t>Sl. svin; Dybstrøelse</t>
  </si>
  <si>
    <t>Svinekoed_slaugther_pig_conv</t>
  </si>
  <si>
    <t>Én konventionel smågris</t>
  </si>
  <si>
    <t>Svinekoed_little_pig_conv</t>
  </si>
  <si>
    <t>køer</t>
  </si>
  <si>
    <t>opdræt</t>
  </si>
  <si>
    <t>antal klv pr årsko</t>
  </si>
  <si>
    <t>pct køns fordeling</t>
  </si>
  <si>
    <t>baseret på Tal om kvæg</t>
  </si>
  <si>
    <t>kan påvirkes via kønssorteret sæd</t>
  </si>
  <si>
    <t>dødfødte</t>
  </si>
  <si>
    <t>budget kalkuler</t>
  </si>
  <si>
    <t>tal om kvæg</t>
  </si>
  <si>
    <t>død, %</t>
  </si>
  <si>
    <t>død kg pr dyr</t>
  </si>
  <si>
    <t>anslået</t>
  </si>
  <si>
    <t>alder v slut, dage</t>
  </si>
  <si>
    <t>antal pr årsko</t>
  </si>
  <si>
    <t>døde kg pr prod</t>
  </si>
  <si>
    <t>kg død pr fødte</t>
  </si>
  <si>
    <t>døde kg  pr årsdyr</t>
  </si>
  <si>
    <t>Grain_conv</t>
  </si>
  <si>
    <t>Straw_conv</t>
  </si>
  <si>
    <t>Soedmaelk_tung_EKM_conv</t>
  </si>
  <si>
    <t>Mineral_Type_2_grann_imp_conv</t>
  </si>
  <si>
    <t>Grass_and_grass_clover_conv</t>
  </si>
  <si>
    <t>Maize_whole_crop_fresh_conv</t>
  </si>
  <si>
    <t>Minerals</t>
  </si>
  <si>
    <t>Pigs_others</t>
  </si>
  <si>
    <t>((MJ+3134)*0.006/55.65)*(12/16)</t>
  </si>
  <si>
    <t>((MJ+3134)*0.006/55.65)*2.125</t>
  </si>
  <si>
    <t>(MJ+3134)*0.006</t>
  </si>
  <si>
    <t>Mængde (kg DM/pr sti/dyr/år)</t>
  </si>
  <si>
    <t>Milk_feed</t>
  </si>
  <si>
    <t>Skim_milk_powder_imp_conv</t>
  </si>
  <si>
    <t>Kvaeg_affald_conv</t>
  </si>
  <si>
    <t>Dairy_cow1_org</t>
  </si>
  <si>
    <t>Økologisk malkeko, stor race</t>
  </si>
  <si>
    <t>Producerer mælk og kød, hertil gylle. En udvokset ko vejer 640 kg. Afgræsser standard</t>
  </si>
  <si>
    <t>Grass_and_grass_clover_org</t>
  </si>
  <si>
    <t>Afgraesningstab_afgraesning_1_org</t>
  </si>
  <si>
    <t>Ensilering_1_graes_organic</t>
  </si>
  <si>
    <t>Ensilering_1_majs_organic</t>
  </si>
  <si>
    <t>Ensilage_graes_org</t>
  </si>
  <si>
    <t>Ensilage_majs_org</t>
  </si>
  <si>
    <t>Straw_org</t>
  </si>
  <si>
    <t>Ensilering_1_whole_crop_organic</t>
  </si>
  <si>
    <t>Ensilering_1_whole_crop</t>
  </si>
  <si>
    <t>Whole_crop_conv</t>
  </si>
  <si>
    <t>Whole_crop_org</t>
  </si>
  <si>
    <t>Ensilage_whole_crop_conv</t>
  </si>
  <si>
    <t>Ensilage_whole_crop_org</t>
  </si>
  <si>
    <t>Maize_whole_crop_fresh_org</t>
  </si>
  <si>
    <t>Soedmaelk_tung_EKM_org</t>
  </si>
  <si>
    <t>Tilvaekst_kvaeg_org</t>
  </si>
  <si>
    <t>Protein_2_org</t>
  </si>
  <si>
    <t>Rapskage_imp_org</t>
  </si>
  <si>
    <t>Grain_org</t>
  </si>
  <si>
    <t/>
  </si>
  <si>
    <t>Straw_seed_grass_conv</t>
  </si>
  <si>
    <t>Incl. Minerals</t>
  </si>
  <si>
    <t>Org_Kvæg; Sengestald med fast gulv</t>
  </si>
  <si>
    <t>Org_Kvæg; Bindestald med grebning</t>
  </si>
  <si>
    <t>Org_Kvæg; Bindestald med riste</t>
  </si>
  <si>
    <t>Org_Kvæg; Sengestald med spalter (kanal, line-spil)</t>
  </si>
  <si>
    <t>Org_Kvæg; Sengestald med spalter (kanal, bagskyl eller ringkanal)</t>
  </si>
  <si>
    <t>Org_Kvæg; Sengestald, fast drænet gulv med skraber og ajleafløb *)</t>
  </si>
  <si>
    <t>Org_Kvæg; Dybstrøelse (hele arealet)</t>
  </si>
  <si>
    <t>Org_Kvæg; Dybstrøelse, lang ædeplads med fast gulv</t>
  </si>
  <si>
    <t>Org_Kvæg; Dybstrøelse, lang ædeplads med spalter (kanal, linespil)</t>
  </si>
  <si>
    <t>Org_Kvæg; Dybstrøelse, lang ædeplads med spalter (kanal, bagskyl eller ringkanal)</t>
  </si>
  <si>
    <t>Org_Kvæg; Dybstrøelse, lang ædeplads, fast drænet gulv med skraber og ajleafløb</t>
  </si>
  <si>
    <t>Malkekvaeg_fast_moeg_org</t>
  </si>
  <si>
    <t>Malkekvaeg_gylle_bindestald_org</t>
  </si>
  <si>
    <t>Malkekvaeg_gylle_sengestald_fast_gulv_org</t>
  </si>
  <si>
    <t>Malkekvaeg_gylle_sengestald_spalter_org</t>
  </si>
  <si>
    <t>Malkekvaeg_gylle_sengestald_draenet_org</t>
  </si>
  <si>
    <t>Malkekvaeg_dybstroelse_hel_org</t>
  </si>
  <si>
    <t>Malkekvaeg_dybstroelse_delvis_org</t>
  </si>
  <si>
    <t>Malkekvaeg_ajle_org</t>
  </si>
  <si>
    <t>Malkekvaeg_gylle_dybstroelse_og_gulv_org</t>
  </si>
  <si>
    <t>Malkekvaeg_gylle_dybstroelse_spalter_linespil_org</t>
  </si>
  <si>
    <t>Malkekvaeg_gylle_dybstroelse_spalter_ring_bag_org</t>
  </si>
  <si>
    <t>Frisk vægt (Kg)</t>
  </si>
  <si>
    <t>((((90.3+10.3*206^0.75+((MJ/365)*13.5))*365)+(90.3+10.3*66.7^0.75+13.5*((3134/2.24)/28))*28*2.24)*0.5003)/1000</t>
  </si>
  <si>
    <t>(((((90.3+10.3*206^0.75+((MJ/365)*13.5))*365)+(90.3+10.3*66.7^0.75+13.5*((3134/2.24)/28))*28*2.24)*0.5003)/1000)*2.5</t>
  </si>
  <si>
    <t>((((90.3+10.3*206^0.75+((MJ/365)*13.5))*365)+(90.3+10.3*66.7^0.75+13.5*((3134/2.24)/28))*28*2.24)*21.75)/1000</t>
  </si>
  <si>
    <t>MJ er energiindholdet i den ration som R har beregnet for 1 produceret styk i det specifikke husdyr-kartotekskort</t>
  </si>
  <si>
    <t>Piglet; Toklima delvis spalte</t>
  </si>
  <si>
    <t>Piglet; Drænet gulv + spalter</t>
  </si>
  <si>
    <t>Piglet; Dybstrøelse</t>
  </si>
  <si>
    <t>Input live animal</t>
  </si>
  <si>
    <t>Piglet_6_7_live_conv</t>
  </si>
  <si>
    <t>Én konventionel smågris produceret fra 6,7 kg til 31 kg - kræver at der produceres 1,032 frav gris</t>
  </si>
  <si>
    <t>Piglet_31_live_conv</t>
  </si>
  <si>
    <t>(((90.3+10.3*72^0.75+(MJ/86)*13.5)*86)*0.5003)/1000</t>
  </si>
  <si>
    <t>((((90.3+10.3*72^0.75+(MJ/86)*13.5)*86)*0.5003)/1000)*2.5</t>
  </si>
  <si>
    <t>(((90.3+10.3*72^0.75+(MJ/86)*13.5)*86)*21.75)/1000</t>
  </si>
  <si>
    <t>Sl_pig_gylle_delvis_spaltegulv_50_75_gulv_conv</t>
  </si>
  <si>
    <t>Sl_pig_gylle_delvis_spaltegulv_25_49_gulv_conv</t>
  </si>
  <si>
    <t>Sl_pig_gylle_draenet_gulv_spalter_conv</t>
  </si>
  <si>
    <t>Sl_pig_dybstroelse_conv</t>
  </si>
  <si>
    <t>Foster_kvaeg_dairy_heavy_conv</t>
  </si>
  <si>
    <t>Calf_dairy_heavy_live_conv</t>
  </si>
  <si>
    <t>Heifer; Bindestald med grebning</t>
  </si>
  <si>
    <t>Heifer; Bindestald med riste</t>
  </si>
  <si>
    <t>Heifer; Sengestald med fast gulv</t>
  </si>
  <si>
    <t>Heifer; Sengestald med spalter (kanal, line-spil)</t>
  </si>
  <si>
    <t>Heifer; Sengestald med spalter (kanal, bagskyl eller ringkanal)</t>
  </si>
  <si>
    <t>Heifer; Sengestald, fast drænet gulv med skraber og ajleafløb *)</t>
  </si>
  <si>
    <t>Heifer; Dybstrøelse (hele arealet)</t>
  </si>
  <si>
    <t>Heifer; Dybstrøelse + kort ædeplads med fast gulv</t>
  </si>
  <si>
    <t>Heifer; Dybstrøelse, lang ædeplads med fast gulv</t>
  </si>
  <si>
    <t>Heifer; Dybstrøelse, lang ædeplads med spalter (kanal, linespil)</t>
  </si>
  <si>
    <t>Heifer; Dybstrøelse, lang ædeplads med spalter (kanal, bagskyl eller ringkanal)</t>
  </si>
  <si>
    <t>Heifer; Spaltebokse</t>
  </si>
  <si>
    <t>Heifer_fast_moeg_conv</t>
  </si>
  <si>
    <t>Heifer_ajle_conv</t>
  </si>
  <si>
    <t>Heifer_gylle_bindestald_conv</t>
  </si>
  <si>
    <t>Heifer_gylle_sengestald_fast_gulv_conv</t>
  </si>
  <si>
    <t>Heifer_gylle_dybstroelse_spalter_linespil_conv</t>
  </si>
  <si>
    <t>Heifer_gylle_dybstroelse_spalter_ring_bag_conv</t>
  </si>
  <si>
    <t>Heifer_gylle_sengestald_spalter_conv</t>
  </si>
  <si>
    <t>Heifer_gylle_sengestald_draenet_conv</t>
  </si>
  <si>
    <t>Heifer_dybstroelse_hel_conv</t>
  </si>
  <si>
    <t>Heifer_dybstroelse_delvis_conv</t>
  </si>
  <si>
    <t>Heifer_gylle_spaltestald_conv</t>
  </si>
  <si>
    <t>Bindestald med grebning</t>
  </si>
  <si>
    <t>Bindestald med riste</t>
  </si>
  <si>
    <t>Sengestald med fast gulv</t>
  </si>
  <si>
    <t>Sengestald med spaltegulv (kanal, linespil)</t>
  </si>
  <si>
    <t>Sengestald med spaltegulv (kanal, bagskyl eller ri</t>
  </si>
  <si>
    <t>Dybstrøelse, hele arealet</t>
  </si>
  <si>
    <t>Dybstrøelse + kort ædeplads med fast gulv</t>
  </si>
  <si>
    <t>Dybstrøelse, lang ædeplads med fast gulv</t>
  </si>
  <si>
    <t>Dybstrøelse, lang ædeplads med spalter (kanal, lin</t>
  </si>
  <si>
    <t>Dybstrøelse, lang ædeplads med spalter (kanal, bag</t>
  </si>
  <si>
    <t>Spaltegulvbokse</t>
  </si>
  <si>
    <t>Sengestald, fast drænet gulv med skraber og ajleaf</t>
  </si>
  <si>
    <t>strøelse</t>
  </si>
  <si>
    <t>Heifers_all_age_standard</t>
  </si>
  <si>
    <t>(MJ*0.065/55.65)*(12/16)</t>
  </si>
  <si>
    <t>(MJ*0.065/55.65)*2.125</t>
  </si>
  <si>
    <t>MJ*0.065</t>
  </si>
  <si>
    <t>Heifers_all_ages_standard</t>
  </si>
  <si>
    <t>((((MJ*0.065/55.65)/0.016)/0.08)*0.044)*(12/44)</t>
  </si>
  <si>
    <t>((((MJ*0.065/55.65)/0.016)/0.08)*0.044)*(12/44)*2.5</t>
  </si>
  <si>
    <t>(((((MJ*0.065/55.65)/0.016)*((0.0831*283.15)/0.981))/0.08)*21.75)/1000</t>
  </si>
  <si>
    <t>Calf_dairy_heavy_live_org</t>
  </si>
  <si>
    <t>Én økologisk kvie (stor race) med afgræsning</t>
  </si>
  <si>
    <t>Fra fødsel til klv v 27 mdr, udtrykt pr årsdyr (365 dage) - Normer 0-6 mdr (22%) + normer 6-klv (78%). Det vil sige at 1 år udgør (12/27)= 44,4% af et opdræt.</t>
  </si>
  <si>
    <t>Korn_standard_imp_org</t>
  </si>
  <si>
    <t>Whole_milk_feed_large_imp_org</t>
  </si>
  <si>
    <t>Kvaeg_affald_org</t>
  </si>
  <si>
    <t>Foster_kvaeg_dairy_heavy_org</t>
  </si>
  <si>
    <t>Gødningstype ved evt afgræsning</t>
  </si>
  <si>
    <t>Malkekvaeg_godning_afsat_på_mark_org</t>
  </si>
  <si>
    <t>Heifer_godning_afsat_på_mark_conv</t>
  </si>
  <si>
    <t>Org_Heifer; Bindestald med grebning</t>
  </si>
  <si>
    <t>Org_Heifer; Bindestald med riste</t>
  </si>
  <si>
    <t>Org_Heifer; Sengestald med fast gulv</t>
  </si>
  <si>
    <t>Org_Heifer; Sengestald med spalter (kanal, line-spil)</t>
  </si>
  <si>
    <t>Org_Heifer; Sengestald med spalter (kanal, bagskyl eller ringkanal)</t>
  </si>
  <si>
    <t>Org_Heifer; Sengestald, fast drænet gulv med skraber og ajleafløb *)</t>
  </si>
  <si>
    <t>Org_Heifer; Dybstrøelse (hele arealet)</t>
  </si>
  <si>
    <t>Org_Heifer; Dybstrøelse + kort ædeplads med fast gulv</t>
  </si>
  <si>
    <t>Org_Heifer; Dybstrøelse, lang ædeplads med fast gulv</t>
  </si>
  <si>
    <t>Org_Heifer; Dybstrøelse, lang ædeplads med spalter (kanal, linespil)</t>
  </si>
  <si>
    <t>Org_Heifer; Dybstrøelse, lang ædeplads med spalter (kanal, bagskyl eller ringkanal)</t>
  </si>
  <si>
    <t>Org_Heifer; Spaltebokse</t>
  </si>
  <si>
    <t>Heifer_fast_moeg_org</t>
  </si>
  <si>
    <t>Heifer_gylle_bindestald_org</t>
  </si>
  <si>
    <t>Heifer_gylle_sengestald_fast_gulv_org</t>
  </si>
  <si>
    <t>Heifer_gylle_sengestald_spalter_org</t>
  </si>
  <si>
    <t>Heifer_gylle_sengestald_draenet_org</t>
  </si>
  <si>
    <t>Heifer_dybstroelse_hel_org</t>
  </si>
  <si>
    <t>Heifer_dybstroelse_delvis_org</t>
  </si>
  <si>
    <t>Heifer_gylle_spaltestald_org</t>
  </si>
  <si>
    <t>Heifer_ajle_org</t>
  </si>
  <si>
    <t>Heifer_gylle_dybstroelse_og_gulv_org</t>
  </si>
  <si>
    <t>Heifer_gylle_dybstroelse_spalter_linespil_org</t>
  </si>
  <si>
    <t>Heifer_gylle_dybstroelse_spalter_ring_bag_org</t>
  </si>
  <si>
    <t>Heifer_gylle_dybstroelse_og_gulv_conv</t>
  </si>
  <si>
    <t>Heifer_godning_afsat_på_mark_org</t>
  </si>
  <si>
    <t>Bulls_all_ages_standard</t>
  </si>
  <si>
    <t>(MJ*0.03/55.65)*(12/16)</t>
  </si>
  <si>
    <t>(MJ*0.03/55.65)*2.125</t>
  </si>
  <si>
    <t>MJ*0.03</t>
  </si>
  <si>
    <t>((((MJ*0.03/55.65)/0.016)/0.08)*0.044)*(12/44)</t>
  </si>
  <si>
    <t>((((MJ*0.03/55.65)/0.016)/0.08)*0.044)*(12/44)*2.5</t>
  </si>
  <si>
    <t>(((((MJ*0.03/55.65)/0.016)*((0.0831*283.15)/0.981))/0.08)*21.75)/1000</t>
  </si>
  <si>
    <t>From a neighbour</t>
  </si>
  <si>
    <t>Sengestald med spalter (kanal, linespil)</t>
  </si>
  <si>
    <t>Sengestald med spalter (kanal, bagskyl eller ringk</t>
  </si>
  <si>
    <t>Fra fødsel til slagt (enhed pr prod dyr) - Normer 0-6 mdr  + normer 6-slg - beregninger linje 200 . Der forudsættes slutvægt 440 kg og der regnes med 8,5% dødelighed af de levendefødte.</t>
  </si>
  <si>
    <t>Bull; Bindestald med grebning</t>
  </si>
  <si>
    <t>Bull; Bindestald med riste</t>
  </si>
  <si>
    <t>Bull; Dybstrøelse, hele arealet</t>
  </si>
  <si>
    <t>Bull; Dybstrøelse + kort ædeplads med fast gulv</t>
  </si>
  <si>
    <t>Bull; Dybstrøelse, lang ædeplads med fast gulv</t>
  </si>
  <si>
    <t>Bull; Dybstrøelse, lang ædeplads med spalter (kanal, lin</t>
  </si>
  <si>
    <t>Bull; Dybstrøelse, lang ædeplads med spalter (kanal, bag</t>
  </si>
  <si>
    <t>Bull; Spaltegulvbokse</t>
  </si>
  <si>
    <t>Bull; Sengestald med fast gulv</t>
  </si>
  <si>
    <t>Bull; Sengestald med spalter (kanal, linespil)</t>
  </si>
  <si>
    <t>Bull; Sengestald med spalter (kanal, bagskyl eller ringk</t>
  </si>
  <si>
    <t>Bull; Sengestald, fast drænet gulv med skraber og ajleaf</t>
  </si>
  <si>
    <t>Bull_fast_moeg_conv</t>
  </si>
  <si>
    <t>Bull_gylle_bindestald_conv</t>
  </si>
  <si>
    <t>Bull_ajle_conv</t>
  </si>
  <si>
    <t>Bull_dybstroelse_hel_conv</t>
  </si>
  <si>
    <t>Bull_dybstroelse_delvis_conv</t>
  </si>
  <si>
    <t>Bull_gylle_spaltestald_conv</t>
  </si>
  <si>
    <t>Bull_gylle_sengestald_fast_gulv_conv</t>
  </si>
  <si>
    <t>Bull_gylle_sengestald_spalter_conv</t>
  </si>
  <si>
    <t>Bull_gylle_sengestald_draenet_conv</t>
  </si>
  <si>
    <t>Bull_gylle_dybstroelse_og_gulv_conv</t>
  </si>
  <si>
    <t>Bull_gylle_dybstroelse_spalter_linespil_conv</t>
  </si>
  <si>
    <t>Bull_gylle_dybstroelse_spalter_ring_bag_conv</t>
  </si>
  <si>
    <t>Dairy_bull1_org</t>
  </si>
  <si>
    <t xml:space="preserve">Én økologisk tyrekalv (Dansk Kalv-stor race) </t>
  </si>
  <si>
    <t>Skim_milk_powder_imp_org</t>
  </si>
  <si>
    <t>Bull_dybstroelse_hel_org</t>
  </si>
  <si>
    <t>Org_Bull; Dybstrøelse, hele arealet</t>
  </si>
  <si>
    <t>Org_Bull; Dybstrøelse + kort ædeplads med fast gulv</t>
  </si>
  <si>
    <t>Org_Bull; Dybstrøelse, lang ædeplads med fast gulv</t>
  </si>
  <si>
    <t>Org_Bull; Dybstrøelse, lang ædeplads med spalter (kanal, lin</t>
  </si>
  <si>
    <t>Org_Bull; Dybstrøelse, lang ædeplads med spalter (kanal, bag</t>
  </si>
  <si>
    <t>Org_Bull; Spaltegulvbokse</t>
  </si>
  <si>
    <t>Org_Bull; Sengestald med fast gulv</t>
  </si>
  <si>
    <t>Org_Bull; Sengestald med spalter (kanal, linespil)</t>
  </si>
  <si>
    <t>Org_Bull; Sengestald med spalter (kanal, bagskyl eller ringk</t>
  </si>
  <si>
    <t>Dairy_heifer1_org</t>
  </si>
  <si>
    <t>Bull_dybstroelse_delvis_org</t>
  </si>
  <si>
    <t>Bull_gylle_spaltestald_org</t>
  </si>
  <si>
    <t>Bull_gylle_sengestald_fast_gulv_org</t>
  </si>
  <si>
    <t>Bull_gylle_sengestald_spalter_org</t>
  </si>
  <si>
    <t>Bull_gylle_dybstroelse_og_gulv_org</t>
  </si>
  <si>
    <t>Bull_gylle_dybstroelse_spalter_linespil_org</t>
  </si>
  <si>
    <t>Bull_gylle_dybstroelse_spalter_ring_bag_org</t>
  </si>
  <si>
    <t>Input quantity</t>
  </si>
  <si>
    <t>Quantity produced</t>
  </si>
  <si>
    <t>FW = frish weight</t>
  </si>
  <si>
    <t>Amount (Kg)</t>
  </si>
  <si>
    <t>Meat - dead animals</t>
  </si>
  <si>
    <t>Meat</t>
  </si>
  <si>
    <t>Svinekoed_piglet_dead_conv</t>
  </si>
  <si>
    <t>Som for dansk protein_2</t>
  </si>
  <si>
    <r>
      <t xml:space="preserve">Transfer of previous animal stages (amounts are in </t>
    </r>
    <r>
      <rPr>
        <b/>
        <i/>
        <sz val="12"/>
        <color theme="1"/>
        <rFont val="Arial"/>
        <family val="2"/>
      </rPr>
      <t>fresh weight)</t>
    </r>
  </si>
  <si>
    <t>3,1% døde (Andersen et al 2021) á (24,3/2) kg</t>
  </si>
  <si>
    <t>Svinekoed_little_pig_dead_conv</t>
  </si>
  <si>
    <t>Svinekoed_sla_pig_dead_conv</t>
  </si>
  <si>
    <t>Det antages at de i gennemsnit dør ca 1/3 inde i deres tilvækst i systemet</t>
  </si>
  <si>
    <t>Foster_kvaeg_heavy_dead_conv</t>
  </si>
  <si>
    <t>Foster_kvaeg_heavy_dead_org</t>
  </si>
  <si>
    <t>5,6% kviedødelighed de første 6 mdr á 64 kg + dødfødte kalve (5,3%) samt døde fra 6-27 mdr (1,2% á 315,5 kg).</t>
  </si>
  <si>
    <t>Levende foster</t>
  </si>
  <si>
    <t>Tilvaekst_heifer_heavy_conv</t>
  </si>
  <si>
    <t>Tilvækst levende kvier</t>
  </si>
  <si>
    <t>Slagtning af 10% af kvierne (antaget ved 503 kg tilvaekst).</t>
  </si>
  <si>
    <t>Meat - live-1</t>
  </si>
  <si>
    <t>Meat - live-2</t>
  </si>
  <si>
    <t>5,2% dødelighed (SEGES; tal om kvæg) á 2 års tilvækst á 40 kg kg samt 5,3% kalve (24 kg)</t>
  </si>
  <si>
    <t>Tilvaekst_heifer_heavy dead_conv</t>
  </si>
  <si>
    <t>Kalve produceret</t>
  </si>
  <si>
    <t>Tilvaekst_heifer_heavy_org</t>
  </si>
  <si>
    <t>Tilvaekst_heifer_heavy_dead_org</t>
  </si>
  <si>
    <t>Transformation 1</t>
  </si>
  <si>
    <t>Transformation 2</t>
  </si>
  <si>
    <t>Transformation 3</t>
  </si>
  <si>
    <t>Original stage</t>
  </si>
  <si>
    <t>New stage</t>
  </si>
  <si>
    <t xml:space="preserve">LittlePigs_up_to_31_1_conv </t>
  </si>
  <si>
    <t>Heifer_dairy_heavy_live_conv</t>
  </si>
  <si>
    <t>Pork_meat_conv</t>
  </si>
  <si>
    <t>Heifer_dairy_heavy_live_org</t>
  </si>
  <si>
    <t>Straw_legume_org</t>
  </si>
  <si>
    <t>Straw_seed_grass_org</t>
  </si>
  <si>
    <t>Bull_godning_afsat_på_mark_org</t>
  </si>
  <si>
    <t>Feed_fat_imp_conv</t>
  </si>
  <si>
    <t>Grazing_a</t>
  </si>
  <si>
    <t>Grazing_b</t>
  </si>
  <si>
    <t>Smaagris_toklimastald_gylle_conv</t>
  </si>
  <si>
    <t>Smaagris_draenet_gulv_gylle_conv</t>
  </si>
  <si>
    <t>Smaagris_dybstroelse_conv</t>
  </si>
  <si>
    <t>Category</t>
  </si>
  <si>
    <t>Silage_plastic_1</t>
  </si>
  <si>
    <t>Én konventionel slagtegris produceret fra 31 kg til slagt 115 kg - kræver at der produceres 1,035 smågris</t>
  </si>
  <si>
    <t>(((90.3+10.3*(4*18.85)^0.75+((4*MJ)/55)*13.5)*0.25*55)*21.75)/1000</t>
  </si>
  <si>
    <t>(((90.3+10.3*(4*18.85)^0.75+((4*MJ)/55)*13.5)*0.25*55)*0.5003)/1000</t>
  </si>
  <si>
    <t>((((90.3+10.3*(4*18.85)^0.75+((4*MJ)/55)*13.5)*0.25*55)*0.5003)/1000)*2.5</t>
  </si>
  <si>
    <t>sum</t>
  </si>
  <si>
    <t>Mineral_Type_3_grann_imp_org</t>
  </si>
  <si>
    <t>Mineral_Type_3_grann_imp_conv</t>
  </si>
  <si>
    <t>Fra DCA 116, antaget som for dansk rapskage</t>
  </si>
  <si>
    <t>Fra DCA 116, indtil videre antages 0% hjemmedyrket</t>
  </si>
  <si>
    <t>Fra DCA 116, hjemmedyrket andel på 20% er et estimat</t>
  </si>
  <si>
    <t>Evt transport af import medtages andre steder</t>
  </si>
  <si>
    <t>Fra DCA 116, hjemmedyrket andel på 50% er et estimat</t>
  </si>
  <si>
    <t>Fra DCA 116, antaget som for protein _1</t>
  </si>
  <si>
    <t>Ensilering_energy_corn_conv</t>
  </si>
  <si>
    <t>Energy_corn_conv</t>
  </si>
  <si>
    <t>Energy_whole_crop_conv</t>
  </si>
  <si>
    <t>Ensilering_energy_whole_crop_conv</t>
  </si>
  <si>
    <t>Ensilage_energy_corn_conv</t>
  </si>
  <si>
    <t>Ensilage_energy_whole_crop_conv</t>
  </si>
  <si>
    <t>Ensilage_straw_seed_grass_conv</t>
  </si>
  <si>
    <t>Ensilering_straw_seed_grass_conv</t>
  </si>
  <si>
    <t>Silage_plastic_2</t>
  </si>
  <si>
    <t>Silage_plastic_3</t>
  </si>
  <si>
    <t>Silage_plastic_4</t>
  </si>
  <si>
    <t>Amount (kg) per kg input DM</t>
  </si>
  <si>
    <t>Én økologisk so</t>
  </si>
  <si>
    <t>Sow1_org</t>
  </si>
  <si>
    <t>FEs</t>
  </si>
  <si>
    <t>Færdigfoder søer (antages 85% TS)</t>
  </si>
  <si>
    <t>Pattegrisefoder, startfoder (antages 85% TS)</t>
  </si>
  <si>
    <t>Grovfoder (antages 0,85 FE pr kg TS)</t>
  </si>
  <si>
    <t>% fordeling</t>
  </si>
  <si>
    <t>Ved 1468 kg TS i rationen</t>
  </si>
  <si>
    <t>Protein_1_org</t>
  </si>
  <si>
    <t>Mineral_Type_2_grann_imp_org</t>
  </si>
  <si>
    <t>Soyakage_imp_org</t>
  </si>
  <si>
    <t>Pork_meat_org</t>
  </si>
  <si>
    <t>Svinekoed_adult_org</t>
  </si>
  <si>
    <t>Svinekoed_affald_org</t>
  </si>
  <si>
    <t>Svinekoed_piglet_org</t>
  </si>
  <si>
    <t>Svinekoed_piglet_dead_org</t>
  </si>
  <si>
    <t>Svinekoed_little_pig_org</t>
  </si>
  <si>
    <t>Svinekoed_little_pig_dead_org</t>
  </si>
  <si>
    <t>Svinekoed_slaugther_pig_org</t>
  </si>
  <si>
    <t>Svinekoed_sla_pig_dead_org</t>
  </si>
  <si>
    <t>So_inkl_piglets_standard_conv</t>
  </si>
  <si>
    <t>So_inkl_piglets_standard_org</t>
  </si>
  <si>
    <t>((MJ+3869)*0.006/55.65)*(12/16)</t>
  </si>
  <si>
    <t>((MJ+3869)*0.006/55.65)*2.125</t>
  </si>
  <si>
    <t>(MJ+3869)*0.006</t>
  </si>
  <si>
    <t>Sow_standard_conv</t>
  </si>
  <si>
    <t>Sow_standard_org</t>
  </si>
  <si>
    <t>((((90.3+10.3*206^0.75+(((MJ-1909)/365)*13.5))*365)+(90.3+10.3*99^0.75+13.5*(((3869/1.95)+979)/49))*49*1.95)*0.5003)/1000</t>
  </si>
  <si>
    <t>(((((90.3+10.3*206^0.75+(((MJ-1909)/365)*13.5))*365)+(90.3+10.3*99^0.75+13.5*(((3869/1.95)+979)/49))*49*1.95)*0.5003)/1000)*2.5</t>
  </si>
  <si>
    <t>((((90.3+10.3*206^0.75+(((MJ-1909)/365)*13.5))*365)+(90.3+10.3*99^0.75+13.5*(((3869/1.95)+979)/49))*49*1.95)*21.75)/1000</t>
  </si>
  <si>
    <t>Sows_godning_afsat_på_mark_org</t>
  </si>
  <si>
    <t>Sow_deep_litter_org</t>
  </si>
  <si>
    <t>Sows_slurry_deep_litter_org</t>
  </si>
  <si>
    <t>Sows_slurry_partly_slatted_floor_org</t>
  </si>
  <si>
    <t>Fresh_grass_in field_sow_org</t>
  </si>
  <si>
    <t>Fresh_grass_field_org</t>
  </si>
  <si>
    <t>LittlePigs_up_to_31_org</t>
  </si>
  <si>
    <t>Én økologisk smågris</t>
  </si>
  <si>
    <t>Piglet_15_live_org</t>
  </si>
  <si>
    <t>Piglets_standard_conv</t>
  </si>
  <si>
    <t>Piglets_standard_org</t>
  </si>
  <si>
    <t>Org_Sows; Faremark, inkl. grise til 15 kg</t>
  </si>
  <si>
    <t>Org_Sows; Dybstrøelse hele arealet inde. Løbegård med fast/drænet gulv + spaltegulv (50 %/50 %)</t>
  </si>
  <si>
    <t>Org_Sows; Løbe/drægtighed, udendørs</t>
  </si>
  <si>
    <t>Org_Sows; Delvis spaltegulv inde. Løbegård med fast/drænet gulv + spaltegulv (50 %/50 %)</t>
  </si>
  <si>
    <t>Org_Little_pigs; Outside</t>
  </si>
  <si>
    <t>Org_Little_pigs; Dybstrøelse hele arealet inde. Løbegård med fast/drænet gulv + spaltegulv (50 %/50 %)</t>
  </si>
  <si>
    <t>Org_Little_pigs; Delvis spaltegulv inde. Løbegård med fast/drænet gulv + spaltegulv (50 %/50 %)</t>
  </si>
  <si>
    <t>Pig_godning_afsat_mark_org</t>
  </si>
  <si>
    <t>Little_pig_deep_litter_org</t>
  </si>
  <si>
    <t>Little_pig_slurry_partly_slatted_floor_org</t>
  </si>
  <si>
    <t>Little_pig_slurry_deep_litter_org</t>
  </si>
  <si>
    <t>Slpig1_org</t>
  </si>
  <si>
    <t>Ét økologisk slagtesvin</t>
  </si>
  <si>
    <t>Piglet_31_live_org</t>
  </si>
  <si>
    <t>Færdigfoder sslagtesvin(antages 85% TS)</t>
  </si>
  <si>
    <t>Ved 196 kg TS i rationen</t>
  </si>
  <si>
    <t>(((90.3+10.3*(4*23)^0.75+((4*MJ)/29)*13.5)*0.25*29)*0.5003)/1000</t>
  </si>
  <si>
    <t>Slaugh_pigs_standard_org</t>
  </si>
  <si>
    <t>Slaugh_pigs_standard_conv</t>
  </si>
  <si>
    <t>(((90.3+10.3*72^0.75+(MJ/90)*13.5)*90)*0.5003)/1000</t>
  </si>
  <si>
    <t>((((90.3+10.3*72^0.75+(MJ/90)*13.5)*90)*0.5003)/1000)*2.5</t>
  </si>
  <si>
    <t>(((90.3+10.3*72^0.75+(MJ/90)*13.5)*90)*21.75)/1000</t>
  </si>
  <si>
    <t>Org_Slaugh_Pig; Dybstrøelse hele arealet inde. Løbegård med fast/drænet gulv + spaltegulv (50 %/50 %)</t>
  </si>
  <si>
    <t>Org_Slaugh_Pig; Delvis spaltegulv inde. Løbegård med fast/drænet gulv + spaltegulv (50 %/50 %)</t>
  </si>
  <si>
    <t>Org_Slaugh_Pig; Outside</t>
  </si>
  <si>
    <t>Sl_pig_slurry_deep_litter_org</t>
  </si>
  <si>
    <t>Sl_pig_slurry_partly_slatted_floor_org</t>
  </si>
  <si>
    <t>Sl_pig_deep_litter_org</t>
  </si>
  <si>
    <t>Én økologisk so inklusiv tilvækst af polt og orne og produktion af norm smågrise op til 15 kg.</t>
  </si>
  <si>
    <t>Korn</t>
  </si>
  <si>
    <t>Protein_1</t>
  </si>
  <si>
    <t>Protein_2</t>
  </si>
  <si>
    <t>Mineraler</t>
  </si>
  <si>
    <t>Ét økologisk slagtesvin.</t>
  </si>
  <si>
    <t>Klima- og miljøpåvirkningen ved produktion af økologisk grisekød – år 2010 og 2020</t>
  </si>
  <si>
    <t>Halvdelen af energien er omregnet til diesel</t>
  </si>
  <si>
    <t>Én økologisk smågris.</t>
  </si>
  <si>
    <t>SUM (diesel pr kg input DM)</t>
  </si>
  <si>
    <t>((((90.3+10.3*(4*23)^0.75+((4*MJ)/29)*13.5)*0.25*29)*0.5003)/1000)*2.5</t>
  </si>
  <si>
    <t>(((90.3+10.3*(4*23)^0.75+((4*MJ)/29)*13.5)*0.25*29)*21.75)/1000</t>
  </si>
  <si>
    <t>Afgraesning_grazed_1</t>
  </si>
  <si>
    <t>Afgraesning_1_grazed_organic</t>
  </si>
  <si>
    <t>Afgraesning_1_grazed_conv</t>
  </si>
  <si>
    <t>Afgraesning_1_grazed_org</t>
  </si>
  <si>
    <t>%</t>
  </si>
  <si>
    <t>General information</t>
  </si>
  <si>
    <t>ID-number</t>
  </si>
  <si>
    <t>Code</t>
  </si>
  <si>
    <t>Name</t>
  </si>
  <si>
    <t>One conventional little pig</t>
  </si>
  <si>
    <t>Input Biomass pool(s)</t>
  </si>
  <si>
    <t>Sum/average of content</t>
  </si>
  <si>
    <t>Min/optimal protein% in ration</t>
  </si>
  <si>
    <t>Max protein% in ration</t>
  </si>
  <si>
    <t>Index card for Livestock</t>
  </si>
  <si>
    <t>One produced  conventional little pig from 6.7 to 31 kg. There need to be produced 1.032 piglet to obtain 1 produced little pig.</t>
  </si>
  <si>
    <t>Protein (adjustable)</t>
  </si>
  <si>
    <t>Grain (adjustable)</t>
  </si>
  <si>
    <t>Choose</t>
  </si>
  <si>
    <t>Unit</t>
  </si>
  <si>
    <t>Amount (Kg DM)</t>
  </si>
  <si>
    <t>Produced in model</t>
  </si>
  <si>
    <t>Can be exchanged by</t>
  </si>
  <si>
    <t>Minimum amount when adjusted (kg DM)</t>
  </si>
  <si>
    <t>Protein in ration</t>
  </si>
  <si>
    <t>Sum, adjustable protein + grain</t>
  </si>
  <si>
    <t>Amount of DM in ration</t>
  </si>
  <si>
    <t>Input special feed products for livestock</t>
  </si>
  <si>
    <t>Produced i DK</t>
  </si>
  <si>
    <t>Output amount</t>
  </si>
  <si>
    <t>Biomass pool</t>
  </si>
  <si>
    <t>Product group</t>
  </si>
  <si>
    <t>Destination group</t>
  </si>
  <si>
    <t>CH4, enteric</t>
  </si>
  <si>
    <t>Milk</t>
  </si>
  <si>
    <t>Only for dairy cows:</t>
  </si>
  <si>
    <t>Milk yield (kg/year)</t>
  </si>
  <si>
    <t>Fat (%)</t>
  </si>
  <si>
    <t>ECM (kg/year)</t>
  </si>
  <si>
    <t>Standard numbers</t>
  </si>
  <si>
    <t>Heavy breed</t>
  </si>
  <si>
    <t>MJ in 1 Kg ECM</t>
  </si>
  <si>
    <t>Ratio  CP:N</t>
  </si>
  <si>
    <t>Chosen</t>
  </si>
  <si>
    <t>Text</t>
  </si>
  <si>
    <t>In present ration:</t>
  </si>
  <si>
    <t>Original biomass pool</t>
  </si>
  <si>
    <t>Amount</t>
  </si>
  <si>
    <t>Fresh weightt (Kg)</t>
  </si>
  <si>
    <t>Fresh weight amount</t>
  </si>
  <si>
    <t>Electricity (KWh)</t>
  </si>
  <si>
    <t>Distance (km)</t>
  </si>
  <si>
    <t>Mean og transportation</t>
  </si>
  <si>
    <t>Km or diesel</t>
  </si>
  <si>
    <t>Proportion that is transported (%)</t>
  </si>
  <si>
    <t>Category of drying</t>
  </si>
  <si>
    <t>Proportion that is dried (%)</t>
  </si>
  <si>
    <t>Processing (Pr kg input DM)</t>
  </si>
  <si>
    <t>Needed field work etc.</t>
  </si>
  <si>
    <t>Stable systems</t>
  </si>
  <si>
    <t>Percentage of livestock</t>
  </si>
  <si>
    <t>Bedding, type</t>
  </si>
  <si>
    <t>Amount (kg DM/year)</t>
  </si>
  <si>
    <t>Manure type produced when grazing</t>
  </si>
  <si>
    <t>Bedding types</t>
  </si>
  <si>
    <t>Bedding DM (g_kg)</t>
  </si>
  <si>
    <t>Amount used/animal (Kg DM)</t>
  </si>
  <si>
    <t>Means of transportation</t>
  </si>
  <si>
    <t>Proportion of transportation (%)</t>
  </si>
  <si>
    <t>Bedding processing (Pr kg input DM)</t>
  </si>
  <si>
    <t>Bedding, field operations etc</t>
  </si>
  <si>
    <t>Dairy cow, heavy breed (kg DM/cow/year)</t>
  </si>
  <si>
    <t>Dairy cow, jersey (kg DM/cow/år)</t>
  </si>
  <si>
    <t>Other (kg DM/year)</t>
  </si>
  <si>
    <t>Declaration for 1 kg DM af special feed products</t>
  </si>
  <si>
    <t>DM, g / kg</t>
  </si>
  <si>
    <t>Transport summary</t>
  </si>
  <si>
    <t>Drying summary</t>
  </si>
  <si>
    <t>Product</t>
  </si>
  <si>
    <t>Processing summary</t>
  </si>
  <si>
    <t>Bedding consumtion per animal</t>
  </si>
  <si>
    <t>Summary</t>
  </si>
  <si>
    <t>Summed transportation</t>
  </si>
  <si>
    <t>Content of the chosen biomass pool</t>
  </si>
  <si>
    <t>FU</t>
  </si>
  <si>
    <t>Content of output</t>
  </si>
  <si>
    <t>Input table for calculations of transportations, drying, etc.</t>
  </si>
  <si>
    <t>Losses in absolute amounts (Kg or MJ)</t>
  </si>
  <si>
    <t>Returned to field</t>
  </si>
  <si>
    <t>Other</t>
  </si>
  <si>
    <t>No.</t>
  </si>
  <si>
    <t>General</t>
  </si>
  <si>
    <t>Output biomass pool</t>
  </si>
  <si>
    <t>Input biomass pool</t>
  </si>
  <si>
    <t>Losses of input (%)</t>
  </si>
  <si>
    <t>Does the loss form a product</t>
  </si>
  <si>
    <t>Name of the product</t>
  </si>
  <si>
    <t>Allocation to product (%)</t>
  </si>
  <si>
    <t>Specific and other gas losses (allocation in percentage)</t>
  </si>
  <si>
    <t>C_other</t>
  </si>
  <si>
    <t>C_CO2_climate</t>
  </si>
  <si>
    <t>N_other</t>
  </si>
  <si>
    <t>P_other</t>
  </si>
  <si>
    <t>P_envi</t>
  </si>
  <si>
    <t>K_other</t>
  </si>
  <si>
    <t>K_envi</t>
  </si>
  <si>
    <t>Declaration for input biomass pool</t>
  </si>
  <si>
    <t>Ressource consumption</t>
  </si>
  <si>
    <t>Diesel pr weight unit</t>
  </si>
  <si>
    <t>Distance</t>
  </si>
  <si>
    <t>Declaration of converted feed stock (g/kg)</t>
  </si>
  <si>
    <t>Stable system</t>
  </si>
  <si>
    <t>Manure type 1</t>
  </si>
  <si>
    <t>Manure type 2</t>
  </si>
  <si>
    <t>Manure type 3</t>
  </si>
  <si>
    <t>Manure type 4</t>
  </si>
  <si>
    <t>DM_proportion</t>
  </si>
  <si>
    <t>C_Propor.</t>
  </si>
  <si>
    <t>N_Propor.</t>
  </si>
  <si>
    <t>P_Propor.</t>
  </si>
  <si>
    <t>K_Propor.</t>
  </si>
  <si>
    <t>MJ_Propor.</t>
  </si>
  <si>
    <t>Plant_C_Propor.</t>
  </si>
  <si>
    <t>Manure type(s) and the distribution of the pareantal manure and bedding between those</t>
  </si>
  <si>
    <t>Default amounts of bedding</t>
  </si>
  <si>
    <t>Dairy cow, jersey (kg DM/cow/year)</t>
  </si>
  <si>
    <t>Sow (kg DM/pen/year) (For other pigs, the amounts are per produced animal)</t>
  </si>
  <si>
    <t>Heifers</t>
  </si>
  <si>
    <t>Bulls</t>
  </si>
  <si>
    <t>DM/year</t>
  </si>
  <si>
    <t>pr day</t>
  </si>
  <si>
    <t>Amounts of bedding</t>
  </si>
  <si>
    <t>Der er ikke sat halm på, da der ikke opstår et gødningsprodukt (no straw)</t>
  </si>
  <si>
    <t>Transportation of imported feedstuff is included elsewhere, if selected</t>
  </si>
  <si>
    <t>Possible drying of imported feedstuff are included elsewhere</t>
  </si>
  <si>
    <t>Spring_barley_grain</t>
  </si>
  <si>
    <t>Grain</t>
  </si>
  <si>
    <t>Grain_crop</t>
  </si>
  <si>
    <t>Kerne</t>
  </si>
  <si>
    <t>Spring_barley_straw</t>
  </si>
  <si>
    <t>Straw</t>
  </si>
  <si>
    <t>Moden</t>
  </si>
  <si>
    <t>Gul</t>
  </si>
  <si>
    <t>Grass_clover</t>
  </si>
  <si>
    <t>Grass_and_grass_clover</t>
  </si>
  <si>
    <t>Grøn</t>
  </si>
  <si>
    <t>Winter_barley_grain</t>
  </si>
  <si>
    <t>Winter_barley_straw</t>
  </si>
  <si>
    <t>Winter_wheat_grain</t>
  </si>
  <si>
    <t>Winter_wheat_straw</t>
  </si>
  <si>
    <t>Oilseed_rape_seed</t>
  </si>
  <si>
    <t>Oilseed</t>
  </si>
  <si>
    <t>Oilseed_rape_straw</t>
  </si>
  <si>
    <t>Straw_oilseed</t>
  </si>
  <si>
    <t>Winter_rye_grain</t>
  </si>
  <si>
    <t>Winter_rye_straw</t>
  </si>
  <si>
    <t>Oat_grain</t>
  </si>
  <si>
    <t>Oat_straw</t>
  </si>
  <si>
    <t>Maize_whole_crop</t>
  </si>
  <si>
    <t>Maize_whole_crop_fresh</t>
  </si>
  <si>
    <t>Potato_starch</t>
  </si>
  <si>
    <t>Potatoes_starch_powder</t>
  </si>
  <si>
    <t>Tubers_and_roots_factory</t>
  </si>
  <si>
    <t>Exit_model</t>
  </si>
  <si>
    <t>Perm_grass_normal_yield</t>
  </si>
  <si>
    <t>Peas_seed</t>
  </si>
  <si>
    <t>Forarbejdet</t>
  </si>
  <si>
    <t>Peas_straw</t>
  </si>
  <si>
    <t>Sugar_beets_roots</t>
  </si>
  <si>
    <t>Sugar_beets_factory</t>
  </si>
  <si>
    <t>Sugar_beets_top</t>
  </si>
  <si>
    <t>Beets_top</t>
  </si>
  <si>
    <t>Crop_residue</t>
  </si>
  <si>
    <t>Return</t>
  </si>
  <si>
    <t>Seed_grass_seed</t>
  </si>
  <si>
    <t>Small_seeds</t>
  </si>
  <si>
    <t>Seed_grass_straw</t>
  </si>
  <si>
    <t>Straw_seed_grass</t>
  </si>
  <si>
    <t>Potato_other</t>
  </si>
  <si>
    <t>Potatoes_not_starch_powder</t>
  </si>
  <si>
    <t>Early_grain_whole_crop</t>
  </si>
  <si>
    <t>Late_grain_whole_crop</t>
  </si>
  <si>
    <t>Whole_crop</t>
  </si>
  <si>
    <t>Grass_clover_low_yield</t>
  </si>
  <si>
    <t>Grass_0N</t>
  </si>
  <si>
    <t>Grass_rotation</t>
  </si>
  <si>
    <t>Lucerne</t>
  </si>
  <si>
    <t>Protein_grass_clover_biorefinery</t>
  </si>
  <si>
    <t>Perm_grass_low_yield</t>
  </si>
  <si>
    <t>Perm_grass_no_yield</t>
  </si>
  <si>
    <t>Grass_legume_grass_no_yield_b</t>
  </si>
  <si>
    <t>C_crop_residue</t>
  </si>
  <si>
    <t>C_Return</t>
  </si>
  <si>
    <t>Catch_crop_grass</t>
  </si>
  <si>
    <t>Catch_crop_biomass</t>
  </si>
  <si>
    <t>Catch_crop_turnover</t>
  </si>
  <si>
    <t>Faba_beans_seed</t>
  </si>
  <si>
    <t>Catch_crop_grass_legume</t>
  </si>
  <si>
    <t>Rota_grass_no_yield_a</t>
  </si>
  <si>
    <t>Grass_legume_grass_no_yield_a</t>
  </si>
  <si>
    <t>Rota_grass_no_yield_b</t>
  </si>
  <si>
    <t>Protein_grass_clover</t>
  </si>
  <si>
    <t>Kg TS</t>
  </si>
  <si>
    <t>Peas_green_seed</t>
  </si>
  <si>
    <t>Human_food_protein_legumes</t>
  </si>
  <si>
    <t>Human_food_protein</t>
  </si>
  <si>
    <t>Dyrk_prod_39</t>
  </si>
  <si>
    <t>Dyrk_prod_40</t>
  </si>
  <si>
    <t>Dyrk_prod_41</t>
  </si>
  <si>
    <t>Dyrk_prod_42</t>
  </si>
  <si>
    <t>Dyrk_prod_43</t>
  </si>
  <si>
    <t>Dyrk_prod_44</t>
  </si>
  <si>
    <t>Dyrk_prod_45</t>
  </si>
  <si>
    <t>Dyrk_prod_46</t>
  </si>
  <si>
    <t>Dyrk_prod_47</t>
  </si>
  <si>
    <t>Dyrk_prod_48</t>
  </si>
  <si>
    <t>Dyrk_prod_49</t>
  </si>
  <si>
    <t>Dyrk_prod_50</t>
  </si>
  <si>
    <t>Dyrk_prod_51</t>
  </si>
  <si>
    <t>Dyrk_prod_52</t>
  </si>
  <si>
    <t>Dyrk_prod_53</t>
  </si>
  <si>
    <t>Dyrk_prod_54</t>
  </si>
  <si>
    <t>Dyrk_prod_55</t>
  </si>
  <si>
    <t>Dyrk_prod_56</t>
  </si>
  <si>
    <t>Dyrk_prod_57</t>
  </si>
  <si>
    <t>Dyrk_prod_58</t>
  </si>
  <si>
    <t>Dyrk_prod_59</t>
  </si>
  <si>
    <t>Detail_Spring_barley_grain</t>
  </si>
  <si>
    <t>Detail_Spring_barley_straw</t>
  </si>
  <si>
    <t>Detail_Grass_clover</t>
  </si>
  <si>
    <t>Detail_Winter_wheat_grain</t>
  </si>
  <si>
    <t>Detail_Winter_wheat_straw</t>
  </si>
  <si>
    <t>Detail_Oilseed_rape_seed</t>
  </si>
  <si>
    <t>Detail_Oilseed_rape_straw</t>
  </si>
  <si>
    <t>Detail_Maize_whole_crop</t>
  </si>
  <si>
    <t>Perm_grass_normal_yield_detail</t>
  </si>
  <si>
    <t>Detail_Peas_seed</t>
  </si>
  <si>
    <t>Detail_Peas_straw</t>
  </si>
  <si>
    <t>Detail_Late_grain_whole_crop</t>
  </si>
  <si>
    <t>Detail_Grass_rotation</t>
  </si>
  <si>
    <t>Perm_grass_no_yield_detail</t>
  </si>
  <si>
    <t>Detail_Catch_crop_grass</t>
  </si>
  <si>
    <t>Detail_Catch_crop_grass_legume</t>
  </si>
  <si>
    <t>Importerede produkter til anvendelsesstedet</t>
  </si>
  <si>
    <t>Protein_imp_conv</t>
  </si>
  <si>
    <t>Protein_imp</t>
  </si>
  <si>
    <t>Korn_imp_conv</t>
  </si>
  <si>
    <t>Korn_imp</t>
  </si>
  <si>
    <t>Protein_imp_org</t>
  </si>
  <si>
    <t>Korn_imp_org</t>
  </si>
  <si>
    <t>Handelsgodning_N_standard_conv</t>
  </si>
  <si>
    <t>Handelsgødning_N_conv</t>
  </si>
  <si>
    <t>Handelsgødning_N</t>
  </si>
  <si>
    <t>Import_Non_flow</t>
  </si>
  <si>
    <t>Handelsgodning_P_standard_conv</t>
  </si>
  <si>
    <t>Handelsgødning_P_conv</t>
  </si>
  <si>
    <t>Handelsgødning_P</t>
  </si>
  <si>
    <t>Handelsgodning_K_standard_conv</t>
  </si>
  <si>
    <t>Handelsgødning_K_conv</t>
  </si>
  <si>
    <t>Handelsgødning_K</t>
  </si>
  <si>
    <t>Mineral_imp_conv</t>
  </si>
  <si>
    <t>Mineral_imp</t>
  </si>
  <si>
    <t>Milk_powder_imp_conv</t>
  </si>
  <si>
    <t>Milk_powder_imp</t>
  </si>
  <si>
    <t>Whole_milk_feed_large_imp_conv</t>
  </si>
  <si>
    <t>Whole_milk_feed_imp_conv</t>
  </si>
  <si>
    <t>Whole_milk_feed_imp</t>
  </si>
  <si>
    <t>Whole_milk_feed_jersey_imp_conv</t>
  </si>
  <si>
    <t>Mineral_Imp_org</t>
  </si>
  <si>
    <t>Milk_powder_imp_org</t>
  </si>
  <si>
    <t>Whole_milk_feed_imp_org</t>
  </si>
  <si>
    <t>Whole_milk_feed_jersey_imp_org</t>
  </si>
  <si>
    <t>Fat_imp_conv</t>
  </si>
  <si>
    <t>Fat_imp</t>
  </si>
  <si>
    <t>Feed_fat_imp_org</t>
  </si>
  <si>
    <t>Fat_imp_org</t>
  </si>
  <si>
    <t>Diesel_L</t>
  </si>
  <si>
    <t>Diesel_fossil</t>
  </si>
  <si>
    <t>Import_Associated</t>
  </si>
  <si>
    <t>Heat_MJ</t>
  </si>
  <si>
    <t>Heat_gas</t>
  </si>
  <si>
    <t>Electricity_kwh</t>
  </si>
  <si>
    <t>Electricity_used</t>
  </si>
  <si>
    <t>Irrigation_water_electricity</t>
  </si>
  <si>
    <t>Lime_CaCO3</t>
  </si>
  <si>
    <t>Lime</t>
  </si>
  <si>
    <t>Soil_amendment</t>
  </si>
  <si>
    <t>Plastic</t>
  </si>
  <si>
    <t>Material</t>
  </si>
  <si>
    <t>Handelsgodning_K_standard_org</t>
  </si>
  <si>
    <t>Handelsgødning_K_org</t>
  </si>
  <si>
    <t>Imp_prod_29</t>
  </si>
  <si>
    <t>Imp_prod_30</t>
  </si>
  <si>
    <t>Imp_prod_31</t>
  </si>
  <si>
    <t>Imp_prod_32</t>
  </si>
  <si>
    <t>Imp_prod_33</t>
  </si>
  <si>
    <t>Imp_prod_34</t>
  </si>
  <si>
    <t>Imp_prod_35</t>
  </si>
  <si>
    <t>Imp_prod_36</t>
  </si>
  <si>
    <t>Imp_prod_37</t>
  </si>
  <si>
    <t>Imp_prod_38</t>
  </si>
  <si>
    <t>Imp_prod_39</t>
  </si>
  <si>
    <t>Imp_prod_40</t>
  </si>
  <si>
    <t>Imp_prod_41</t>
  </si>
  <si>
    <t>Imp_prod_42</t>
  </si>
  <si>
    <t>Imp_prod_43</t>
  </si>
  <si>
    <t>Imp_prod_44</t>
  </si>
  <si>
    <t>Imp_prod_45</t>
  </si>
  <si>
    <t>Imp_prod_46</t>
  </si>
  <si>
    <t>Imp_prod_47</t>
  </si>
  <si>
    <t>Imp_prod_48</t>
  </si>
  <si>
    <t>Imp_prod_49</t>
  </si>
  <si>
    <t>Imp_prod_50</t>
  </si>
  <si>
    <t>FE, kg DM/FE</t>
  </si>
  <si>
    <t>Liter</t>
  </si>
  <si>
    <t>KWh</t>
  </si>
  <si>
    <t>CO₂-ækv., g per kg tørstof</t>
  </si>
  <si>
    <t>m² / kg TS</t>
  </si>
  <si>
    <t>Dyrkning</t>
  </si>
  <si>
    <t>Forarbejdning</t>
  </si>
  <si>
    <t>Jord</t>
  </si>
  <si>
    <t>iLUC</t>
  </si>
  <si>
    <t>dLUC</t>
  </si>
  <si>
    <t>Dieselforbrug ved markoperationer, per ha per behandling / per ton dyrket afgrøde</t>
  </si>
  <si>
    <t>Markoperation-ID</t>
  </si>
  <si>
    <t>Markoperation</t>
  </si>
  <si>
    <t>Dieselforbrug</t>
  </si>
  <si>
    <t>JB-korrektion</t>
  </si>
  <si>
    <t>Kilde</t>
  </si>
  <si>
    <t>Kilde-ID</t>
  </si>
  <si>
    <t>Stubharvning*</t>
  </si>
  <si>
    <t>L / ha</t>
  </si>
  <si>
    <t>Pløjning, efterår*</t>
  </si>
  <si>
    <t>Pløjning, forår*</t>
  </si>
  <si>
    <t>Jordpakning*</t>
  </si>
  <si>
    <t>Såbedsharvning, let*</t>
  </si>
  <si>
    <t>Såbedsharvning, tung*</t>
  </si>
  <si>
    <t>Tromling*</t>
  </si>
  <si>
    <t>Såning*</t>
  </si>
  <si>
    <t>Såning med såsæt"</t>
  </si>
  <si>
    <t>Kunstgødskning*</t>
  </si>
  <si>
    <t>Radrensning*</t>
  </si>
  <si>
    <t>Ukrudstharvning*</t>
  </si>
  <si>
    <t>Korrektioner og tillæg</t>
  </si>
  <si>
    <t>Sprøjtning*</t>
  </si>
  <si>
    <t>Mejetærskning*</t>
  </si>
  <si>
    <t>ID</t>
  </si>
  <si>
    <t>Roeoptagning*</t>
  </si>
  <si>
    <t>Roeaftopning*</t>
  </si>
  <si>
    <t>Grønthøstning*</t>
  </si>
  <si>
    <t>L / ton/km</t>
  </si>
  <si>
    <t>L / ton</t>
  </si>
  <si>
    <t>Selvkø_skårlægger</t>
  </si>
  <si>
    <t>Snitning_halm_mejetæ</t>
  </si>
  <si>
    <t>Organisk_godning</t>
  </si>
  <si>
    <t>Tom7</t>
  </si>
  <si>
    <t>Tom8</t>
  </si>
  <si>
    <t>Tom9</t>
  </si>
  <si>
    <t>Tom10</t>
  </si>
  <si>
    <t>Tom11</t>
  </si>
  <si>
    <t>Tom12</t>
  </si>
  <si>
    <t>Tom13</t>
  </si>
  <si>
    <t>Tom14</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</si>
  <si>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</si>
  <si>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</si>
  <si>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</si>
  <si>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</si>
  <si>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</si>
  <si>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</si>
  <si>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</si>
  <si>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</si>
  <si>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</si>
  <si>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</si>
  <si>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</si>
  <si>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</si>
  <si>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</si>
  <si>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</si>
  <si>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</si>
  <si>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</si>
  <si>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</si>
  <si>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</si>
  <si>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</si>
  <si>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</si>
  <si>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</si>
  <si>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</si>
  <si>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</si>
  <si>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</si>
  <si>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</si>
  <si>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</si>
  <si>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</si>
  <si>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</si>
  <si>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</si>
  <si>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</si>
  <si>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</si>
  <si>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</si>
  <si>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</si>
  <si>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</si>
  <si>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</si>
  <si>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Tom50</t>
  </si>
  <si>
    <t>Tom51</t>
  </si>
  <si>
    <t>Tom52</t>
  </si>
  <si>
    <t>Tom53</t>
  </si>
  <si>
    <t xml:space="preserve">Fra Energiforbrug på økologiske og konventionelle landbrug. Tommy Dalgaard, Randi Dalgaard &amp; Anders Højlund Nielsen, Afdeling for JordbrugssystemerMarkbrug nr. 260 ◆ Juli 2002
</t>
  </si>
  <si>
    <t>Fastsat af HT som lig med tung såbedsharvning + 2 liter for at håndtere vægten af såsæden også. Se evt faktaark om besparelser i dieselforbruget.</t>
  </si>
  <si>
    <t>Se dokumentation for ikke avancerede teknologier</t>
  </si>
  <si>
    <t>SEGES' rapport om emissioner fra dyrkning af raps</t>
  </si>
  <si>
    <t>Uvandet grovsand</t>
  </si>
  <si>
    <t>Uvandet finsand</t>
  </si>
  <si>
    <t>Vandet sandjord</t>
  </si>
  <si>
    <t>Sandblandet lerjord</t>
  </si>
  <si>
    <t>Lerjord</t>
  </si>
  <si>
    <t>Humusjorde</t>
  </si>
  <si>
    <t>Korrektion for jordtype, faktor</t>
  </si>
  <si>
    <t>Tillæg for smøreolie, faktor</t>
  </si>
  <si>
    <t>Product_group</t>
  </si>
  <si>
    <t>Destination_group</t>
  </si>
  <si>
    <t>Maelk_EKM</t>
  </si>
  <si>
    <t>Ej_til_biomasse</t>
  </si>
  <si>
    <t>Planteolie</t>
  </si>
  <si>
    <t>Olie</t>
  </si>
  <si>
    <t>Protein</t>
  </si>
  <si>
    <t>Biochar</t>
  </si>
  <si>
    <t>Livestock_manure_conv</t>
  </si>
  <si>
    <t>Dead_meat</t>
  </si>
  <si>
    <t>Livestock_manure_org</t>
  </si>
  <si>
    <t>Plant_organic_ferti_org</t>
  </si>
  <si>
    <t>Plant_organic_ferti_conv</t>
  </si>
  <si>
    <t>Husdyrgodning</t>
  </si>
  <si>
    <t>Field_application</t>
  </si>
  <si>
    <t>Livestock_balance</t>
  </si>
  <si>
    <t>Silage_grazing</t>
  </si>
  <si>
    <t>Landfill</t>
  </si>
  <si>
    <t>Soil_input_biochar_conv</t>
  </si>
  <si>
    <t>Energy_biomass_reservation</t>
  </si>
  <si>
    <t>Soil_input_biochar_org</t>
  </si>
  <si>
    <t>Biomass_dummy</t>
  </si>
  <si>
    <t>Dung_field_conv</t>
  </si>
  <si>
    <t>Dung_field_org</t>
  </si>
  <si>
    <t>Degas_livestock_manure_conv</t>
  </si>
  <si>
    <t>Degas_livestock_manure_org</t>
  </si>
  <si>
    <t>Degas_plant_organic_ferti_conv</t>
  </si>
  <si>
    <t>Degas_plant_organic_ferti_org</t>
  </si>
  <si>
    <t>Grass_crop</t>
  </si>
  <si>
    <t>Pig_live_conv</t>
  </si>
  <si>
    <t>Cattle_heavy_live_conv</t>
  </si>
  <si>
    <t>Cattle_heavy_live_org</t>
  </si>
  <si>
    <t>Cattle_jersey_live_conv</t>
  </si>
  <si>
    <t>Cattle_jersey_live_org</t>
  </si>
  <si>
    <t>Transformed_green_feed</t>
  </si>
  <si>
    <t>Sugar</t>
  </si>
  <si>
    <t>Ash_conv</t>
  </si>
  <si>
    <t>Feed_group</t>
  </si>
  <si>
    <t>Ej_til_foder_conv</t>
  </si>
  <si>
    <t>Export_conv</t>
  </si>
  <si>
    <t>Oilseed_conv</t>
  </si>
  <si>
    <t>Loss_conv</t>
  </si>
  <si>
    <t>Exit_conv</t>
  </si>
  <si>
    <t>Plant_slurry_conv</t>
  </si>
  <si>
    <t>Biochar_conv</t>
  </si>
  <si>
    <t>Energi_El</t>
  </si>
  <si>
    <t>Energi_Varme</t>
  </si>
  <si>
    <t>Maelk_EKM_conv</t>
  </si>
  <si>
    <t>Beef_meat_conv</t>
  </si>
  <si>
    <t>Maelk_EKM_org</t>
  </si>
  <si>
    <t>Straw_legume_conv</t>
  </si>
  <si>
    <t>Ej til foder_org</t>
  </si>
  <si>
    <t>Export_org</t>
  </si>
  <si>
    <t>Oilseed_org</t>
  </si>
  <si>
    <t>Loss_org</t>
  </si>
  <si>
    <t>Exit_org</t>
  </si>
  <si>
    <t>Plant_slurry_org</t>
  </si>
  <si>
    <t>Biochar_org</t>
  </si>
  <si>
    <t>Soil_input_conv</t>
  </si>
  <si>
    <t>Soil_input_org</t>
  </si>
  <si>
    <t>Cattle_slurry_conv</t>
  </si>
  <si>
    <t>Cattle_ajle_conv</t>
  </si>
  <si>
    <t>Cattle_solid_manure_conv</t>
  </si>
  <si>
    <t>Cattle_deep_litter_conv</t>
  </si>
  <si>
    <t>Afgraesningstab_conv</t>
  </si>
  <si>
    <t>Cattle_dung_urine_field_conv</t>
  </si>
  <si>
    <t>Pig_slurry_conv</t>
  </si>
  <si>
    <t>Pig_solid_manure_conv</t>
  </si>
  <si>
    <t>Pig_ajle_conv</t>
  </si>
  <si>
    <t>Sows_deep_litter_conv</t>
  </si>
  <si>
    <t>Pig_dung_urine_field_conv</t>
  </si>
  <si>
    <t>Dead_meat_conv</t>
  </si>
  <si>
    <t>Biogas_not_upgraded</t>
  </si>
  <si>
    <t>Degassed_cattle_slurry_conv</t>
  </si>
  <si>
    <t>Straw_oilseed_conv</t>
  </si>
  <si>
    <t>Straw_oilseed_org</t>
  </si>
  <si>
    <t>Separ_thin_fraction_catt_conv</t>
  </si>
  <si>
    <t>Separ_solid_fraction_catt_conv</t>
  </si>
  <si>
    <t>Separ_degas_thin_fraction_catt_slurry_conv</t>
  </si>
  <si>
    <t>Separ_degas_solid_fraction_catt_slurry_conv</t>
  </si>
  <si>
    <t>Separ_degas_solid_fraction_pig_slurry_conv</t>
  </si>
  <si>
    <t>Separ_degas_thin_fraction_pig_slurry_conv</t>
  </si>
  <si>
    <t>Separ_degas_solid_fraction_new_plant_conv</t>
  </si>
  <si>
    <t>Separ_degas_thin_fraction_new_plant_conv</t>
  </si>
  <si>
    <t>Degassed_swine_slurry_conv</t>
  </si>
  <si>
    <t>Degassed_new_plant_slurry_conv</t>
  </si>
  <si>
    <t>Potatoes_starch_powder_conv</t>
  </si>
  <si>
    <t>Potatoes_not_starch_powder_conv</t>
  </si>
  <si>
    <t>Potatoes_not_starch_powder_org</t>
  </si>
  <si>
    <t>Sugar_beets_factory_conv</t>
  </si>
  <si>
    <t>Sugar_beets_factory_org</t>
  </si>
  <si>
    <t>Beets_top_conv</t>
  </si>
  <si>
    <t>Beets_top_org</t>
  </si>
  <si>
    <t>Small_seeds_conv</t>
  </si>
  <si>
    <t>Small_seeds_org</t>
  </si>
  <si>
    <t>Grass_legume_grass_no_yield_a_conv</t>
  </si>
  <si>
    <t>Grass_legume_grass_no_yield_a_org</t>
  </si>
  <si>
    <t>Afgraesningstab_org</t>
  </si>
  <si>
    <t>Beef_meat_org</t>
  </si>
  <si>
    <t>Dead_meat_org</t>
  </si>
  <si>
    <t>Cattle_slurry_org</t>
  </si>
  <si>
    <t>Cattle_ajle_org</t>
  </si>
  <si>
    <t>Cattle_solid_manure_org</t>
  </si>
  <si>
    <t>Cattle_deep_litter_org</t>
  </si>
  <si>
    <t>Cattle_dung_urine_field_org</t>
  </si>
  <si>
    <t>Catch_crop_biomass_conv</t>
  </si>
  <si>
    <t>Catch_crop_biomass_org</t>
  </si>
  <si>
    <t>Plant_oil_org</t>
  </si>
  <si>
    <t>Grass_legume_grass_no_yield_b_conv</t>
  </si>
  <si>
    <t>Grass_legume_grass_no_yield_b_org</t>
  </si>
  <si>
    <t>White_sugar_conv</t>
  </si>
  <si>
    <t>White_sugar_org</t>
  </si>
  <si>
    <t>Molasses1_conv</t>
  </si>
  <si>
    <t>Molasses1_org</t>
  </si>
  <si>
    <t>Degas_swine_deep_litter_conv</t>
  </si>
  <si>
    <t>Bottom_ash_conv</t>
  </si>
  <si>
    <t>Fly_ash_conv</t>
  </si>
  <si>
    <t>Pig_not_sows_deep_litter_conv</t>
  </si>
  <si>
    <t>Separ_degas_solid_fraction_exist_plant_conv</t>
  </si>
  <si>
    <t>Separ_degas_thin_fraction_exist_plant_conv</t>
  </si>
  <si>
    <t>Degassed_exist_plant_slurry_conv</t>
  </si>
  <si>
    <t>Human_food_protein_grass_conv</t>
  </si>
  <si>
    <t>Energy_biomass_rerservation_conv</t>
  </si>
  <si>
    <t>Energy_beet_roots_conv</t>
  </si>
  <si>
    <t>Degassed_new_plant_slurry_org</t>
  </si>
  <si>
    <t>Degassed_exist_plant_slurry_org</t>
  </si>
  <si>
    <t>Separ_degas_solid_fraction_exist_plant_org</t>
  </si>
  <si>
    <t>Separ_degas_thin_fraction_exist_plant_org</t>
  </si>
  <si>
    <t>Separ_degas_solid_fraction_new_plant_org</t>
  </si>
  <si>
    <t>Separ_degas_thin_fraction_new_plant_org</t>
  </si>
  <si>
    <t>Degassed_cattle_slurry_org</t>
  </si>
  <si>
    <t>Degas_cattle_deep_litter_conv</t>
  </si>
  <si>
    <t>Degas_cattle_deep_litter_org</t>
  </si>
  <si>
    <t>Degas_cattle_solid_manure_conv</t>
  </si>
  <si>
    <t>Separ_thin_fraction_pig_conv</t>
  </si>
  <si>
    <t>Separ_solid_fraction_pig_conv</t>
  </si>
  <si>
    <t>Starch_potato_conv</t>
  </si>
  <si>
    <t>Starch</t>
  </si>
  <si>
    <t>Protein_potato1_conv</t>
  </si>
  <si>
    <t>Pulp_potato1_conv</t>
  </si>
  <si>
    <t>Juice_concentrate_potato_conv</t>
  </si>
  <si>
    <t>Carbokalk_nokalk_beet_conv</t>
  </si>
  <si>
    <t>Carbokalk_nokalk_beet_org</t>
  </si>
  <si>
    <t>Pig_live_org</t>
  </si>
  <si>
    <t>Pig_dung_urine_field_org</t>
  </si>
  <si>
    <t>Sows_deep_litter_org</t>
  </si>
  <si>
    <t>Pig_slurry_org</t>
  </si>
  <si>
    <t>Fresh_grass_field_conv</t>
  </si>
  <si>
    <t>Pig_not_sows_deep_litter_org</t>
  </si>
  <si>
    <t>Degas_swine_deep_litter_org</t>
  </si>
  <si>
    <t>Pulp_ProteinGrassClover_biorefinery_conv</t>
  </si>
  <si>
    <t>Pulp_ProteinGrassClover_biorefinery_org</t>
  </si>
  <si>
    <t>Starch_potato_org</t>
  </si>
  <si>
    <t>Protein_potato1_org</t>
  </si>
  <si>
    <t>Pulp_potato1_org</t>
  </si>
  <si>
    <t>Energy_biomass_rerservation_org</t>
  </si>
  <si>
    <t>Juice_concentrate_potato_org</t>
  </si>
  <si>
    <t>Human_food_protein_grass_org</t>
  </si>
  <si>
    <t>Protein_grass_clover_biorefinery_conv</t>
  </si>
  <si>
    <t>Protein_grass_clover_biorefinery_org</t>
  </si>
  <si>
    <t>Human_food_protein_legumes_conv</t>
  </si>
  <si>
    <t>Human_food_protein_legumes_org</t>
  </si>
  <si>
    <t>Separ_degas_solid_fraction_pig_deep_lit_conv</t>
  </si>
  <si>
    <t>Separ_degas_thin_fraction_pig_deep_lit_conv</t>
  </si>
  <si>
    <t>Potatoes_starch_powder_org</t>
  </si>
  <si>
    <t>FEED_GROUP</t>
  </si>
  <si>
    <t>C_G_KG</t>
  </si>
  <si>
    <t>N_G_KG</t>
  </si>
  <si>
    <t>P_G_KG</t>
  </si>
  <si>
    <t>K_G_KG</t>
  </si>
  <si>
    <t>MJ_KG</t>
  </si>
  <si>
    <t>DM_G_KG</t>
  </si>
  <si>
    <t>Fast definerede forarbejdede produkter</t>
  </si>
  <si>
    <t>Rapsolie_conv</t>
  </si>
  <si>
    <t>Rapeseed_oil_org</t>
  </si>
  <si>
    <t>White_protein_ProteinGrassClover_conv</t>
  </si>
  <si>
    <t>White_protein_ProteinGrassClover_org</t>
  </si>
  <si>
    <t>For_prod_35</t>
  </si>
  <si>
    <t>For_prod_36</t>
  </si>
  <si>
    <t>For_prod_37</t>
  </si>
  <si>
    <t>For_prod_38</t>
  </si>
  <si>
    <t>For_prod_39</t>
  </si>
  <si>
    <t>For_prod_40</t>
  </si>
  <si>
    <t>For_prod_41</t>
  </si>
  <si>
    <t>For_prod_42</t>
  </si>
  <si>
    <t>For_prod_43</t>
  </si>
  <si>
    <t>For_prod_44</t>
  </si>
  <si>
    <t>For_prod_45</t>
  </si>
  <si>
    <t>For_prod_46</t>
  </si>
  <si>
    <t>For_prod_47</t>
  </si>
  <si>
    <t>For_prod_48</t>
  </si>
  <si>
    <t>For_prod_49</t>
  </si>
  <si>
    <t>For_prod_50</t>
  </si>
  <si>
    <t>For_prod_51</t>
  </si>
  <si>
    <t>For_prod_52</t>
  </si>
  <si>
    <t>For_prod_53</t>
  </si>
  <si>
    <t>For_prod_54</t>
  </si>
  <si>
    <t>For_prod_55</t>
  </si>
  <si>
    <t>For_prod_56</t>
  </si>
  <si>
    <t>For_prod_57</t>
  </si>
  <si>
    <t>For_prod_58</t>
  </si>
  <si>
    <t>For_prod_59</t>
  </si>
  <si>
    <t>For_prod_60</t>
  </si>
  <si>
    <t>For_prod_61</t>
  </si>
  <si>
    <t>For_prod_62</t>
  </si>
  <si>
    <t>For_prod_63</t>
  </si>
  <si>
    <t>For_prod_64</t>
  </si>
  <si>
    <t>For_prod_65</t>
  </si>
  <si>
    <t>For_prod_66</t>
  </si>
  <si>
    <t>For_prod_67</t>
  </si>
  <si>
    <t>For_prod_68</t>
  </si>
  <si>
    <t>For_prod_69</t>
  </si>
  <si>
    <t>For_prod_70</t>
  </si>
  <si>
    <t>For_prod_71</t>
  </si>
  <si>
    <t>For_prod_72</t>
  </si>
  <si>
    <t>For_prod_73</t>
  </si>
  <si>
    <t>For_prod_74</t>
  </si>
  <si>
    <t>For_prod_75</t>
  </si>
  <si>
    <t>For_prod_76</t>
  </si>
  <si>
    <t>For_prod_77</t>
  </si>
  <si>
    <t>For_prod_78</t>
  </si>
  <si>
    <t>For_prod_79</t>
  </si>
  <si>
    <t>For_prod_80</t>
  </si>
  <si>
    <t>For_prod_81</t>
  </si>
  <si>
    <t>For_prod_82</t>
  </si>
  <si>
    <t>For_prod_83</t>
  </si>
  <si>
    <t>For_prod_84</t>
  </si>
  <si>
    <t>For_prod_85</t>
  </si>
  <si>
    <t>For_prod_86</t>
  </si>
  <si>
    <t>For_prod_87</t>
  </si>
  <si>
    <t>For_prod_88</t>
  </si>
  <si>
    <t>For_prod_89</t>
  </si>
  <si>
    <t>For_prod_90</t>
  </si>
  <si>
    <t>For_prod_91</t>
  </si>
  <si>
    <t>For_prod_92</t>
  </si>
  <si>
    <t>For_prod_93</t>
  </si>
  <si>
    <t>For_prod_94</t>
  </si>
  <si>
    <t>For_prod_95</t>
  </si>
  <si>
    <t>For_prod_96</t>
  </si>
  <si>
    <t>For_prod_97</t>
  </si>
  <si>
    <t>For_prod_98</t>
  </si>
  <si>
    <t>For_prod_99</t>
  </si>
  <si>
    <t>For_prod_100</t>
  </si>
  <si>
    <t>Produceret energi</t>
  </si>
  <si>
    <t>Elektricitet til nettet</t>
  </si>
  <si>
    <t>Varme (lagret i vand)</t>
  </si>
  <si>
    <t>For_prod_3</t>
  </si>
  <si>
    <t>For_prod_4</t>
  </si>
  <si>
    <t>For_prod_5</t>
  </si>
  <si>
    <t>For_prod_6</t>
  </si>
  <si>
    <t>For_prod_7</t>
  </si>
  <si>
    <t>For_prod_8</t>
  </si>
  <si>
    <t>For_prod_9</t>
  </si>
  <si>
    <t>For_prod_10</t>
  </si>
  <si>
    <t>For_prod_11</t>
  </si>
  <si>
    <t>For_prod_12</t>
  </si>
  <si>
    <t>For_prod_13</t>
  </si>
  <si>
    <t>For_prod_14</t>
  </si>
  <si>
    <t>For_prod_15</t>
  </si>
  <si>
    <t>For_prod_16</t>
  </si>
  <si>
    <t>For_prod_17</t>
  </si>
  <si>
    <t>For_prod_18</t>
  </si>
  <si>
    <t>For_prod_19</t>
  </si>
  <si>
    <t>For_prod_20</t>
  </si>
  <si>
    <t>For_prod_21</t>
  </si>
  <si>
    <t>For_prod_22</t>
  </si>
  <si>
    <t>For_prod_23</t>
  </si>
  <si>
    <t>For_prod_24</t>
  </si>
  <si>
    <t>For_prod_25</t>
  </si>
  <si>
    <t>For_prod_26</t>
  </si>
  <si>
    <t>For_prod_27</t>
  </si>
  <si>
    <t>For_prod_28</t>
  </si>
  <si>
    <t>For_prod_29</t>
  </si>
  <si>
    <t>For_prod_30</t>
  </si>
  <si>
    <t>For_prod_31</t>
  </si>
  <si>
    <t>For_prod_32</t>
  </si>
  <si>
    <t>For_prod_33</t>
  </si>
  <si>
    <t>For_prod_34</t>
  </si>
  <si>
    <t>Ikke fast definerede produkter</t>
  </si>
  <si>
    <t>Malkekvaeg_gylle_dybstroelse_draenet_bag_conv</t>
  </si>
  <si>
    <t>Degassed_slurry_cattle_conv</t>
  </si>
  <si>
    <t>Degassed_slurry_pig_conv</t>
  </si>
  <si>
    <t>Separ_thin_fraction_catt_slurry_conv</t>
  </si>
  <si>
    <t>Separ_solid_fraction_catt_slurry_conv</t>
  </si>
  <si>
    <t>Separ_degas_thin_frac_catt_slurry_conv</t>
  </si>
  <si>
    <t>Separ_degas_solid_frac_catt_slurry_conv</t>
  </si>
  <si>
    <t>Degassed_slurry_new_plant_conv</t>
  </si>
  <si>
    <t>Separ_degas_solid_fraction_new_plant_manure_conv</t>
  </si>
  <si>
    <t>Separ_degas_thin_fraction_new_plant_manure_conv</t>
  </si>
  <si>
    <t>Malkekvaeg_gylle_dybstroelse_draenet_bag_org</t>
  </si>
  <si>
    <t>Bull_godning_afsat_på_mark_conv</t>
  </si>
  <si>
    <t>Snittet_halm_conv</t>
  </si>
  <si>
    <t>Rapskage_conv</t>
  </si>
  <si>
    <t>Protein_concentrate_mixed_conv</t>
  </si>
  <si>
    <t>Pulp_mixed_conv</t>
  </si>
  <si>
    <t>Brown_juice_mixed_conv</t>
  </si>
  <si>
    <t>Biochar_halm_conv</t>
  </si>
  <si>
    <t>Soedmaelk_jersey_EKM_conv</t>
  </si>
  <si>
    <t>Biochar_fiber_conv</t>
  </si>
  <si>
    <t>Soedmaelk_jersey_EKM_org</t>
  </si>
  <si>
    <t>Protein_concentrate_mixed_org</t>
  </si>
  <si>
    <t>Pulp_mixed_org</t>
  </si>
  <si>
    <t>Brown_juice_mixed_org</t>
  </si>
  <si>
    <t>Rapeseed_cake_org</t>
  </si>
  <si>
    <t>Beet_sugar_conv</t>
  </si>
  <si>
    <t>Beet_sugar_org</t>
  </si>
  <si>
    <t>Beet_molasses1_conv</t>
  </si>
  <si>
    <t>Beet_molasses2_conv</t>
  </si>
  <si>
    <t>Beet_molasses1_org</t>
  </si>
  <si>
    <t>Beet_molasses2_org</t>
  </si>
  <si>
    <t>Beet_pulp_dried_conv</t>
  </si>
  <si>
    <t>Beet_pulp_dried_org</t>
  </si>
  <si>
    <t>Separ_degas_solid_fraction_juice_manure_conv</t>
  </si>
  <si>
    <t>Separ_degas_thin_fraction_juice_manure_conv</t>
  </si>
  <si>
    <t>Degassed_swine_deep_litter_conv</t>
  </si>
  <si>
    <t>Bottom_straw_ash_conv</t>
  </si>
  <si>
    <t>Fly_ash_straw_conv</t>
  </si>
  <si>
    <t>Detail_Malkekvaeg_gylle_sengestald_spalter_conv</t>
  </si>
  <si>
    <t>Detail_Heifer_dybstroelse_delvis_conv</t>
  </si>
  <si>
    <t>Detail_Heifer_gylle_dybstroelse_spalter_linespil_conv</t>
  </si>
  <si>
    <t>Detail_Smaagris_toklimastald_gylle_conv</t>
  </si>
  <si>
    <t>Detail_Sl_pig_gylle_delvis_spaltegulv_25_49_gulv_conv</t>
  </si>
  <si>
    <t>Detail_Sl_pig_dybstroelse_conv</t>
  </si>
  <si>
    <t>Detail_Soer_gylle_indi_delvis_spaltegulv_conv</t>
  </si>
  <si>
    <t>Detail_Soer_gylle_kassestier_delvis_spaltegulv_conv</t>
  </si>
  <si>
    <t>Detail_Malkekvaeg_godning_afsat_på_mark_conv</t>
  </si>
  <si>
    <t>Detail_Heifer_godning_afsat_på_mark_conv</t>
  </si>
  <si>
    <t>Degassed_slurry_exist_plant_conv</t>
  </si>
  <si>
    <t>Separ_degas_solid_fraction_exist_plant_manure_conv</t>
  </si>
  <si>
    <t>Separ_degas_thin_fraction_exist_plant_manure_conv</t>
  </si>
  <si>
    <t>Reservation_corn_for_biogas_conv</t>
  </si>
  <si>
    <t>Reservation_Beet_roots_for_biogas_conv</t>
  </si>
  <si>
    <t>Reservation_Whole_crop_for_biogas_conv</t>
  </si>
  <si>
    <t>Degassed_slurry_new_plant_org</t>
  </si>
  <si>
    <t>Degassed_slurry_exist_plant_org</t>
  </si>
  <si>
    <t>Separ_degas_solid_fraction_new_plant_manure_org</t>
  </si>
  <si>
    <t>Separ_degas_thin_fraction_new_plant_manure_org</t>
  </si>
  <si>
    <t>Degassed_slurry_cattle_org</t>
  </si>
  <si>
    <t>Degassed_cattle_deep_litter_conv</t>
  </si>
  <si>
    <t>Degassed_cattle_deep_litter_org</t>
  </si>
  <si>
    <t>Degassed_cattle_solid_manure_conv</t>
  </si>
  <si>
    <t>Separ_thin_fraction_pig_slurry_conv</t>
  </si>
  <si>
    <t>Separ_solid_fraction_pig_slurry_conv</t>
  </si>
  <si>
    <t>Potato_starch_conv</t>
  </si>
  <si>
    <t>Potato_protein1_conv</t>
  </si>
  <si>
    <t>Potato_protein2_conv</t>
  </si>
  <si>
    <t>Potato_pulp1_conv</t>
  </si>
  <si>
    <t>Potato_pulp2_conv</t>
  </si>
  <si>
    <t>Potato_juice_concentrate_conv</t>
  </si>
  <si>
    <t>Beet_carbokalk_nokalk_conv</t>
  </si>
  <si>
    <t>Beet_carbokalk_nokalk_org</t>
  </si>
  <si>
    <t>Snittet_halm_org</t>
  </si>
  <si>
    <t>Degassed_swine_deep_litter_org</t>
  </si>
  <si>
    <t>Pulp_ProteinGrassClover_conv</t>
  </si>
  <si>
    <t>Pulp_ProteinGrassClover_org</t>
  </si>
  <si>
    <t>Potato_starch_org</t>
  </si>
  <si>
    <t>Potato_protein1_org</t>
  </si>
  <si>
    <t>Potato_protein2_org</t>
  </si>
  <si>
    <t>Potato_pulp1_org</t>
  </si>
  <si>
    <t>Potato_pulp2_org</t>
  </si>
  <si>
    <t>Potato_juice_concentrate_org</t>
  </si>
  <si>
    <t>Separ_degas_solid_frac_pig_deep_lit_conv</t>
  </si>
  <si>
    <t>Separ_degas_thin_frac_pig_deep_lit_conv</t>
  </si>
  <si>
    <t>For_prod_192</t>
  </si>
  <si>
    <t>For_prod_193</t>
  </si>
  <si>
    <t>For_prod_194</t>
  </si>
  <si>
    <t>For_prod_195</t>
  </si>
  <si>
    <t>For_prod_196</t>
  </si>
  <si>
    <t>For_prod_197</t>
  </si>
  <si>
    <t>For_prod_198</t>
  </si>
  <si>
    <t>For_prod_199</t>
  </si>
  <si>
    <t>For_prod_200</t>
  </si>
  <si>
    <t>For_prod_201</t>
  </si>
  <si>
    <t>For_prod_202</t>
  </si>
  <si>
    <t>For_prod_203</t>
  </si>
  <si>
    <t>For_prod_204</t>
  </si>
  <si>
    <t>For_prod_205</t>
  </si>
  <si>
    <t>For_prod_206</t>
  </si>
  <si>
    <t>For_prod_207</t>
  </si>
  <si>
    <t>For_prod_208</t>
  </si>
  <si>
    <t>For_prod_209</t>
  </si>
  <si>
    <t>For_prod_210</t>
  </si>
  <si>
    <t>For_prod_211</t>
  </si>
  <si>
    <t>For_prod_212</t>
  </si>
  <si>
    <t>For_prod_213</t>
  </si>
  <si>
    <t>For_prod_214</t>
  </si>
  <si>
    <t>For_prod_215</t>
  </si>
  <si>
    <t>For_prod_216</t>
  </si>
  <si>
    <t>For_prod_217</t>
  </si>
  <si>
    <t>For_prod_218</t>
  </si>
  <si>
    <t>For_prod_219</t>
  </si>
  <si>
    <t>For_prod_220</t>
  </si>
  <si>
    <t>For_prod_221</t>
  </si>
  <si>
    <t>For_prod_222</t>
  </si>
  <si>
    <t>For_prod_223</t>
  </si>
  <si>
    <t>For_prod_224</t>
  </si>
  <si>
    <t>For_prod_225</t>
  </si>
  <si>
    <t>For_prod_226</t>
  </si>
  <si>
    <t>For_prod_227</t>
  </si>
  <si>
    <t>For_prod_228</t>
  </si>
  <si>
    <t>For_prod_229</t>
  </si>
  <si>
    <t>For_prod_230</t>
  </si>
  <si>
    <t>For_prod_231</t>
  </si>
  <si>
    <t>For_prod_232</t>
  </si>
  <si>
    <t>For_prod_233</t>
  </si>
  <si>
    <t>For_prod_234</t>
  </si>
  <si>
    <t>For_prod_235</t>
  </si>
  <si>
    <t>For_prod_236</t>
  </si>
  <si>
    <t>For_prod_237</t>
  </si>
  <si>
    <t>For_prod_238</t>
  </si>
  <si>
    <t>For_prod_239</t>
  </si>
  <si>
    <t>For_prod_240</t>
  </si>
  <si>
    <t>For_prod_241</t>
  </si>
  <si>
    <t>For_prod_242</t>
  </si>
  <si>
    <t>For_prod_243</t>
  </si>
  <si>
    <t>For_prod_244</t>
  </si>
  <si>
    <t>For_prod_245</t>
  </si>
  <si>
    <t>For_prod_246</t>
  </si>
  <si>
    <t>kg</t>
  </si>
  <si>
    <t>MJ pr. unit</t>
  </si>
  <si>
    <t>Remark</t>
  </si>
  <si>
    <t>VS_initial</t>
  </si>
  <si>
    <t>Formel for VS pulje udregning</t>
  </si>
  <si>
    <t>MCF</t>
  </si>
  <si>
    <t>B0</t>
  </si>
  <si>
    <t>(VS_initial/100)*DM_waste+DM_straw*(1-(4.5/100))</t>
  </si>
  <si>
    <t>TS; Som for gylle fra bindestald</t>
  </si>
  <si>
    <t>(VS_initial/100)*DM_waste</t>
  </si>
  <si>
    <t>DM som for afgasset dyregylle</t>
  </si>
  <si>
    <t>DM som Soer_dybstroelse</t>
  </si>
  <si>
    <t>TS; Som for gylle fra spaltestald</t>
  </si>
  <si>
    <t>Ts, cirka som for biochar</t>
  </si>
  <si>
    <t>Average of early and late from A</t>
  </si>
  <si>
    <t>Antaget</t>
  </si>
  <si>
    <t>Som søer kassestier fuldspaltegulv</t>
  </si>
  <si>
    <t>Energiforbrug ved tørring</t>
  </si>
  <si>
    <t>Beskrivelse</t>
  </si>
  <si>
    <t>Mængde per hkg</t>
  </si>
  <si>
    <t>Pr. 1 kg DM</t>
  </si>
  <si>
    <t>Type</t>
  </si>
  <si>
    <t>Tørring af raps</t>
  </si>
  <si>
    <t>Omregning MJ til KWh</t>
  </si>
  <si>
    <t>Forbrug pr ton/km</t>
  </si>
  <si>
    <t>g</t>
  </si>
  <si>
    <t>CO₂eq</t>
  </si>
  <si>
    <t>Enteric CH4</t>
  </si>
  <si>
    <t>Livestock category</t>
  </si>
  <si>
    <t>Formular</t>
  </si>
  <si>
    <t>Unit for the result</t>
  </si>
  <si>
    <t>Type of loss</t>
  </si>
  <si>
    <t>Explanation</t>
  </si>
  <si>
    <t>Formlulars for losses related to enteric CH4 emissions (Kg)</t>
  </si>
  <si>
    <t>CO2 from respiration</t>
  </si>
  <si>
    <t>Formlulars for losses related to respiration (Kg)</t>
  </si>
  <si>
    <t>Biomass pool output from the Tech 1 module</t>
  </si>
  <si>
    <t>Table 34. Stable sytems</t>
  </si>
  <si>
    <t>Tabel 35. Default bedding quantities.</t>
  </si>
  <si>
    <t>Table 36. Converted feed stocks for feed and other purposes (digestion for biogas)</t>
  </si>
  <si>
    <t>Table 37. Enteric methane.</t>
  </si>
  <si>
    <t>Table 38. Respiration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</si>
</sst>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0.000"/>
    <numFmt numFmtId="167" formatCode="0.0000"/>
    <numFmt numFmtId="168" formatCode="0.00000000000000"/>
    <numFmt numFmtId="169" formatCode="0.00000000"/>
  </numFmts>
  <fonts count="28" x14ac:knownFonts="1">
    <font>
      <sz val="11"/>
      <color theme="1"/>
      <name val="Calibri"/>
      <family val="2"/>
      <scheme val="minor"/>
    </font>
    <font>
      <b/>
      <sz val="12"/>
      <color theme="1"/>
      <name val="Arial"/>
      <family val="2"/>
    </font>
    <font>
      <b/>
      <sz val="25"/>
      <color theme="1"/>
      <name val="Calibri"/>
      <family val="2"/>
      <scheme val="minor"/>
    </font>
    <font>
      <b/>
      <sz val="11"/>
      <color theme="1"/>
      <name val="Arial"/>
      <family val="2"/>
    </font>
    <font>
      <b/>
      <sz val="11"/>
      <color theme="1"/>
      <name val="Calibri"/>
      <family val="2"/>
      <scheme val="minor"/>
    </font>
    <font>
      <b/>
      <sz val="25"/>
      <color theme="1"/>
      <name val="Arial"/>
      <family val="2"/>
    </font>
    <font>
      <sz val="11"/>
      <color theme="1"/>
      <name val="Arial"/>
      <family val="2"/>
    </font>
    <font>
      <b/>
      <sz val="25"/>
      <color rgb="FF000000"/>
      <name val="Arial"/>
      <family val="2"/>
    </font>
    <font>
      <b/>
      <sz val="11"/>
      <color rgb="FF000000"/>
      <name val="Arial"/>
      <family val="2"/>
    </font>
    <font>
      <b/>
      <sz val="12"/>
      <color rgb="FF000000"/>
      <name val="Arial"/>
      <family val="2"/>
    </font>
    <font>
      <b/>
      <sz val="14"/>
      <color theme="1"/>
      <name val="Arial"/>
      <family val="2"/>
    </font>
    <font>
      <sz val="11"/>
      <color rgb="FF000000"/>
      <name val="Arial"/>
      <family val="2"/>
    </font>
    <font>
      <b/>
      <sz val="11"/>
      <color rgb="FF000000"/>
      <name val="Calibri"/>
      <family val="2"/>
    </font>
    <font>
      <sz val="12"/>
      <color theme="1"/>
      <name val="Arial"/>
      <family val="2"/>
    </font>
    <font>
      <b/>
      <sz val="16"/>
      <color theme="1"/>
      <name val="Calibri"/>
      <family val="2"/>
      <scheme val="minor"/>
    </font>
    <font>
      <b/>
      <i/>
      <sz val="11"/>
      <color theme="1"/>
      <name val="Arial"/>
      <family val="2"/>
    </font>
    <font>
      <b/>
      <i/>
      <sz val="11"/>
      <color theme="1"/>
      <name val="Calibri"/>
      <family val="2"/>
      <scheme val="minor"/>
    </font>
    <font>
      <b/>
      <sz val="10"/>
      <color theme="1"/>
      <name val="Arial"/>
      <family val="2"/>
    </font>
    <font>
      <sz val="11"/>
      <color rgb="FFFF0000"/>
      <name val="Calibri"/>
      <family val="2"/>
      <scheme val="minor"/>
    </font>
    <font>
      <b/>
      <sz val="12"/>
      <color theme="1"/>
      <name val="Calibri"/>
      <family val="2"/>
    </font>
    <font>
      <i/>
      <sz val="11"/>
      <color theme="1"/>
      <name val="Calibri"/>
      <family val="2"/>
      <scheme val="minor"/>
    </font>
    <font>
      <i/>
      <sz val="11"/>
      <color theme="1"/>
      <name val="Arial"/>
      <family val="2"/>
    </font>
    <font>
      <b/>
      <sz val="11"/>
      <color rgb="FFFF0000"/>
      <name val="Calibri"/>
      <family val="2"/>
      <scheme val="minor"/>
    </font>
    <font>
      <u/>
      <sz val="11"/>
      <color theme="10"/>
      <name val="Calibri"/>
      <family val="2"/>
      <scheme val="minor"/>
    </font>
    <font>
      <sz val="11"/>
      <color rgb="FFFF0000"/>
      <name val="Arial"/>
      <family val="2"/>
    </font>
    <font>
      <b/>
      <i/>
      <sz val="12"/>
      <color theme="1"/>
      <name val="Arial"/>
      <family val="2"/>
    </font>
    <font>
      <sz val="8"/>
      <name val="Calibri"/>
      <family val="2"/>
      <scheme val="minor"/>
    </font>
    <font>
      <sz val="9"/>
      <color indexed="81"/>
      <name val="Tahoma"/>
      <charset val="1"/>
    </font>
  </fonts>
  <fills count="1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BFBFBF"/>
        <bgColor rgb="FF000000"/>
      </patternFill>
    </fill>
    <fill>
      <patternFill patternType="solid">
        <fgColor rgb="FFF2F2F2"/>
        <bgColor rgb="FF000000"/>
      </patternFill>
    </fill>
    <fill>
      <patternFill patternType="solid">
        <fgColor rgb="FFFFFF00"/>
        <bgColor rgb="FF000000"/>
      </patternFill>
    </fill>
    <fill>
      <patternFill patternType="solid">
        <fgColor theme="0" tint="-0.249977111117893"/>
        <bgColor rgb="FF000000"/>
      </patternFill>
    </fill>
    <fill>
      <patternFill patternType="solid">
        <fgColor theme="0" tint="-4.9989318521683403E-2"/>
        <bgColor rgb="FF000000"/>
      </patternFill>
    </fill>
    <fill>
      <patternFill patternType="solid">
        <fgColor them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14999847407452621"/>
        <bgColor rgb="FF000000"/>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top/>
      <bottom style="medium">
        <color indexed="64"/>
      </bottom>
      <diagonal/>
    </border>
  </borders>
  <cellStyleXfs count="2">
    <xf numFmtId="0" fontId="0" fillId="0" borderId="0"/>
    <xf numFmtId="0" fontId="23" fillId="0" borderId="0" applyNumberFormat="0" applyFill="0" applyBorder="0" applyAlignment="0" applyProtection="0"/>
  </cellStyleXfs>
  <cellXfs count="340">
    <xf numFmtId="0" fontId="0" fillId="0" borderId="0" xfId="0"/>
    <xf numFmtId="0" fontId="1" fillId="2" borderId="3" xfId="0" applyFont="1" applyFill="1" applyBorder="1"/>
    <xf numFmtId="0" fontId="2" fillId="0" borderId="0" xfId="0" applyFont="1" applyAlignment="1">
      <alignment horizontal="left"/>
    </xf>
    <xf numFmtId="0" fontId="3" fillId="3" borderId="3" xfId="0" applyFont="1" applyFill="1" applyBorder="1" applyAlignment="1">
      <alignment horizontal="center"/>
    </xf>
    <xf numFmtId="0" fontId="0" fillId="0" borderId="3" xfId="0" applyBorder="1"/>
    <xf numFmtId="0" fontId="0" fillId="4" borderId="3" xfId="0" applyFill="1" applyBorder="1"/>
    <xf numFmtId="0" fontId="0" fillId="4" borderId="3" xfId="0" applyFill="1" applyBorder="1" applyAlignment="1">
      <alignment horizontal="center"/>
    </xf>
    <xf numFmtId="0" fontId="5" fillId="0" borderId="0" xfId="0" applyFont="1"/>
    <xf numFmtId="0" fontId="6" fillId="0" borderId="0" xfId="0" applyFont="1"/>
    <xf numFmtId="0" fontId="6" fillId="0" borderId="3" xfId="0" applyFont="1" applyBorder="1" applyAlignment="1">
      <alignment horizontal="center"/>
    </xf>
    <xf numFmtId="0" fontId="3" fillId="2" borderId="3" xfId="0" applyFont="1" applyFill="1" applyBorder="1" applyAlignment="1">
      <alignment horizontal="center"/>
    </xf>
    <xf numFmtId="0" fontId="6" fillId="4" borderId="3" xfId="0" applyFont="1" applyFill="1" applyBorder="1" applyAlignment="1">
      <alignment horizontal="center"/>
    </xf>
    <xf numFmtId="0" fontId="0" fillId="0" borderId="0" xfId="0" applyAlignment="1">
      <alignment horizontal="center"/>
    </xf>
    <xf numFmtId="0" fontId="7" fillId="0" borderId="0" xfId="0" applyFont="1"/>
    <xf numFmtId="0" fontId="3" fillId="2" borderId="3" xfId="0" applyFont="1" applyFill="1" applyBorder="1"/>
    <xf numFmtId="0" fontId="0" fillId="5" borderId="3" xfId="0" applyFill="1" applyBorder="1" applyAlignment="1">
      <alignment horizontal="left" indent="2"/>
    </xf>
    <xf numFmtId="0" fontId="8" fillId="6" borderId="3" xfId="0" applyFont="1" applyFill="1" applyBorder="1"/>
    <xf numFmtId="0" fontId="8" fillId="6" borderId="3" xfId="0" applyFont="1" applyFill="1" applyBorder="1" applyAlignment="1">
      <alignment horizontal="center"/>
    </xf>
    <xf numFmtId="0" fontId="6" fillId="7" borderId="3" xfId="0" applyFont="1" applyFill="1" applyBorder="1" applyAlignment="1">
      <alignment horizontal="left" indent="2"/>
    </xf>
    <xf numFmtId="0" fontId="6" fillId="8" borderId="3" xfId="0" applyFont="1" applyFill="1" applyBorder="1" applyAlignment="1">
      <alignment horizontal="center"/>
    </xf>
    <xf numFmtId="0" fontId="1" fillId="2" borderId="4" xfId="0" applyFont="1" applyFill="1" applyBorder="1" applyAlignment="1">
      <alignment horizontal="center" vertical="center" wrapText="1"/>
    </xf>
    <xf numFmtId="0" fontId="8" fillId="9" borderId="3" xfId="0" applyFont="1" applyFill="1" applyBorder="1"/>
    <xf numFmtId="0" fontId="3" fillId="2" borderId="0" xfId="0" applyFont="1" applyFill="1"/>
    <xf numFmtId="0" fontId="6" fillId="4" borderId="3" xfId="0" applyFont="1" applyFill="1" applyBorder="1"/>
    <xf numFmtId="0" fontId="6" fillId="0" borderId="0" xfId="0" applyFont="1" applyAlignment="1">
      <alignment horizontal="center"/>
    </xf>
    <xf numFmtId="0" fontId="6" fillId="0" borderId="0" xfId="0" applyFont="1" applyAlignment="1">
      <alignment horizontal="left" indent="2"/>
    </xf>
    <xf numFmtId="0" fontId="0" fillId="0" borderId="0" xfId="0" applyAlignment="1">
      <alignment horizontal="left"/>
    </xf>
    <xf numFmtId="4" fontId="0" fillId="0" borderId="0" xfId="0" applyNumberFormat="1"/>
    <xf numFmtId="0" fontId="6" fillId="5" borderId="3" xfId="0" applyFont="1" applyFill="1" applyBorder="1" applyAlignment="1">
      <alignment horizontal="center"/>
    </xf>
    <xf numFmtId="0" fontId="4" fillId="0" borderId="0" xfId="0" applyFont="1"/>
    <xf numFmtId="0" fontId="0" fillId="5" borderId="3" xfId="0" applyFill="1" applyBorder="1"/>
    <xf numFmtId="0" fontId="10" fillId="7" borderId="0" xfId="0" applyFont="1" applyFill="1"/>
    <xf numFmtId="2" fontId="0" fillId="0" borderId="0" xfId="0" applyNumberFormat="1"/>
    <xf numFmtId="0" fontId="6" fillId="7" borderId="0" xfId="0" applyFont="1" applyFill="1" applyAlignment="1">
      <alignment horizontal="left" indent="2"/>
    </xf>
    <xf numFmtId="164" fontId="6" fillId="5" borderId="3" xfId="0" applyNumberFormat="1" applyFont="1" applyFill="1" applyBorder="1" applyAlignment="1">
      <alignment horizontal="center"/>
    </xf>
    <xf numFmtId="0" fontId="0" fillId="2" borderId="3" xfId="0" applyFill="1" applyBorder="1"/>
    <xf numFmtId="165" fontId="0" fillId="0" borderId="0" xfId="0" applyNumberFormat="1"/>
    <xf numFmtId="0" fontId="8" fillId="9" borderId="3" xfId="0" applyFont="1" applyFill="1" applyBorder="1" applyAlignment="1">
      <alignment horizontal="center"/>
    </xf>
    <xf numFmtId="0" fontId="6" fillId="8" borderId="3" xfId="0" applyFont="1" applyFill="1" applyBorder="1" applyAlignment="1">
      <alignment horizontal="left" indent="2"/>
    </xf>
    <xf numFmtId="0" fontId="6" fillId="0" borderId="1" xfId="0" applyFont="1" applyBorder="1" applyAlignment="1">
      <alignment horizontal="center"/>
    </xf>
    <xf numFmtId="0" fontId="6" fillId="0" borderId="3" xfId="0" applyFont="1" applyBorder="1" applyAlignment="1">
      <alignment horizontal="left" indent="2"/>
    </xf>
    <xf numFmtId="0" fontId="11" fillId="10" borderId="3" xfId="0" applyFont="1" applyFill="1" applyBorder="1" applyAlignment="1">
      <alignment horizontal="center"/>
    </xf>
    <xf numFmtId="0" fontId="8" fillId="0" borderId="0" xfId="0" applyFont="1" applyAlignment="1">
      <alignment horizontal="center"/>
    </xf>
    <xf numFmtId="0" fontId="8" fillId="9" borderId="5" xfId="0" applyFont="1" applyFill="1" applyBorder="1"/>
    <xf numFmtId="0" fontId="0" fillId="5" borderId="0" xfId="0" applyFill="1"/>
    <xf numFmtId="0" fontId="4" fillId="5" borderId="0" xfId="0" applyFont="1" applyFill="1"/>
    <xf numFmtId="0" fontId="0" fillId="0" borderId="0" xfId="0" applyAlignment="1">
      <alignment horizontal="right"/>
    </xf>
    <xf numFmtId="166" fontId="0" fillId="0" borderId="0" xfId="0" applyNumberFormat="1"/>
    <xf numFmtId="164" fontId="6" fillId="4" borderId="3" xfId="0" applyNumberFormat="1" applyFont="1" applyFill="1" applyBorder="1" applyAlignment="1">
      <alignment horizontal="center"/>
    </xf>
    <xf numFmtId="166" fontId="6" fillId="5" borderId="3" xfId="0" applyNumberFormat="1" applyFont="1" applyFill="1" applyBorder="1" applyAlignment="1">
      <alignment horizontal="center"/>
    </xf>
    <xf numFmtId="166" fontId="6" fillId="4" borderId="3" xfId="0" applyNumberFormat="1" applyFont="1" applyFill="1" applyBorder="1" applyAlignment="1">
      <alignment horizontal="center"/>
    </xf>
    <xf numFmtId="1" fontId="6" fillId="5" borderId="3" xfId="0" applyNumberFormat="1" applyFont="1" applyFill="1" applyBorder="1" applyAlignment="1">
      <alignment horizontal="center"/>
    </xf>
    <xf numFmtId="1" fontId="6" fillId="0" borderId="3" xfId="0" applyNumberFormat="1" applyFont="1" applyBorder="1" applyAlignment="1">
      <alignment horizontal="center"/>
    </xf>
    <xf numFmtId="164" fontId="6" fillId="0" borderId="0" xfId="0" applyNumberFormat="1" applyFont="1" applyAlignment="1">
      <alignment horizontal="center"/>
    </xf>
    <xf numFmtId="0" fontId="8" fillId="6" borderId="1" xfId="0" applyFont="1" applyFill="1" applyBorder="1" applyAlignment="1">
      <alignment horizontal="center"/>
    </xf>
    <xf numFmtId="0" fontId="10" fillId="0" borderId="0" xfId="0" applyFont="1"/>
    <xf numFmtId="0" fontId="0" fillId="5" borderId="4" xfId="0" applyFill="1" applyBorder="1"/>
    <xf numFmtId="166" fontId="6" fillId="0" borderId="4" xfId="0" applyNumberFormat="1" applyFont="1" applyBorder="1" applyAlignment="1">
      <alignment horizontal="center"/>
    </xf>
    <xf numFmtId="166" fontId="3" fillId="5" borderId="3" xfId="0" applyNumberFormat="1" applyFont="1" applyFill="1" applyBorder="1" applyAlignment="1">
      <alignment horizontal="center"/>
    </xf>
    <xf numFmtId="0" fontId="4" fillId="5" borderId="3" xfId="0" applyFont="1" applyFill="1" applyBorder="1" applyAlignment="1">
      <alignment horizontal="right"/>
    </xf>
    <xf numFmtId="0" fontId="6" fillId="5" borderId="0" xfId="0" applyFont="1" applyFill="1"/>
    <xf numFmtId="167" fontId="6" fillId="4" borderId="3" xfId="0" applyNumberFormat="1" applyFont="1" applyFill="1" applyBorder="1" applyAlignment="1">
      <alignment horizontal="center"/>
    </xf>
    <xf numFmtId="0" fontId="6" fillId="10" borderId="3" xfId="0" applyFont="1" applyFill="1" applyBorder="1" applyAlignment="1">
      <alignment horizontal="center"/>
    </xf>
    <xf numFmtId="0" fontId="6" fillId="5" borderId="3" xfId="0" applyFont="1" applyFill="1" applyBorder="1"/>
    <xf numFmtId="167" fontId="0" fillId="0" borderId="0" xfId="0" applyNumberFormat="1"/>
    <xf numFmtId="0" fontId="1" fillId="2" borderId="3" xfId="0" applyFont="1" applyFill="1" applyBorder="1" applyAlignment="1">
      <alignment horizontal="center" vertical="center" wrapText="1"/>
    </xf>
    <xf numFmtId="0" fontId="1" fillId="2" borderId="3" xfId="0" applyFont="1" applyFill="1" applyBorder="1" applyAlignment="1">
      <alignment horizontal="center"/>
    </xf>
    <xf numFmtId="165" fontId="6" fillId="5" borderId="3" xfId="0" applyNumberFormat="1" applyFont="1" applyFill="1" applyBorder="1" applyAlignment="1">
      <alignment horizontal="center"/>
    </xf>
    <xf numFmtId="0" fontId="3" fillId="3" borderId="3" xfId="0" applyFont="1" applyFill="1" applyBorder="1"/>
    <xf numFmtId="0" fontId="1" fillId="2" borderId="1" xfId="0" applyFont="1" applyFill="1" applyBorder="1" applyAlignment="1">
      <alignment horizontal="center"/>
    </xf>
    <xf numFmtId="0" fontId="13" fillId="2" borderId="3" xfId="0" applyFont="1" applyFill="1" applyBorder="1" applyAlignment="1">
      <alignment horizontal="center"/>
    </xf>
    <xf numFmtId="164" fontId="0" fillId="11" borderId="3" xfId="0" applyNumberFormat="1" applyFill="1" applyBorder="1" applyAlignment="1">
      <alignment horizontal="right"/>
    </xf>
    <xf numFmtId="0" fontId="0" fillId="11" borderId="0" xfId="0" applyFill="1"/>
    <xf numFmtId="0" fontId="0" fillId="2" borderId="0" xfId="0" applyFill="1" applyAlignment="1">
      <alignment horizontal="center"/>
    </xf>
    <xf numFmtId="0" fontId="0" fillId="11" borderId="3" xfId="0" applyFill="1" applyBorder="1" applyAlignment="1">
      <alignment horizontal="center"/>
    </xf>
    <xf numFmtId="0" fontId="14" fillId="0" borderId="0" xfId="0" applyFont="1"/>
    <xf numFmtId="0" fontId="0" fillId="12" borderId="0" xfId="0" applyFill="1"/>
    <xf numFmtId="0" fontId="6" fillId="11" borderId="0" xfId="0" applyFont="1" applyFill="1"/>
    <xf numFmtId="0" fontId="0" fillId="11" borderId="3" xfId="0" applyFill="1" applyBorder="1"/>
    <xf numFmtId="0" fontId="4" fillId="2" borderId="3" xfId="0" applyFont="1" applyFill="1" applyBorder="1" applyAlignment="1">
      <alignment horizontal="center"/>
    </xf>
    <xf numFmtId="1" fontId="0" fillId="5" borderId="3" xfId="0" applyNumberFormat="1" applyFill="1" applyBorder="1"/>
    <xf numFmtId="164" fontId="0" fillId="5" borderId="3" xfId="0" applyNumberFormat="1" applyFill="1" applyBorder="1"/>
    <xf numFmtId="1" fontId="3" fillId="5" borderId="3" xfId="0" applyNumberFormat="1" applyFont="1" applyFill="1" applyBorder="1" applyAlignment="1">
      <alignment horizontal="center"/>
    </xf>
    <xf numFmtId="0" fontId="3" fillId="5" borderId="3" xfId="0" applyFont="1" applyFill="1" applyBorder="1" applyAlignment="1">
      <alignment horizontal="center"/>
    </xf>
    <xf numFmtId="1" fontId="15" fillId="5" borderId="3" xfId="0" applyNumberFormat="1" applyFont="1" applyFill="1" applyBorder="1" applyAlignment="1">
      <alignment horizontal="center"/>
    </xf>
    <xf numFmtId="0" fontId="16" fillId="5" borderId="0" xfId="0" applyFont="1" applyFill="1"/>
    <xf numFmtId="0" fontId="0" fillId="2" borderId="15" xfId="0" applyFill="1" applyBorder="1"/>
    <xf numFmtId="0" fontId="0" fillId="2" borderId="17" xfId="0" applyFill="1" applyBorder="1"/>
    <xf numFmtId="164" fontId="0" fillId="5" borderId="16" xfId="0" applyNumberFormat="1" applyFill="1" applyBorder="1"/>
    <xf numFmtId="0" fontId="17" fillId="2" borderId="3" xfId="0" applyFont="1" applyFill="1" applyBorder="1" applyAlignment="1">
      <alignment horizontal="center"/>
    </xf>
    <xf numFmtId="0" fontId="0" fillId="4" borderId="16" xfId="0" applyFill="1" applyBorder="1"/>
    <xf numFmtId="1" fontId="0" fillId="5" borderId="4" xfId="0" applyNumberFormat="1" applyFill="1" applyBorder="1"/>
    <xf numFmtId="1" fontId="4" fillId="5" borderId="3" xfId="0" applyNumberFormat="1" applyFont="1" applyFill="1" applyBorder="1"/>
    <xf numFmtId="167" fontId="6" fillId="0" borderId="0" xfId="0" applyNumberFormat="1" applyFont="1" applyAlignment="1">
      <alignment horizontal="center"/>
    </xf>
    <xf numFmtId="0" fontId="1" fillId="2" borderId="6" xfId="0" applyFont="1" applyFill="1" applyBorder="1" applyAlignment="1">
      <alignment horizontal="center"/>
    </xf>
    <xf numFmtId="0" fontId="18" fillId="0" borderId="0" xfId="0" applyFont="1"/>
    <xf numFmtId="0" fontId="1" fillId="2" borderId="3" xfId="0" quotePrefix="1"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0" fillId="4" borderId="15" xfId="0" applyFill="1" applyBorder="1"/>
    <xf numFmtId="0" fontId="0" fillId="4" borderId="17" xfId="0" applyFill="1" applyBorder="1"/>
    <xf numFmtId="0" fontId="0" fillId="4" borderId="20" xfId="0" applyFill="1" applyBorder="1"/>
    <xf numFmtId="0" fontId="0" fillId="4" borderId="18" xfId="0" applyFill="1" applyBorder="1"/>
    <xf numFmtId="2" fontId="0" fillId="5" borderId="3" xfId="0" applyNumberFormat="1" applyFill="1" applyBorder="1"/>
    <xf numFmtId="0" fontId="1" fillId="2" borderId="13" xfId="0" applyFont="1" applyFill="1" applyBorder="1" applyAlignment="1">
      <alignment horizontal="center"/>
    </xf>
    <xf numFmtId="0" fontId="1" fillId="2" borderId="19" xfId="0" applyFont="1" applyFill="1" applyBorder="1" applyAlignment="1">
      <alignment horizontal="center"/>
    </xf>
    <xf numFmtId="0" fontId="1" fillId="2" borderId="14" xfId="0" quotePrefix="1" applyFont="1" applyFill="1" applyBorder="1" applyAlignment="1">
      <alignment horizontal="center"/>
    </xf>
    <xf numFmtId="0" fontId="0" fillId="5" borderId="20" xfId="0" applyFill="1" applyBorder="1"/>
    <xf numFmtId="0" fontId="1" fillId="2" borderId="14" xfId="0" applyFont="1" applyFill="1" applyBorder="1" applyAlignment="1">
      <alignment horizontal="center"/>
    </xf>
    <xf numFmtId="166" fontId="0" fillId="5" borderId="6" xfId="0" applyNumberFormat="1" applyFill="1" applyBorder="1"/>
    <xf numFmtId="1" fontId="0" fillId="0" borderId="0" xfId="0" applyNumberFormat="1"/>
    <xf numFmtId="1" fontId="0" fillId="11" borderId="3" xfId="0" applyNumberFormat="1" applyFill="1" applyBorder="1" applyAlignment="1">
      <alignment horizontal="center"/>
    </xf>
    <xf numFmtId="164" fontId="0" fillId="11" borderId="3" xfId="0" applyNumberFormat="1" applyFill="1" applyBorder="1" applyAlignment="1">
      <alignment horizontal="center"/>
    </xf>
    <xf numFmtId="0" fontId="0" fillId="2" borderId="1" xfId="0" applyFill="1" applyBorder="1"/>
    <xf numFmtId="166" fontId="0" fillId="5" borderId="3" xfId="0" applyNumberFormat="1" applyFill="1" applyBorder="1"/>
    <xf numFmtId="166" fontId="20" fillId="5" borderId="3" xfId="0" applyNumberFormat="1" applyFont="1" applyFill="1" applyBorder="1"/>
    <xf numFmtId="164" fontId="3" fillId="5" borderId="3" xfId="0" applyNumberFormat="1" applyFont="1" applyFill="1" applyBorder="1" applyAlignment="1">
      <alignment horizontal="center"/>
    </xf>
    <xf numFmtId="164" fontId="15" fillId="5" borderId="3" xfId="0" applyNumberFormat="1" applyFont="1" applyFill="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xf>
    <xf numFmtId="164" fontId="3" fillId="0" borderId="0" xfId="0" applyNumberFormat="1" applyFont="1" applyAlignment="1">
      <alignment horizontal="center"/>
    </xf>
    <xf numFmtId="164" fontId="21" fillId="0" borderId="0" xfId="0" applyNumberFormat="1" applyFont="1" applyAlignment="1">
      <alignment horizontal="center"/>
    </xf>
    <xf numFmtId="0" fontId="1" fillId="0" borderId="0" xfId="0" applyFont="1"/>
    <xf numFmtId="1" fontId="6" fillId="0" borderId="0" xfId="0" applyNumberFormat="1" applyFont="1" applyAlignment="1">
      <alignment horizontal="center"/>
    </xf>
    <xf numFmtId="1" fontId="3" fillId="0" borderId="0" xfId="0" applyNumberFormat="1" applyFont="1" applyAlignment="1">
      <alignment horizontal="center"/>
    </xf>
    <xf numFmtId="0" fontId="3" fillId="0" borderId="0" xfId="0" applyFont="1"/>
    <xf numFmtId="164" fontId="0" fillId="4" borderId="3" xfId="0" applyNumberFormat="1" applyFill="1" applyBorder="1"/>
    <xf numFmtId="0" fontId="8" fillId="0" borderId="0" xfId="0" applyFont="1"/>
    <xf numFmtId="0" fontId="0" fillId="0" borderId="23" xfId="0" applyBorder="1"/>
    <xf numFmtId="0" fontId="0" fillId="0" borderId="24" xfId="0" applyBorder="1"/>
    <xf numFmtId="0" fontId="0" fillId="0" borderId="25" xfId="0" applyBorder="1"/>
    <xf numFmtId="0" fontId="0" fillId="2" borderId="16" xfId="0" applyFill="1" applyBorder="1"/>
    <xf numFmtId="1" fontId="6" fillId="4" borderId="3" xfId="0" applyNumberFormat="1" applyFont="1" applyFill="1" applyBorder="1" applyAlignment="1">
      <alignment horizontal="center"/>
    </xf>
    <xf numFmtId="2" fontId="6" fillId="4" borderId="3" xfId="0" applyNumberFormat="1" applyFont="1" applyFill="1" applyBorder="1" applyAlignment="1">
      <alignment horizontal="center"/>
    </xf>
    <xf numFmtId="0" fontId="0" fillId="2" borderId="14" xfId="0" applyFill="1" applyBorder="1"/>
    <xf numFmtId="0" fontId="4" fillId="0" borderId="0" xfId="0" applyFont="1" applyAlignment="1">
      <alignment horizontal="right"/>
    </xf>
    <xf numFmtId="2" fontId="6" fillId="0" borderId="0" xfId="0" applyNumberFormat="1" applyFont="1" applyAlignment="1">
      <alignment horizontal="center"/>
    </xf>
    <xf numFmtId="0" fontId="4" fillId="0" borderId="0" xfId="0" applyFont="1" applyAlignment="1">
      <alignment horizontal="center"/>
    </xf>
    <xf numFmtId="166" fontId="6" fillId="0" borderId="0" xfId="0" applyNumberFormat="1" applyFont="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0" fillId="0" borderId="3" xfId="0" applyBorder="1" applyAlignment="1">
      <alignment horizontal="center"/>
    </xf>
    <xf numFmtId="0" fontId="0" fillId="2" borderId="3" xfId="0" applyFill="1" applyBorder="1" applyAlignment="1">
      <alignment horizontal="center"/>
    </xf>
    <xf numFmtId="0" fontId="4" fillId="0" borderId="26" xfId="0" applyFont="1" applyBorder="1"/>
    <xf numFmtId="0" fontId="0" fillId="0" borderId="27" xfId="0" applyBorder="1"/>
    <xf numFmtId="0" fontId="0" fillId="0" borderId="28" xfId="0" applyBorder="1"/>
    <xf numFmtId="0" fontId="0" fillId="0" borderId="4"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4" fillId="4" borderId="16" xfId="0" applyFont="1" applyFill="1" applyBorder="1"/>
    <xf numFmtId="0" fontId="4" fillId="13" borderId="15" xfId="0" applyFont="1" applyFill="1" applyBorder="1"/>
    <xf numFmtId="0" fontId="0" fillId="13" borderId="15" xfId="0" applyFill="1" applyBorder="1"/>
    <xf numFmtId="0" fontId="0" fillId="13" borderId="15" xfId="0" applyFill="1" applyBorder="1" applyAlignment="1">
      <alignment horizontal="left"/>
    </xf>
    <xf numFmtId="0" fontId="0" fillId="13" borderId="17" xfId="0" applyFill="1" applyBorder="1"/>
    <xf numFmtId="164" fontId="0" fillId="0" borderId="0" xfId="0" applyNumberFormat="1"/>
    <xf numFmtId="0" fontId="4" fillId="13" borderId="0" xfId="0" applyFont="1" applyFill="1"/>
    <xf numFmtId="0" fontId="4" fillId="5" borderId="3" xfId="0" applyFont="1" applyFill="1" applyBorder="1"/>
    <xf numFmtId="0" fontId="8" fillId="9" borderId="3" xfId="0" applyFont="1" applyFill="1" applyBorder="1" applyAlignment="1">
      <alignment horizontal="centerContinuous"/>
    </xf>
    <xf numFmtId="0" fontId="6" fillId="8" borderId="3" xfId="0" applyFont="1" applyFill="1" applyBorder="1" applyAlignment="1">
      <alignment horizontal="centerContinuous"/>
    </xf>
    <xf numFmtId="2" fontId="6" fillId="5" borderId="3" xfId="0" applyNumberFormat="1" applyFont="1" applyFill="1" applyBorder="1" applyAlignment="1">
      <alignment horizontal="center"/>
    </xf>
    <xf numFmtId="0" fontId="22" fillId="0" borderId="0" xfId="0" applyFont="1"/>
    <xf numFmtId="0" fontId="3" fillId="2" borderId="3" xfId="0" applyFont="1" applyFill="1" applyBorder="1" applyAlignment="1">
      <alignment horizontal="centerContinuous"/>
    </xf>
    <xf numFmtId="0" fontId="0" fillId="2" borderId="3" xfId="0" applyFill="1" applyBorder="1" applyAlignment="1">
      <alignment horizontal="centerContinuous"/>
    </xf>
    <xf numFmtId="0" fontId="6" fillId="2" borderId="3" xfId="0" applyFont="1" applyFill="1" applyBorder="1" applyAlignment="1">
      <alignment horizontal="centerContinuous"/>
    </xf>
    <xf numFmtId="0" fontId="0" fillId="13" borderId="3" xfId="0" applyFill="1" applyBorder="1"/>
    <xf numFmtId="0" fontId="0" fillId="4" borderId="1" xfId="0" applyFill="1" applyBorder="1"/>
    <xf numFmtId="0" fontId="4" fillId="13" borderId="13" xfId="0" applyFont="1" applyFill="1" applyBorder="1" applyAlignment="1">
      <alignment horizontal="center"/>
    </xf>
    <xf numFmtId="0" fontId="4" fillId="13" borderId="19" xfId="0" applyFont="1" applyFill="1" applyBorder="1" applyAlignment="1">
      <alignment horizontal="center"/>
    </xf>
    <xf numFmtId="0" fontId="0" fillId="13" borderId="32" xfId="0" applyFill="1" applyBorder="1" applyAlignment="1">
      <alignment horizontal="centerContinuous"/>
    </xf>
    <xf numFmtId="0" fontId="0" fillId="13" borderId="33" xfId="0" applyFill="1" applyBorder="1" applyAlignment="1">
      <alignment horizontal="centerContinuous"/>
    </xf>
    <xf numFmtId="0" fontId="4" fillId="13" borderId="31" xfId="0" applyFont="1" applyFill="1" applyBorder="1" applyAlignment="1">
      <alignment horizontal="centerContinuous"/>
    </xf>
    <xf numFmtId="0" fontId="4" fillId="2" borderId="1" xfId="0" applyFont="1" applyFill="1" applyBorder="1" applyAlignment="1">
      <alignment horizontal="center"/>
    </xf>
    <xf numFmtId="0" fontId="4" fillId="2" borderId="3" xfId="0" applyFont="1" applyFill="1" applyBorder="1" applyAlignment="1">
      <alignment horizontal="centerContinuous"/>
    </xf>
    <xf numFmtId="164" fontId="0" fillId="13" borderId="3" xfId="0" applyNumberFormat="1" applyFill="1" applyBorder="1"/>
    <xf numFmtId="0" fontId="6" fillId="0" borderId="10" xfId="0" applyFont="1" applyBorder="1" applyAlignment="1">
      <alignment horizontal="left"/>
    </xf>
    <xf numFmtId="0" fontId="6" fillId="0" borderId="8" xfId="0" applyFont="1" applyBorder="1" applyAlignment="1">
      <alignment horizontal="left"/>
    </xf>
    <xf numFmtId="0" fontId="8" fillId="9" borderId="3" xfId="0" applyFont="1" applyFill="1" applyBorder="1" applyAlignment="1">
      <alignment horizontal="left"/>
    </xf>
    <xf numFmtId="164" fontId="6" fillId="14" borderId="3" xfId="0" applyNumberFormat="1" applyFont="1" applyFill="1" applyBorder="1" applyAlignment="1">
      <alignment horizontal="right" indent="2"/>
    </xf>
    <xf numFmtId="166" fontId="4" fillId="5" borderId="3" xfId="0" applyNumberFormat="1" applyFont="1" applyFill="1" applyBorder="1"/>
    <xf numFmtId="166" fontId="0" fillId="5" borderId="0" xfId="0" applyNumberFormat="1" applyFill="1"/>
    <xf numFmtId="0" fontId="3" fillId="3" borderId="3" xfId="0" applyFont="1" applyFill="1" applyBorder="1" applyAlignment="1">
      <alignment horizontal="left"/>
    </xf>
    <xf numFmtId="0" fontId="3" fillId="2" borderId="4" xfId="0" applyFont="1" applyFill="1" applyBorder="1" applyAlignment="1">
      <alignment horizontal="center"/>
    </xf>
    <xf numFmtId="0" fontId="8" fillId="6" borderId="4" xfId="0" applyFont="1" applyFill="1" applyBorder="1" applyAlignment="1">
      <alignment horizontal="center"/>
    </xf>
    <xf numFmtId="0" fontId="4" fillId="13" borderId="3" xfId="0" applyFont="1" applyFill="1" applyBorder="1"/>
    <xf numFmtId="0" fontId="2" fillId="0" borderId="0" xfId="0" applyFont="1"/>
    <xf numFmtId="0" fontId="0" fillId="4" borderId="6" xfId="0" applyFill="1" applyBorder="1"/>
    <xf numFmtId="0" fontId="1" fillId="2" borderId="13" xfId="0" applyFont="1" applyFill="1" applyBorder="1" applyAlignment="1">
      <alignment horizontal="centerContinuous"/>
    </xf>
    <xf numFmtId="0" fontId="0" fillId="2" borderId="34" xfId="0" applyFill="1" applyBorder="1" applyAlignment="1">
      <alignment horizontal="centerContinuous"/>
    </xf>
    <xf numFmtId="0" fontId="0" fillId="2" borderId="35" xfId="0" applyFill="1" applyBorder="1" applyAlignment="1">
      <alignment horizontal="centerContinuous"/>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17" fillId="2" borderId="15" xfId="0" applyFont="1" applyFill="1" applyBorder="1" applyAlignment="1">
      <alignment horizontal="center"/>
    </xf>
    <xf numFmtId="0" fontId="17" fillId="2" borderId="16" xfId="0" applyFont="1" applyFill="1" applyBorder="1" applyAlignment="1">
      <alignment horizontal="center"/>
    </xf>
    <xf numFmtId="0" fontId="1" fillId="2" borderId="41" xfId="0" applyFont="1" applyFill="1" applyBorder="1" applyAlignment="1">
      <alignment horizontal="centerContinuous"/>
    </xf>
    <xf numFmtId="0" fontId="1" fillId="2" borderId="42" xfId="0" applyFont="1" applyFill="1" applyBorder="1" applyAlignment="1">
      <alignment horizontal="centerContinuous"/>
    </xf>
    <xf numFmtId="0" fontId="1" fillId="2" borderId="43" xfId="0" applyFont="1" applyFill="1" applyBorder="1" applyAlignment="1">
      <alignment horizontal="centerContinuous"/>
    </xf>
    <xf numFmtId="0" fontId="0" fillId="13" borderId="3" xfId="0" applyFill="1" applyBorder="1" applyAlignment="1">
      <alignment horizontal="center"/>
    </xf>
    <xf numFmtId="0" fontId="6" fillId="9" borderId="3" xfId="0" applyFont="1" applyFill="1" applyBorder="1" applyAlignment="1">
      <alignment horizontal="centerContinuous"/>
    </xf>
    <xf numFmtId="0" fontId="6" fillId="9" borderId="3" xfId="0" applyFont="1" applyFill="1" applyBorder="1" applyAlignment="1">
      <alignment horizontal="center"/>
    </xf>
    <xf numFmtId="0" fontId="3" fillId="9" borderId="3" xfId="0" applyFont="1" applyFill="1" applyBorder="1"/>
    <xf numFmtId="0" fontId="4" fillId="0" borderId="0" xfId="0" applyFont="1" applyAlignment="1">
      <alignment horizontal="centerContinuous"/>
    </xf>
    <xf numFmtId="164" fontId="6" fillId="5" borderId="5" xfId="0" applyNumberFormat="1" applyFont="1" applyFill="1" applyBorder="1" applyAlignment="1">
      <alignment horizontal="center"/>
    </xf>
    <xf numFmtId="164" fontId="6" fillId="5" borderId="5" xfId="0" applyNumberFormat="1" applyFont="1" applyFill="1" applyBorder="1" applyAlignment="1">
      <alignment horizontal="right"/>
    </xf>
    <xf numFmtId="165" fontId="6" fillId="11" borderId="3" xfId="0" applyNumberFormat="1" applyFont="1" applyFill="1" applyBorder="1" applyAlignment="1">
      <alignment horizontal="center"/>
    </xf>
    <xf numFmtId="0" fontId="23" fillId="0" borderId="0" xfId="1"/>
    <xf numFmtId="0" fontId="6" fillId="13" borderId="3" xfId="0" applyFont="1" applyFill="1" applyBorder="1"/>
    <xf numFmtId="1" fontId="0" fillId="4" borderId="16" xfId="0" applyNumberFormat="1" applyFill="1" applyBorder="1" applyAlignment="1">
      <alignment horizontal="right"/>
    </xf>
    <xf numFmtId="0" fontId="8" fillId="6" borderId="4" xfId="0" applyFont="1" applyFill="1" applyBorder="1"/>
    <xf numFmtId="0" fontId="6" fillId="7" borderId="5" xfId="0" applyFont="1" applyFill="1" applyBorder="1" applyAlignment="1">
      <alignment horizontal="left" indent="2"/>
    </xf>
    <xf numFmtId="0" fontId="6" fillId="8" borderId="5" xfId="0" applyFont="1" applyFill="1" applyBorder="1" applyAlignment="1">
      <alignment horizontal="center"/>
    </xf>
    <xf numFmtId="0" fontId="6" fillId="5" borderId="5" xfId="0" applyFont="1" applyFill="1" applyBorder="1" applyAlignment="1">
      <alignment horizontal="center"/>
    </xf>
    <xf numFmtId="0" fontId="0" fillId="4" borderId="5" xfId="0" applyFill="1" applyBorder="1"/>
    <xf numFmtId="0" fontId="6" fillId="7" borderId="41" xfId="0" applyFont="1" applyFill="1" applyBorder="1" applyAlignment="1">
      <alignment horizontal="left" indent="2"/>
    </xf>
    <xf numFmtId="0" fontId="6" fillId="8" borderId="42" xfId="0" applyFont="1" applyFill="1" applyBorder="1" applyAlignment="1">
      <alignment horizontal="center"/>
    </xf>
    <xf numFmtId="0" fontId="6" fillId="5" borderId="42" xfId="0" applyFont="1" applyFill="1" applyBorder="1" applyAlignment="1">
      <alignment horizontal="center"/>
    </xf>
    <xf numFmtId="0" fontId="0" fillId="4" borderId="42" xfId="0" applyFill="1" applyBorder="1"/>
    <xf numFmtId="0" fontId="0" fillId="4" borderId="43" xfId="0" applyFill="1" applyBorder="1"/>
    <xf numFmtId="0" fontId="6" fillId="7" borderId="4" xfId="0" applyFont="1" applyFill="1" applyBorder="1" applyAlignment="1">
      <alignment horizontal="left" indent="2"/>
    </xf>
    <xf numFmtId="0" fontId="6" fillId="8" borderId="4" xfId="0" applyFont="1" applyFill="1" applyBorder="1" applyAlignment="1">
      <alignment horizontal="center"/>
    </xf>
    <xf numFmtId="0" fontId="6" fillId="5" borderId="4" xfId="0" applyFont="1" applyFill="1" applyBorder="1" applyAlignment="1">
      <alignment horizontal="center"/>
    </xf>
    <xf numFmtId="0" fontId="0" fillId="4" borderId="4" xfId="0" applyFill="1" applyBorder="1"/>
    <xf numFmtId="164" fontId="0" fillId="4" borderId="4" xfId="0" applyNumberFormat="1" applyFill="1" applyBorder="1"/>
    <xf numFmtId="164" fontId="0" fillId="4" borderId="5" xfId="0" applyNumberFormat="1" applyFill="1" applyBorder="1"/>
    <xf numFmtId="164" fontId="0" fillId="4" borderId="42" xfId="0" applyNumberFormat="1" applyFill="1" applyBorder="1"/>
    <xf numFmtId="1" fontId="0" fillId="4" borderId="42" xfId="0" applyNumberFormat="1" applyFill="1" applyBorder="1" applyAlignment="1">
      <alignment horizontal="center"/>
    </xf>
    <xf numFmtId="1" fontId="0" fillId="4" borderId="5" xfId="0" applyNumberFormat="1" applyFill="1" applyBorder="1" applyAlignment="1">
      <alignment horizontal="center"/>
    </xf>
    <xf numFmtId="1" fontId="0" fillId="4" borderId="4" xfId="0" applyNumberFormat="1" applyFill="1" applyBorder="1" applyAlignment="1">
      <alignment horizontal="center"/>
    </xf>
    <xf numFmtId="1" fontId="0" fillId="4" borderId="3" xfId="0" applyNumberFormat="1" applyFill="1" applyBorder="1" applyAlignment="1">
      <alignment horizontal="center"/>
    </xf>
    <xf numFmtId="0" fontId="1" fillId="2" borderId="2" xfId="0" applyFont="1" applyFill="1" applyBorder="1" applyAlignment="1">
      <alignment horizontal="center"/>
    </xf>
    <xf numFmtId="0" fontId="1" fillId="2" borderId="11" xfId="0" applyFont="1" applyFill="1" applyBorder="1" applyAlignment="1">
      <alignment horizontal="center"/>
    </xf>
    <xf numFmtId="0" fontId="0" fillId="11" borderId="1" xfId="0" applyFill="1" applyBorder="1"/>
    <xf numFmtId="0" fontId="0" fillId="11" borderId="6" xfId="0" applyFill="1" applyBorder="1"/>
    <xf numFmtId="0" fontId="1" fillId="0" borderId="10" xfId="0" applyFont="1" applyBorder="1" applyAlignment="1">
      <alignment horizontal="center"/>
    </xf>
    <xf numFmtId="0" fontId="0" fillId="0" borderId="10" xfId="0" applyBorder="1"/>
    <xf numFmtId="0" fontId="0" fillId="0" borderId="10" xfId="0" applyBorder="1" applyAlignment="1">
      <alignment horizontal="left"/>
    </xf>
    <xf numFmtId="0" fontId="0" fillId="11" borderId="2" xfId="0" applyFill="1" applyBorder="1"/>
    <xf numFmtId="0" fontId="1" fillId="0" borderId="8" xfId="0" applyFont="1" applyBorder="1" applyAlignment="1">
      <alignment horizontal="center"/>
    </xf>
    <xf numFmtId="0" fontId="0" fillId="0" borderId="8" xfId="0" applyBorder="1"/>
    <xf numFmtId="166" fontId="6" fillId="5" borderId="5" xfId="0" applyNumberFormat="1" applyFont="1" applyFill="1" applyBorder="1" applyAlignment="1">
      <alignment horizontal="center"/>
    </xf>
    <xf numFmtId="0" fontId="4" fillId="2" borderId="0" xfId="0" applyFont="1" applyFill="1" applyAlignment="1">
      <alignment horizontal="center"/>
    </xf>
    <xf numFmtId="0" fontId="24" fillId="0" borderId="0" xfId="0" applyFont="1" applyAlignment="1">
      <alignment horizontal="left" indent="2"/>
    </xf>
    <xf numFmtId="0" fontId="24" fillId="0" borderId="0" xfId="0" applyFont="1" applyAlignment="1">
      <alignment horizontal="center"/>
    </xf>
    <xf numFmtId="2" fontId="6" fillId="5" borderId="5" xfId="0" applyNumberFormat="1" applyFont="1" applyFill="1" applyBorder="1" applyAlignment="1">
      <alignment horizontal="center"/>
    </xf>
    <xf numFmtId="1" fontId="6" fillId="0" borderId="0" xfId="0" applyNumberFormat="1" applyFont="1" applyAlignment="1">
      <alignment horizontal="left"/>
    </xf>
    <xf numFmtId="168" fontId="0" fillId="0" borderId="0" xfId="0" applyNumberFormat="1"/>
    <xf numFmtId="164" fontId="6" fillId="8" borderId="3" xfId="0" applyNumberFormat="1" applyFont="1" applyFill="1" applyBorder="1" applyAlignment="1">
      <alignment horizontal="center"/>
    </xf>
    <xf numFmtId="2" fontId="6" fillId="0" borderId="6" xfId="0" applyNumberFormat="1" applyFont="1" applyBorder="1" applyAlignment="1">
      <alignment horizontal="center"/>
    </xf>
    <xf numFmtId="2" fontId="0" fillId="4" borderId="3" xfId="0" applyNumberFormat="1" applyFill="1" applyBorder="1"/>
    <xf numFmtId="1" fontId="6" fillId="0" borderId="1" xfId="0" applyNumberFormat="1" applyFont="1" applyBorder="1" applyAlignment="1">
      <alignment horizontal="center"/>
    </xf>
    <xf numFmtId="164" fontId="0" fillId="4" borderId="1" xfId="0" applyNumberFormat="1" applyFill="1" applyBorder="1"/>
    <xf numFmtId="164" fontId="0" fillId="4" borderId="4" xfId="0" applyNumberFormat="1" applyFill="1" applyBorder="1" applyAlignment="1">
      <alignment horizontal="center"/>
    </xf>
    <xf numFmtId="164" fontId="0" fillId="4" borderId="42" xfId="0" applyNumberFormat="1" applyFill="1" applyBorder="1" applyAlignment="1">
      <alignment horizontal="center"/>
    </xf>
    <xf numFmtId="164" fontId="0" fillId="4" borderId="5" xfId="0" applyNumberFormat="1" applyFill="1" applyBorder="1" applyAlignment="1">
      <alignment horizontal="center"/>
    </xf>
    <xf numFmtId="164" fontId="0" fillId="4" borderId="3" xfId="0" applyNumberFormat="1" applyFill="1" applyBorder="1" applyAlignment="1">
      <alignment horizontal="center"/>
    </xf>
    <xf numFmtId="164" fontId="0" fillId="4" borderId="16" xfId="0" applyNumberFormat="1" applyFill="1" applyBorder="1" applyAlignment="1">
      <alignment horizontal="right"/>
    </xf>
    <xf numFmtId="164" fontId="24" fillId="0" borderId="0" xfId="0" applyNumberFormat="1" applyFont="1" applyAlignment="1">
      <alignment horizontal="center"/>
    </xf>
    <xf numFmtId="0" fontId="1" fillId="2" borderId="6" xfId="0" applyFont="1" applyFill="1" applyBorder="1" applyAlignment="1">
      <alignment horizontal="center" vertical="center" wrapText="1"/>
    </xf>
    <xf numFmtId="2" fontId="0" fillId="4" borderId="20" xfId="0" applyNumberFormat="1" applyFill="1" applyBorder="1"/>
    <xf numFmtId="2" fontId="0" fillId="4" borderId="18" xfId="0" applyNumberFormat="1" applyFill="1" applyBorder="1"/>
    <xf numFmtId="2" fontId="6" fillId="0" borderId="0" xfId="0" applyNumberFormat="1" applyFont="1" applyAlignment="1">
      <alignment horizontal="left" indent="2"/>
    </xf>
    <xf numFmtId="2" fontId="6" fillId="0" borderId="0" xfId="0" applyNumberFormat="1" applyFont="1" applyAlignment="1">
      <alignment horizontal="left"/>
    </xf>
    <xf numFmtId="165" fontId="6" fillId="0" borderId="0" xfId="0" applyNumberFormat="1" applyFont="1" applyAlignment="1">
      <alignment horizontal="left"/>
    </xf>
    <xf numFmtId="164" fontId="6" fillId="0" borderId="0" xfId="0" applyNumberFormat="1" applyFont="1" applyAlignment="1">
      <alignment horizontal="left"/>
    </xf>
    <xf numFmtId="167" fontId="6" fillId="0" borderId="0" xfId="0" applyNumberFormat="1" applyFont="1" applyAlignment="1">
      <alignment horizontal="left"/>
    </xf>
    <xf numFmtId="2" fontId="0" fillId="0" borderId="0" xfId="0" applyNumberFormat="1" applyAlignment="1">
      <alignment horizontal="left"/>
    </xf>
    <xf numFmtId="166" fontId="6" fillId="0" borderId="0" xfId="0" applyNumberFormat="1" applyFont="1" applyAlignment="1">
      <alignment horizontal="left"/>
    </xf>
    <xf numFmtId="2" fontId="6" fillId="0" borderId="2" xfId="0" applyNumberFormat="1" applyFont="1" applyBorder="1" applyAlignment="1">
      <alignment horizontal="center"/>
    </xf>
    <xf numFmtId="2" fontId="6" fillId="0" borderId="6" xfId="0" applyNumberFormat="1" applyFont="1" applyBorder="1" applyAlignment="1">
      <alignment horizontal="left"/>
    </xf>
    <xf numFmtId="0" fontId="3" fillId="0" borderId="0" xfId="0" applyFont="1" applyAlignment="1">
      <alignment horizontal="centerContinuous"/>
    </xf>
    <xf numFmtId="2" fontId="6" fillId="4" borderId="16" xfId="0" applyNumberFormat="1" applyFont="1"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Continuous"/>
    </xf>
    <xf numFmtId="0" fontId="1" fillId="2" borderId="14" xfId="0" applyFont="1" applyFill="1" applyBorder="1" applyAlignment="1">
      <alignment horizontal="centerContinuous"/>
    </xf>
    <xf numFmtId="2" fontId="6" fillId="0" borderId="1" xfId="0" applyNumberFormat="1" applyFont="1" applyBorder="1" applyAlignment="1">
      <alignment horizontal="left"/>
    </xf>
    <xf numFmtId="165" fontId="6" fillId="0" borderId="2" xfId="0" applyNumberFormat="1" applyFont="1" applyBorder="1" applyAlignment="1">
      <alignment horizontal="left"/>
    </xf>
    <xf numFmtId="2" fontId="6" fillId="0" borderId="2" xfId="0" applyNumberFormat="1" applyFont="1" applyBorder="1" applyAlignment="1">
      <alignment horizontal="left"/>
    </xf>
    <xf numFmtId="1" fontId="6" fillId="0" borderId="2" xfId="0" applyNumberFormat="1" applyFont="1" applyBorder="1" applyAlignment="1">
      <alignment horizontal="left"/>
    </xf>
    <xf numFmtId="0" fontId="6" fillId="8" borderId="10" xfId="0" applyFont="1" applyFill="1" applyBorder="1" applyAlignment="1">
      <alignment horizontal="center"/>
    </xf>
    <xf numFmtId="0" fontId="4" fillId="13" borderId="34" xfId="0" applyFont="1" applyFill="1" applyBorder="1" applyAlignment="1">
      <alignment horizontal="center"/>
    </xf>
    <xf numFmtId="0" fontId="0" fillId="4" borderId="2" xfId="0" applyFill="1" applyBorder="1"/>
    <xf numFmtId="0" fontId="0" fillId="4" borderId="45" xfId="0" applyFill="1" applyBorder="1"/>
    <xf numFmtId="0" fontId="4" fillId="13" borderId="35" xfId="0" applyFont="1" applyFill="1" applyBorder="1" applyAlignment="1">
      <alignment horizontal="center"/>
    </xf>
    <xf numFmtId="0" fontId="0" fillId="4" borderId="46" xfId="0" applyFill="1" applyBorder="1"/>
    <xf numFmtId="0" fontId="0" fillId="4" borderId="47" xfId="0" applyFill="1" applyBorder="1"/>
    <xf numFmtId="169" fontId="0" fillId="5" borderId="6" xfId="0" applyNumberFormat="1" applyFill="1" applyBorder="1"/>
    <xf numFmtId="2" fontId="0" fillId="11" borderId="6" xfId="0" applyNumberFormat="1" applyFill="1" applyBorder="1"/>
    <xf numFmtId="0" fontId="0" fillId="0" borderId="48" xfId="0" applyBorder="1"/>
    <xf numFmtId="0" fontId="0" fillId="4" borderId="49" xfId="0" applyFill="1" applyBorder="1"/>
    <xf numFmtId="0" fontId="1" fillId="2"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6" xfId="0" applyFont="1" applyFill="1" applyBorder="1" applyAlignment="1">
      <alignment horizontal="center"/>
    </xf>
    <xf numFmtId="0" fontId="0" fillId="5" borderId="3" xfId="0" applyFill="1" applyBorder="1" applyAlignment="1">
      <alignment horizontal="left" vertical="top"/>
    </xf>
    <xf numFmtId="0" fontId="0" fillId="4" borderId="3" xfId="0" applyFill="1" applyBorder="1" applyAlignment="1">
      <alignment horizontal="center" vertical="top" wrapText="1"/>
    </xf>
    <xf numFmtId="0" fontId="8" fillId="6" borderId="3" xfId="0" applyFont="1" applyFill="1" applyBorder="1" applyAlignment="1">
      <alignment horizontal="center"/>
    </xf>
    <xf numFmtId="0" fontId="3" fillId="2" borderId="3" xfId="0" applyFont="1" applyFill="1" applyBorder="1" applyAlignment="1">
      <alignment horizontal="center"/>
    </xf>
    <xf numFmtId="0" fontId="0" fillId="4" borderId="3" xfId="0" applyFill="1" applyBorder="1" applyAlignment="1">
      <alignment horizontal="center" wrapText="1"/>
    </xf>
    <xf numFmtId="0" fontId="4" fillId="2" borderId="29" xfId="0" applyFont="1" applyFill="1" applyBorder="1" applyAlignment="1">
      <alignment horizontal="center"/>
    </xf>
    <xf numFmtId="0" fontId="4" fillId="2" borderId="30" xfId="0" applyFont="1" applyFill="1" applyBorder="1" applyAlignment="1">
      <alignment horizontal="center"/>
    </xf>
    <xf numFmtId="0" fontId="4" fillId="2" borderId="13" xfId="0" applyFont="1" applyFill="1" applyBorder="1" applyAlignment="1">
      <alignment horizontal="center"/>
    </xf>
    <xf numFmtId="0" fontId="4" fillId="2" borderId="19" xfId="0" applyFont="1" applyFill="1" applyBorder="1" applyAlignment="1">
      <alignment horizontal="center"/>
    </xf>
    <xf numFmtId="0" fontId="1" fillId="2" borderId="4" xfId="0" applyFont="1" applyFill="1" applyBorder="1" applyAlignment="1">
      <alignment horizontal="center"/>
    </xf>
    <xf numFmtId="0" fontId="1" fillId="2" borderId="21" xfId="0" applyFont="1" applyFill="1" applyBorder="1" applyAlignment="1">
      <alignment horizontal="center"/>
    </xf>
    <xf numFmtId="0" fontId="1" fillId="2" borderId="5" xfId="0" applyFont="1" applyFill="1" applyBorder="1" applyAlignment="1">
      <alignment horizontal="center"/>
    </xf>
    <xf numFmtId="0" fontId="1" fillId="2" borderId="22" xfId="0" applyFont="1" applyFill="1" applyBorder="1" applyAlignment="1">
      <alignment horizontal="center"/>
    </xf>
    <xf numFmtId="0" fontId="1" fillId="2" borderId="44" xfId="0" applyFont="1" applyFill="1" applyBorder="1" applyAlignment="1">
      <alignment horizontal="center"/>
    </xf>
    <xf numFmtId="0" fontId="1" fillId="2" borderId="35" xfId="0" applyFont="1" applyFill="1" applyBorder="1" applyAlignment="1">
      <alignment horizontal="center"/>
    </xf>
    <xf numFmtId="0" fontId="1" fillId="2" borderId="13" xfId="0" applyFont="1" applyFill="1" applyBorder="1" applyAlignment="1">
      <alignment horizontal="center"/>
    </xf>
    <xf numFmtId="0" fontId="1" fillId="2" borderId="19" xfId="0" applyFont="1" applyFill="1" applyBorder="1" applyAlignment="1">
      <alignment horizontal="center"/>
    </xf>
    <xf numFmtId="0" fontId="1" fillId="2" borderId="14" xfId="0" applyFont="1" applyFill="1" applyBorder="1" applyAlignment="1">
      <alignment horizontal="center"/>
    </xf>
    <xf numFmtId="0" fontId="1" fillId="2" borderId="3" xfId="0" applyFont="1" applyFill="1" applyBorder="1" applyAlignment="1">
      <alignment horizontal="center" vertical="center" wrapText="1"/>
    </xf>
    <xf numFmtId="0" fontId="0" fillId="0" borderId="3" xfId="0" applyBorder="1" applyAlignment="1">
      <alignment horizontal="center"/>
    </xf>
    <xf numFmtId="0" fontId="9" fillId="6" borderId="3" xfId="0" applyFont="1" applyFill="1" applyBorder="1" applyAlignment="1">
      <alignment horizontal="center" vertical="center" wrapText="1"/>
    </xf>
    <xf numFmtId="0" fontId="1" fillId="2" borderId="8" xfId="0" applyFont="1" applyFill="1" applyBorder="1" applyAlignment="1">
      <alignment horizontal="center"/>
    </xf>
    <xf numFmtId="0" fontId="1" fillId="2" borderId="0" xfId="0" applyFont="1" applyFill="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12" xfId="0" applyFont="1" applyFill="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3" xfId="0" applyFont="1" applyFill="1" applyBorder="1" applyAlignment="1">
      <alignment horizontal="center" wrapText="1"/>
    </xf>
    <xf numFmtId="0" fontId="0" fillId="2" borderId="3" xfId="0" applyFill="1" applyBorder="1" applyAlignment="1">
      <alignment horizontal="center"/>
    </xf>
    <xf numFmtId="0" fontId="0" fillId="0" borderId="50" xfId="0" applyBorder="1"/>
    <xf numFmtId="0" fontId="1" fillId="2" borderId="19" xfId="0" applyFont="1" applyFill="1" applyBorder="1" applyAlignment="1">
      <alignment horizontal="left"/>
    </xf>
    <xf numFmtId="0" fontId="1" fillId="2" borderId="51" xfId="0" applyFont="1" applyFill="1" applyBorder="1" applyAlignment="1">
      <alignment horizontal="center"/>
    </xf>
    <xf numFmtId="0" fontId="0" fillId="0" borderId="0" xfId="0" applyBorder="1"/>
    <xf numFmtId="0" fontId="1" fillId="2" borderId="16" xfId="0" applyFont="1" applyFill="1" applyBorder="1" applyAlignment="1">
      <alignment horizontal="center"/>
    </xf>
    <xf numFmtId="0" fontId="0" fillId="11" borderId="15" xfId="0" applyFill="1" applyBorder="1"/>
    <xf numFmtId="0" fontId="0" fillId="11" borderId="17" xfId="0" applyFill="1" applyBorder="1"/>
    <xf numFmtId="0" fontId="0" fillId="0" borderId="52" xfId="0" applyBorder="1"/>
    <xf numFmtId="164" fontId="0" fillId="5" borderId="20" xfId="0" applyNumberFormat="1" applyFill="1" applyBorder="1"/>
    <xf numFmtId="2" fontId="0" fillId="5" borderId="20" xfId="0" applyNumberFormat="1" applyFill="1" applyBorder="1"/>
    <xf numFmtId="166" fontId="0" fillId="5" borderId="38" xfId="0" applyNumberFormat="1" applyFill="1" applyBorder="1"/>
    <xf numFmtId="164" fontId="0" fillId="5" borderId="18"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 Id="rId30"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9A9A7E2A-D4CE-4668-81FD-4E0054BB0349}"/>
            </a:ext>
          </a:extLst>
        </xdr:cNvPr>
        <xdr:cNvSpPr txBox="1"/>
      </xdr:nvSpPr>
      <xdr:spPr>
        <a:xfrm>
          <a:off x="25662890" y="220345"/>
          <a:ext cx="15297785" cy="1484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0</xdr:rowOff>
    </xdr:to>
    <xdr:sp macro="" textlink="">
      <xdr:nvSpPr>
        <xdr:cNvPr id="3" name="TextBox 2">
          <a:extLst>
            <a:ext uri="{FF2B5EF4-FFF2-40B4-BE49-F238E27FC236}">
              <a16:creationId xmlns:a16="http://schemas.microsoft.com/office/drawing/2014/main" id="{648E7A06-35E1-4E4E-8567-3D0350EE07E9}"/>
            </a:ext>
          </a:extLst>
        </xdr:cNvPr>
        <xdr:cNvSpPr txBox="1"/>
      </xdr:nvSpPr>
      <xdr:spPr>
        <a:xfrm>
          <a:off x="25662890" y="220345"/>
          <a:ext cx="15297785" cy="1484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Notes</a:t>
          </a:r>
          <a:br>
            <a:rPr lang="da-DK" sz="1600" u="sng">
              <a:latin typeface="Arial" panose="020B0604020202020204" pitchFamily="34" charset="0"/>
              <a:cs typeface="Arial" panose="020B0604020202020204" pitchFamily="34" charset="0"/>
            </a:rPr>
          </a:br>
          <a:r>
            <a:rPr lang="da-DK" sz="1200" u="none">
              <a:latin typeface="Arial" panose="020B0604020202020204" pitchFamily="34" charset="0"/>
              <a:cs typeface="Arial" panose="020B0604020202020204" pitchFamily="34" charset="0"/>
            </a:rPr>
            <a:t>Data for production and growth is from Kap2_for_svin_klar_NETVERSION_2020 (chrome-extension://efaidnbmnnnibpcajpcglclefindmkaj/https://anivet.au.dk/fileadmin/DJF/Anis/dokumenter_anis/Normtal_2020_og_frem/Normtal_fra_Emma_2022/Kapitel_2_Normtal_for_svin_2022-23_.pdf)</a:t>
          </a:r>
        </a:p>
        <a:p>
          <a:pPr marL="0" marR="0" lvl="0" indent="0" defTabSz="914400" eaLnBrk="1" fontAlgn="auto" latinLnBrk="0" hangingPunct="1">
            <a:lnSpc>
              <a:spcPct val="100000"/>
            </a:lnSpc>
            <a:spcBef>
              <a:spcPts val="0"/>
            </a:spcBef>
            <a:spcAft>
              <a:spcPts val="0"/>
            </a:spcAft>
            <a:buClrTx/>
            <a:buSzTx/>
            <a:buFontTx/>
            <a:buNone/>
            <a:tabLst/>
            <a:defRPr/>
          </a:pPr>
          <a:br>
            <a:rPr lang="da-DK" sz="1200" u="none">
              <a:latin typeface="Arial" panose="020B0604020202020204" pitchFamily="34" charset="0"/>
              <a:cs typeface="Arial" panose="020B0604020202020204" pitchFamily="34" charset="0"/>
            </a:rPr>
          </a:br>
          <a:r>
            <a:rPr lang="da-DK" sz="1200" u="none" noProof="0">
              <a:solidFill>
                <a:schemeClr val="dk1"/>
              </a:solidFill>
              <a:latin typeface="Arial" panose="020B0604020202020204" pitchFamily="34" charset="0"/>
              <a:ea typeface="+mn-ea"/>
              <a:cs typeface="Arial" panose="020B0604020202020204" pitchFamily="34" charset="0"/>
            </a:rPr>
            <a:t>50-50% Danish produced grain - farm produced grain, related to transportation.</a:t>
          </a:r>
          <a:br>
            <a:rPr lang="da-DK" sz="1200" u="none" noProof="0">
              <a:solidFill>
                <a:schemeClr val="dk1"/>
              </a:solidFill>
              <a:latin typeface="Arial" panose="020B0604020202020204" pitchFamily="34" charset="0"/>
              <a:ea typeface="+mn-ea"/>
              <a:cs typeface="Arial" panose="020B0604020202020204" pitchFamily="34" charset="0"/>
            </a:rPr>
          </a:br>
          <a:endParaRPr lang="da-DK" sz="1200" u="none">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9786600" y="222250"/>
          <a:ext cx="13173075"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a:p>
          <a:r>
            <a:rPr lang="da-DK" sz="1100" u="none">
              <a:latin typeface="Arial" panose="020B0604020202020204" pitchFamily="34" charset="0"/>
              <a:cs typeface="Arial" panose="020B0604020202020204" pitchFamily="34" charset="0"/>
            </a:rPr>
            <a:t>100% import af Protein_1, 50-50% import - dansk produceret Protein_2</a:t>
          </a:r>
          <a:r>
            <a:rPr lang="da-DK" sz="1100" u="none" baseline="0">
              <a:latin typeface="Arial" panose="020B0604020202020204" pitchFamily="34" charset="0"/>
              <a:cs typeface="Arial" panose="020B0604020202020204" pitchFamily="34" charset="0"/>
            </a:rPr>
            <a:t> og 50-50% dansk produceret - hjemmeavlet korn.</a:t>
          </a:r>
        </a:p>
        <a:p>
          <a:endParaRPr lang="da-DK" sz="1100" u="none" baseline="0">
            <a:latin typeface="Arial" panose="020B0604020202020204" pitchFamily="34" charset="0"/>
            <a:cs typeface="Arial" panose="020B0604020202020204" pitchFamily="34" charset="0"/>
          </a:endParaRPr>
        </a:p>
        <a:p>
          <a:r>
            <a:rPr lang="da-DK" sz="1100" u="none">
              <a:latin typeface="Arial" panose="020B0604020202020204" pitchFamily="34" charset="0"/>
              <a:cs typeface="Arial" panose="020B0604020202020204" pitchFamily="34" charset="0"/>
            </a:rPr>
            <a:t>Der forudsættes 0,6 kalv/årsko, fordi førstekalvskøernes</a:t>
          </a:r>
          <a:r>
            <a:rPr lang="da-DK" sz="1100" u="none" baseline="0">
              <a:latin typeface="Arial" panose="020B0604020202020204" pitchFamily="34" charset="0"/>
              <a:cs typeface="Arial" panose="020B0604020202020204" pitchFamily="34" charset="0"/>
            </a:rPr>
            <a:t> kalve er på kviernes kartotekskort.</a:t>
          </a:r>
          <a:endParaRPr lang="da-DK" sz="1100" u="none">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177</xdr:row>
      <xdr:rowOff>85725</xdr:rowOff>
    </xdr:from>
    <xdr:to>
      <xdr:col>3</xdr:col>
      <xdr:colOff>1770569</xdr:colOff>
      <xdr:row>221</xdr:row>
      <xdr:rowOff>130393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34918650"/>
          <a:ext cx="8647619" cy="84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218275" y="222250"/>
          <a:ext cx="12607925"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2263100" y="222250"/>
          <a:ext cx="1376997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a:p>
          <a:r>
            <a:rPr lang="da-DK" sz="1100" u="none">
              <a:latin typeface="Arial" panose="020B0604020202020204" pitchFamily="34" charset="0"/>
              <a:cs typeface="Arial" panose="020B0604020202020204" pitchFamily="34" charset="0"/>
            </a:rPr>
            <a:t>50-50% import - dansk produceret Protein_2</a:t>
          </a:r>
          <a:r>
            <a:rPr lang="da-DK" sz="1100" u="none" baseline="0">
              <a:latin typeface="Arial" panose="020B0604020202020204" pitchFamily="34" charset="0"/>
              <a:cs typeface="Arial" panose="020B0604020202020204" pitchFamily="34" charset="0"/>
            </a:rPr>
            <a:t> og 50-50% dansk produceret - hjemmeavlet korn.</a:t>
          </a:r>
          <a:endParaRPr lang="da-DK" sz="1100" u="none">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177</xdr:row>
      <xdr:rowOff>85725</xdr:rowOff>
    </xdr:from>
    <xdr:to>
      <xdr:col>3</xdr:col>
      <xdr:colOff>1774379</xdr:colOff>
      <xdr:row>221</xdr:row>
      <xdr:rowOff>134203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0" y="33486725"/>
          <a:ext cx="8974644" cy="813964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173287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editAs="oneCell">
    <xdr:from>
      <xdr:col>4</xdr:col>
      <xdr:colOff>1838325</xdr:colOff>
      <xdr:row>216</xdr:row>
      <xdr:rowOff>171450</xdr:rowOff>
    </xdr:from>
    <xdr:to>
      <xdr:col>6</xdr:col>
      <xdr:colOff>1889249</xdr:colOff>
      <xdr:row>227</xdr:row>
      <xdr:rowOff>1030</xdr:rowOff>
    </xdr:to>
    <xdr:pic>
      <xdr:nvPicPr>
        <xdr:cNvPr id="3" name="Billede 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0648950" y="42052875"/>
          <a:ext cx="4085714" cy="19174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21475700"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a:p>
          <a:r>
            <a:rPr lang="da-DK" sz="1100" u="none">
              <a:latin typeface="Arial" panose="020B0604020202020204" pitchFamily="34" charset="0"/>
              <a:cs typeface="Arial" panose="020B0604020202020204" pitchFamily="34" charset="0"/>
            </a:rPr>
            <a:t>100% import af Protein_1, 50-50% import - dansk produceret Protein_2</a:t>
          </a:r>
          <a:r>
            <a:rPr lang="da-DK" sz="1100" u="none" baseline="0">
              <a:latin typeface="Arial" panose="020B0604020202020204" pitchFamily="34" charset="0"/>
              <a:cs typeface="Arial" panose="020B0604020202020204" pitchFamily="34" charset="0"/>
            </a:rPr>
            <a:t> og 50-50% dansk produceret - hjemmeavlet korn.</a:t>
          </a:r>
        </a:p>
        <a:p>
          <a:endParaRPr lang="da-DK" sz="1100" u="none" baseline="0">
            <a:latin typeface="Arial" panose="020B0604020202020204" pitchFamily="34" charset="0"/>
            <a:cs typeface="Arial" panose="020B0604020202020204" pitchFamily="34" charset="0"/>
          </a:endParaRPr>
        </a:p>
        <a:p>
          <a:r>
            <a:rPr lang="da-DK" sz="1100" u="none" baseline="0">
              <a:latin typeface="Arial" panose="020B0604020202020204" pitchFamily="34" charset="0"/>
              <a:cs typeface="Arial" panose="020B0604020202020204" pitchFamily="34" charset="0"/>
            </a:rPr>
            <a:t>Vægten anslås til at være 615 kg (norm) - 40 kg kalv og 32 kg andet der skyldes drægtighed (80% af kalvens vægt), hvilket giver udgangsvægt for kvien i sig selv på 543 kg.</a:t>
          </a:r>
          <a:endParaRPr lang="da-DK" sz="1100" u="none">
            <a:latin typeface="Arial" panose="020B0604020202020204" pitchFamily="34" charset="0"/>
            <a:cs typeface="Arial" panose="020B0604020202020204" pitchFamily="34" charset="0"/>
          </a:endParaRPr>
        </a:p>
      </xdr:txBody>
    </xdr:sp>
    <xdr:clientData/>
  </xdr:twoCellAnchor>
  <xdr:twoCellAnchor editAs="oneCell">
    <xdr:from>
      <xdr:col>4</xdr:col>
      <xdr:colOff>1581150</xdr:colOff>
      <xdr:row>217</xdr:row>
      <xdr:rowOff>47625</xdr:rowOff>
    </xdr:from>
    <xdr:to>
      <xdr:col>6</xdr:col>
      <xdr:colOff>416265</xdr:colOff>
      <xdr:row>224</xdr:row>
      <xdr:rowOff>174996</xdr:rowOff>
    </xdr:to>
    <xdr:pic>
      <xdr:nvPicPr>
        <xdr:cNvPr id="3" name="Billede 4">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0391775" y="42119550"/>
          <a:ext cx="2873715" cy="1466586"/>
        </a:xfrm>
        <a:prstGeom prst="rect">
          <a:avLst/>
        </a:prstGeom>
      </xdr:spPr>
    </xdr:pic>
    <xdr:clientData/>
  </xdr:twoCellAnchor>
  <xdr:twoCellAnchor editAs="oneCell">
    <xdr:from>
      <xdr:col>7</xdr:col>
      <xdr:colOff>38100</xdr:colOff>
      <xdr:row>216</xdr:row>
      <xdr:rowOff>152400</xdr:rowOff>
    </xdr:from>
    <xdr:to>
      <xdr:col>9</xdr:col>
      <xdr:colOff>151889</xdr:colOff>
      <xdr:row>226</xdr:row>
      <xdr:rowOff>171210</xdr:rowOff>
    </xdr:to>
    <xdr:pic>
      <xdr:nvPicPr>
        <xdr:cNvPr id="4" name="Billede 5">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14868525" y="42033825"/>
          <a:ext cx="4085714" cy="19238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22263100" y="222250"/>
          <a:ext cx="1376997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22263100" y="222250"/>
          <a:ext cx="1376997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endParaRPr lang="da-DK" sz="1100" u="none" baseline="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16</xdr:col>
      <xdr:colOff>238125</xdr:colOff>
      <xdr:row>3</xdr:row>
      <xdr:rowOff>95250</xdr:rowOff>
    </xdr:from>
    <xdr:to>
      <xdr:col>23</xdr:col>
      <xdr:colOff>57150</xdr:colOff>
      <xdr:row>27</xdr:row>
      <xdr:rowOff>0</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10829925" y="895350"/>
          <a:ext cx="4086225" cy="448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Note:</a:t>
          </a:r>
        </a:p>
        <a:p>
          <a:endParaRPr lang="da-DK" sz="1100"/>
        </a:p>
        <a:p>
          <a:r>
            <a:rPr lang="da-DK" sz="1100"/>
            <a:t>Data hentes automatisk fra excelfil med kartotekskort</a:t>
          </a:r>
          <a:r>
            <a:rPr lang="da-DK" sz="1100" baseline="0"/>
            <a:t> for afgrøder.</a:t>
          </a:r>
          <a:endParaRPr lang="da-DK" sz="1100"/>
        </a:p>
      </xdr:txBody>
    </xdr:sp>
    <xdr:clientData/>
  </xdr:twoCellAnchor>
  <xdr:twoCellAnchor>
    <xdr:from>
      <xdr:col>16</xdr:col>
      <xdr:colOff>238125</xdr:colOff>
      <xdr:row>3</xdr:row>
      <xdr:rowOff>95250</xdr:rowOff>
    </xdr:from>
    <xdr:to>
      <xdr:col>23</xdr:col>
      <xdr:colOff>57150</xdr:colOff>
      <xdr:row>27</xdr:row>
      <xdr:rowOff>0</xdr:rowOff>
    </xdr:to>
    <xdr:sp macro="" textlink="">
      <xdr:nvSpPr>
        <xdr:cNvPr id="3" name="TextBox 1">
          <a:extLst>
            <a:ext uri="{FF2B5EF4-FFF2-40B4-BE49-F238E27FC236}">
              <a16:creationId xmlns:a16="http://schemas.microsoft.com/office/drawing/2014/main" id="{00000000-0008-0000-0E00-000003000000}"/>
            </a:ext>
          </a:extLst>
        </xdr:cNvPr>
        <xdr:cNvSpPr txBox="1"/>
      </xdr:nvSpPr>
      <xdr:spPr>
        <a:xfrm>
          <a:off x="11877675" y="885825"/>
          <a:ext cx="4086225" cy="448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Note:</a:t>
          </a:r>
        </a:p>
        <a:p>
          <a:endParaRPr lang="da-DK" sz="1100"/>
        </a:p>
        <a:p>
          <a:r>
            <a:rPr lang="da-DK" sz="1100"/>
            <a:t>Data hentes automatisk fra excelfil med kartotekskort</a:t>
          </a:r>
          <a:r>
            <a:rPr lang="da-DK" sz="1100" baseline="0"/>
            <a:t> for afgrøder.</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r>
            <a:rPr lang="da-DK" sz="1200" u="none">
              <a:latin typeface="Arial" panose="020B0604020202020204" pitchFamily="34" charset="0"/>
              <a:cs typeface="Arial" panose="020B0604020202020204" pitchFamily="34" charset="0"/>
            </a:rPr>
            <a:t>Data for produktion og tilvækst er fra Kap2_for_svin_klar_NETVERSION_2020</a:t>
          </a:r>
          <a:br>
            <a:rPr lang="da-DK" sz="1200" u="none">
              <a:latin typeface="Arial" panose="020B0604020202020204" pitchFamily="34" charset="0"/>
              <a:cs typeface="Arial" panose="020B0604020202020204" pitchFamily="34" charset="0"/>
            </a:rPr>
          </a:br>
          <a:r>
            <a:rPr lang="da-DK" sz="1200" u="none" noProof="0">
              <a:solidFill>
                <a:schemeClr val="dk1"/>
              </a:solidFill>
              <a:latin typeface="Arial" panose="020B0604020202020204" pitchFamily="34" charset="0"/>
              <a:ea typeface="+mn-ea"/>
              <a:cs typeface="Arial" panose="020B0604020202020204" pitchFamily="34" charset="0"/>
            </a:rPr>
            <a:t>100% import af Protein_1, 50-50% import - dansk produceret Protein_2 og 50-50% dansk produceret - hjemmeavlet korn.</a:t>
          </a:r>
          <a:br>
            <a:rPr lang="da-DK" sz="1200" u="none" noProof="0">
              <a:solidFill>
                <a:schemeClr val="dk1"/>
              </a:solidFill>
              <a:latin typeface="Arial" panose="020B0604020202020204" pitchFamily="34" charset="0"/>
              <a:ea typeface="+mn-ea"/>
              <a:cs typeface="Arial" panose="020B0604020202020204" pitchFamily="34" charset="0"/>
            </a:rPr>
          </a:br>
          <a:endParaRPr lang="da-DK" sz="1200" u="none">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endParaRPr lang="da-DK" sz="1200" u="none">
            <a:latin typeface="Arial" panose="020B0604020202020204" pitchFamily="34" charset="0"/>
            <a:cs typeface="Arial" panose="020B0604020202020204" pitchFamily="34" charset="0"/>
          </a:endParaRPr>
        </a:p>
        <a:p>
          <a:r>
            <a:rPr lang="da-DK" sz="1200" u="none">
              <a:latin typeface="Arial" panose="020B0604020202020204" pitchFamily="34" charset="0"/>
              <a:cs typeface="Arial" panose="020B0604020202020204" pitchFamily="34" charset="0"/>
            </a:rPr>
            <a:t>3,4 % dødelighed (Andersen et al 2021).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266700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23933150" y="222250"/>
          <a:ext cx="14846300" cy="179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r>
            <a:rPr lang="da-DK" sz="1200" u="none">
              <a:latin typeface="Arial" panose="020B0604020202020204" pitchFamily="34" charset="0"/>
              <a:cs typeface="Arial" panose="020B0604020202020204" pitchFamily="34" charset="0"/>
            </a:rPr>
            <a:t>Data for produktion og tilvækst er fra Kap2_for_svin_klar_NETVERSION_2020</a:t>
          </a:r>
          <a:br>
            <a:rPr lang="da-DK" sz="1200" u="none">
              <a:latin typeface="Arial" panose="020B0604020202020204" pitchFamily="34" charset="0"/>
              <a:cs typeface="Arial" panose="020B0604020202020204" pitchFamily="34" charset="0"/>
            </a:rPr>
          </a:br>
          <a:r>
            <a:rPr lang="da-DK" sz="1200" u="none" noProof="0">
              <a:solidFill>
                <a:schemeClr val="dk1"/>
              </a:solidFill>
              <a:latin typeface="Arial" panose="020B0604020202020204" pitchFamily="34" charset="0"/>
              <a:ea typeface="+mn-ea"/>
              <a:cs typeface="Arial" panose="020B0604020202020204" pitchFamily="34" charset="0"/>
            </a:rPr>
            <a:t>100% import af Protein_1, 50-50% import - dansk produceret Protein_2 og 50-50% dansk produceret - hjemmeavlet korn.</a:t>
          </a:r>
          <a:br>
            <a:rPr lang="da-DK" sz="1200" u="none" noProof="0">
              <a:solidFill>
                <a:schemeClr val="dk1"/>
              </a:solidFill>
              <a:latin typeface="Arial" panose="020B0604020202020204" pitchFamily="34" charset="0"/>
              <a:ea typeface="+mn-ea"/>
              <a:cs typeface="Arial" panose="020B0604020202020204" pitchFamily="34" charset="0"/>
            </a:rPr>
          </a:br>
          <a:r>
            <a:rPr lang="da-DK" sz="1200" u="none" noProof="0">
              <a:solidFill>
                <a:schemeClr val="dk1"/>
              </a:solidFill>
              <a:latin typeface="Arial" panose="020B0604020202020204" pitchFamily="34" charset="0"/>
              <a:ea typeface="+mn-ea"/>
              <a:cs typeface="Arial" panose="020B0604020202020204" pitchFamily="34" charset="0"/>
            </a:rPr>
            <a:t>SEGES' kalkule siger 1485 kg foder inklusiv 22 kg til smågrise,</a:t>
          </a:r>
          <a:r>
            <a:rPr lang="da-DK" sz="1200" u="none" baseline="0" noProof="0">
              <a:solidFill>
                <a:schemeClr val="dk1"/>
              </a:solidFill>
              <a:latin typeface="Arial" panose="020B0604020202020204" pitchFamily="34" charset="0"/>
              <a:ea typeface="+mn-ea"/>
              <a:cs typeface="Arial" panose="020B0604020202020204" pitchFamily="34" charset="0"/>
            </a:rPr>
            <a:t> og det er der skelet til.</a:t>
          </a:r>
        </a:p>
        <a:p>
          <a:pPr marL="0" marR="0" lvl="0" indent="0" defTabSz="914400" eaLnBrk="1" fontAlgn="auto" latinLnBrk="0" hangingPunct="1">
            <a:lnSpc>
              <a:spcPct val="100000"/>
            </a:lnSpc>
            <a:spcBef>
              <a:spcPts val="0"/>
            </a:spcBef>
            <a:spcAft>
              <a:spcPts val="0"/>
            </a:spcAft>
            <a:buClrTx/>
            <a:buSzTx/>
            <a:buFontTx/>
            <a:buNone/>
            <a:tabLst/>
            <a:defRPr/>
          </a:pPr>
          <a:endParaRPr lang="da-DK" sz="1200" u="none" baseline="0" noProof="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a-DK" sz="1200" u="none" baseline="0" noProof="0">
              <a:solidFill>
                <a:schemeClr val="dk1"/>
              </a:solidFill>
              <a:latin typeface="Arial" panose="020B0604020202020204" pitchFamily="34" charset="0"/>
              <a:ea typeface="+mn-ea"/>
              <a:cs typeface="Arial" panose="020B0604020202020204" pitchFamily="34" charset="0"/>
            </a:rPr>
            <a:t>Dødt kød er beregnet som 5 kg dødfødte grise og 8 kg døde pattegrise ifølge Kap2_Normtal_for_svin_klar_NETVERSION_2020.pdf, samt 11% døde søer (af 206-113 =93 kg) fra Andersen et al 2021. I alt giver det 23,23 kg/årsso.</a:t>
          </a:r>
          <a:endParaRPr lang="da-DK" sz="1200" u="none" noProof="0">
            <a:solidFill>
              <a:schemeClr val="dk1"/>
            </a:solidFill>
            <a:latin typeface="Arial" panose="020B0604020202020204" pitchFamily="34" charset="0"/>
            <a:ea typeface="+mn-ea"/>
            <a:cs typeface="Arial" panose="020B0604020202020204" pitchFamily="34" charset="0"/>
          </a:endParaRPr>
        </a:p>
        <a:p>
          <a:r>
            <a:rPr lang="da-DK" sz="1200" u="none">
              <a:latin typeface="Arial" panose="020B0604020202020204" pitchFamily="34" charset="0"/>
              <a:cs typeface="Arial" panose="020B0604020202020204" pitchFamily="34" charset="0"/>
            </a:rPr>
            <a:t>77 kg tilvækst er fra normerne og dækker også polte</a:t>
          </a:r>
          <a:r>
            <a:rPr lang="da-DK" sz="1200" u="none" baseline="0">
              <a:latin typeface="Arial" panose="020B0604020202020204" pitchFamily="34" charset="0"/>
              <a:cs typeface="Arial" panose="020B0604020202020204" pitchFamily="34" charset="0"/>
            </a:rPr>
            <a:t> og orner.</a:t>
          </a:r>
          <a:endParaRPr lang="da-DK" sz="1200" u="none">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7137906A-F2F1-444B-8DF9-6FA81A240849}"/>
            </a:ext>
          </a:extLst>
        </xdr:cNvPr>
        <xdr:cNvSpPr txBox="1"/>
      </xdr:nvSpPr>
      <xdr:spPr>
        <a:xfrm>
          <a:off x="25925780" y="222250"/>
          <a:ext cx="1529397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266700</xdr:rowOff>
    </xdr:to>
    <xdr:sp macro="" textlink="">
      <xdr:nvSpPr>
        <xdr:cNvPr id="3" name="TextBox 2">
          <a:extLst>
            <a:ext uri="{FF2B5EF4-FFF2-40B4-BE49-F238E27FC236}">
              <a16:creationId xmlns:a16="http://schemas.microsoft.com/office/drawing/2014/main" id="{8D8A87E5-C30B-4DB3-9CF7-A065559BD590}"/>
            </a:ext>
          </a:extLst>
        </xdr:cNvPr>
        <xdr:cNvSpPr txBox="1"/>
      </xdr:nvSpPr>
      <xdr:spPr>
        <a:xfrm>
          <a:off x="25925780" y="222250"/>
          <a:ext cx="15293975" cy="175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endParaRPr lang="da-DK" sz="1200" u="none" baseline="0" noProof="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a-DK" sz="1200" u="none" baseline="0" noProof="0">
              <a:solidFill>
                <a:schemeClr val="dk1"/>
              </a:solidFill>
              <a:latin typeface="Arial" panose="020B0604020202020204" pitchFamily="34" charset="0"/>
              <a:ea typeface="+mn-ea"/>
              <a:cs typeface="Arial" panose="020B0604020202020204" pitchFamily="34" charset="0"/>
            </a:rPr>
            <a:t>Der antaget dødelighed på 2,53% på baggrund af SEGES kalkuler.</a:t>
          </a:r>
        </a:p>
        <a:p>
          <a:r>
            <a:rPr lang="da-DK" sz="1200" u="none" baseline="0" noProof="0">
              <a:solidFill>
                <a:schemeClr val="dk1"/>
              </a:solidFill>
              <a:latin typeface="Arial" panose="020B0604020202020204" pitchFamily="34" charset="0"/>
              <a:ea typeface="+mn-ea"/>
              <a:cs typeface="Arial" panose="020B0604020202020204" pitchFamily="34" charset="0"/>
            </a:rPr>
            <a:t>Gennemsnitsvægt fra 15 til 31 kg er (15+31)/2 = 23 kg.</a:t>
          </a:r>
          <a:br>
            <a:rPr lang="da-DK" sz="1200" u="none" baseline="0" noProof="0">
              <a:solidFill>
                <a:schemeClr val="dk1"/>
              </a:solidFill>
              <a:latin typeface="Arial" panose="020B0604020202020204" pitchFamily="34" charset="0"/>
              <a:ea typeface="+mn-ea"/>
              <a:cs typeface="Arial" panose="020B0604020202020204" pitchFamily="34" charset="0"/>
            </a:rPr>
          </a:br>
          <a:br>
            <a:rPr lang="da-DK" sz="1200" u="none" baseline="0" noProof="0">
              <a:solidFill>
                <a:schemeClr val="dk1"/>
              </a:solidFill>
              <a:latin typeface="Arial" panose="020B0604020202020204" pitchFamily="34" charset="0"/>
              <a:ea typeface="+mn-ea"/>
              <a:cs typeface="Arial" panose="020B0604020202020204" pitchFamily="34" charset="0"/>
            </a:rPr>
          </a:br>
          <a:r>
            <a:rPr lang="da-DK" sz="1100" baseline="0">
              <a:solidFill>
                <a:schemeClr val="dk1"/>
              </a:solidFill>
              <a:effectLst/>
              <a:latin typeface="+mn-lt"/>
              <a:ea typeface="+mn-ea"/>
              <a:cs typeface="+mn-cs"/>
            </a:rPr>
            <a:t>Foderblanding er i udgangspunktet lavet efter </a:t>
          </a:r>
          <a:endParaRPr lang="da-DK" sz="1200">
            <a:effectLst/>
          </a:endParaRPr>
        </a:p>
        <a:p>
          <a:r>
            <a:rPr lang="da-DK" sz="1100" baseline="0">
              <a:solidFill>
                <a:schemeClr val="dk1"/>
              </a:solidFill>
              <a:effectLst/>
              <a:latin typeface="+mn-lt"/>
              <a:ea typeface="+mn-ea"/>
              <a:cs typeface="+mn-cs"/>
            </a:rPr>
            <a:t> Klima- og miljøpåvirkningen ved produktion af økologisk grisekød – år 2010 og 2020 side 12.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Fra samme kilde tages at indholdet af protein i rationen er 17,6% og der afviges dermed fra normerne (DCA191).</a:t>
          </a:r>
          <a:endParaRPr lang="da-DK"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200" u="none" baseline="0" noProof="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60C5458D-719A-4CA0-B657-4E12597EA1AC}"/>
            </a:ext>
          </a:extLst>
        </xdr:cNvPr>
        <xdr:cNvSpPr txBox="1"/>
      </xdr:nvSpPr>
      <xdr:spPr>
        <a:xfrm>
          <a:off x="26680160" y="222250"/>
          <a:ext cx="1529397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266700</xdr:rowOff>
    </xdr:to>
    <xdr:sp macro="" textlink="">
      <xdr:nvSpPr>
        <xdr:cNvPr id="3" name="TextBox 2">
          <a:extLst>
            <a:ext uri="{FF2B5EF4-FFF2-40B4-BE49-F238E27FC236}">
              <a16:creationId xmlns:a16="http://schemas.microsoft.com/office/drawing/2014/main" id="{226D1F1F-9BB5-48E2-9E67-20F7C10DE0EF}"/>
            </a:ext>
          </a:extLst>
        </xdr:cNvPr>
        <xdr:cNvSpPr txBox="1"/>
      </xdr:nvSpPr>
      <xdr:spPr>
        <a:xfrm>
          <a:off x="26680160" y="222250"/>
          <a:ext cx="15293975" cy="175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endParaRPr lang="da-DK" sz="1200" u="none" baseline="0" noProof="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a-DK" sz="1200" u="none" baseline="0" noProof="0">
              <a:solidFill>
                <a:schemeClr val="dk1"/>
              </a:solidFill>
              <a:latin typeface="Arial" panose="020B0604020202020204" pitchFamily="34" charset="0"/>
              <a:ea typeface="+mn-ea"/>
              <a:cs typeface="Arial" panose="020B0604020202020204" pitchFamily="34" charset="0"/>
            </a:rPr>
            <a:t>3,4 % dødelighed (Andersen et al 2021), der er antaget samme dødelighed for det økologiske system, hvilket er bakket op af SEGES kalkuler.</a:t>
          </a:r>
        </a:p>
        <a:p>
          <a:br>
            <a:rPr lang="da-DK" sz="1200" u="none" baseline="0" noProof="0">
              <a:solidFill>
                <a:schemeClr val="dk1"/>
              </a:solidFill>
              <a:latin typeface="Arial" panose="020B0604020202020204" pitchFamily="34" charset="0"/>
              <a:ea typeface="+mn-ea"/>
              <a:cs typeface="Arial" panose="020B0604020202020204" pitchFamily="34" charset="0"/>
            </a:rPr>
          </a:br>
          <a:r>
            <a:rPr lang="da-DK" sz="1100" baseline="0">
              <a:solidFill>
                <a:schemeClr val="dk1"/>
              </a:solidFill>
              <a:effectLst/>
              <a:latin typeface="+mn-lt"/>
              <a:ea typeface="+mn-ea"/>
              <a:cs typeface="+mn-cs"/>
            </a:rPr>
            <a:t>Foderblanding er i udgangspunktet lavet efter </a:t>
          </a:r>
          <a:endParaRPr lang="da-DK" sz="1200">
            <a:effectLst/>
          </a:endParaRPr>
        </a:p>
        <a:p>
          <a:r>
            <a:rPr lang="da-DK" sz="1100" baseline="0">
              <a:solidFill>
                <a:schemeClr val="dk1"/>
              </a:solidFill>
              <a:effectLst/>
              <a:latin typeface="+mn-lt"/>
              <a:ea typeface="+mn-ea"/>
              <a:cs typeface="+mn-cs"/>
            </a:rPr>
            <a:t> Klima- og miljøpåvirkningen ved produktion af økologisk grisekød – år 2010 og 2020 side 12.</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Fra samme kilde tages at indholdet af protein i rationen er 17,4% og der afviges dermed fra normerne (DCA191).</a:t>
          </a:r>
          <a:endParaRPr lang="da-DK"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200" u="none" baseline="0" noProof="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EAE273DD-2AEF-4145-9052-5C1DA0FE400C}"/>
            </a:ext>
          </a:extLst>
        </xdr:cNvPr>
        <xdr:cNvSpPr txBox="1"/>
      </xdr:nvSpPr>
      <xdr:spPr>
        <a:xfrm>
          <a:off x="25662890" y="220345"/>
          <a:ext cx="15297785" cy="1484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xdr:txBody>
    </xdr:sp>
    <xdr:clientData/>
  </xdr:twoCellAnchor>
  <xdr:twoCellAnchor>
    <xdr:from>
      <xdr:col>12</xdr:col>
      <xdr:colOff>101600</xdr:colOff>
      <xdr:row>0</xdr:row>
      <xdr:rowOff>222250</xdr:rowOff>
    </xdr:from>
    <xdr:to>
      <xdr:col>25</xdr:col>
      <xdr:colOff>269875</xdr:colOff>
      <xdr:row>8</xdr:row>
      <xdr:rowOff>266700</xdr:rowOff>
    </xdr:to>
    <xdr:sp macro="" textlink="">
      <xdr:nvSpPr>
        <xdr:cNvPr id="3" name="TextBox 2">
          <a:extLst>
            <a:ext uri="{FF2B5EF4-FFF2-40B4-BE49-F238E27FC236}">
              <a16:creationId xmlns:a16="http://schemas.microsoft.com/office/drawing/2014/main" id="{12F2AA91-FDA8-4AB3-BB10-064761DF0151}"/>
            </a:ext>
          </a:extLst>
        </xdr:cNvPr>
        <xdr:cNvSpPr txBox="1"/>
      </xdr:nvSpPr>
      <xdr:spPr>
        <a:xfrm>
          <a:off x="25662890" y="220345"/>
          <a:ext cx="15297785" cy="1751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600" u="sng">
              <a:latin typeface="Arial" panose="020B0604020202020204" pitchFamily="34" charset="0"/>
              <a:cs typeface="Arial" panose="020B0604020202020204" pitchFamily="34" charset="0"/>
            </a:rPr>
            <a:t>Noter</a:t>
          </a:r>
          <a:br>
            <a:rPr lang="da-DK" sz="1600" u="sng">
              <a:latin typeface="Arial" panose="020B0604020202020204" pitchFamily="34" charset="0"/>
              <a:cs typeface="Arial" panose="020B0604020202020204" pitchFamily="34" charset="0"/>
            </a:rPr>
          </a:br>
          <a:endParaRPr lang="da-DK" sz="1200" u="none" baseline="0" noProof="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a-DK" sz="1200" u="none" baseline="0" noProof="0">
              <a:solidFill>
                <a:schemeClr val="dk1"/>
              </a:solidFill>
              <a:latin typeface="Arial" panose="020B0604020202020204" pitchFamily="34" charset="0"/>
              <a:ea typeface="+mn-ea"/>
              <a:cs typeface="Arial" panose="020B0604020202020204" pitchFamily="34" charset="0"/>
            </a:rPr>
            <a:t>Dødt kød er beregnet som 5 kg dødfødte grise og 5 kg døde pattegrise ifølge Kap2_Normtal_for_svin_klar_NETVERSION_2020.pdf, samt 13% døde søer (af 206-113 =93 kg) antaget pba SEGES kalkuler, hvor dødeligheden anført på 0,06 stk pr årsso retteligt nok er 0,13 for at få tallene til at stemme). I alt giver det 22,09 kg/årsso.</a:t>
          </a:r>
          <a:endParaRPr lang="da-DK" sz="1200" u="none" noProof="0">
            <a:solidFill>
              <a:schemeClr val="dk1"/>
            </a:solidFill>
            <a:latin typeface="Arial" panose="020B0604020202020204" pitchFamily="34" charset="0"/>
            <a:ea typeface="+mn-ea"/>
            <a:cs typeface="Arial" panose="020B0604020202020204" pitchFamily="34" charset="0"/>
          </a:endParaRPr>
        </a:p>
        <a:p>
          <a:r>
            <a:rPr lang="da-DK" sz="1200" u="none">
              <a:latin typeface="Arial" panose="020B0604020202020204" pitchFamily="34" charset="0"/>
              <a:cs typeface="Arial" panose="020B0604020202020204" pitchFamily="34" charset="0"/>
            </a:rPr>
            <a:t>De 80 kg levende tilvækst er fra normerne og dækker også polte</a:t>
          </a:r>
          <a:r>
            <a:rPr lang="da-DK" sz="1200" u="none" baseline="0">
              <a:latin typeface="Arial" panose="020B0604020202020204" pitchFamily="34" charset="0"/>
              <a:cs typeface="Arial" panose="020B0604020202020204" pitchFamily="34" charset="0"/>
            </a:rPr>
            <a:t> og orner.</a:t>
          </a:r>
          <a:br>
            <a:rPr lang="da-DK" sz="1200" u="none" baseline="0">
              <a:latin typeface="Arial" panose="020B0604020202020204" pitchFamily="34" charset="0"/>
              <a:cs typeface="Arial" panose="020B0604020202020204" pitchFamily="34" charset="0"/>
            </a:rPr>
          </a:br>
          <a:br>
            <a:rPr lang="da-DK" sz="1200" u="none" baseline="0">
              <a:latin typeface="Arial" panose="020B0604020202020204" pitchFamily="34" charset="0"/>
              <a:cs typeface="Arial" panose="020B0604020202020204" pitchFamily="34" charset="0"/>
            </a:rPr>
          </a:br>
          <a:r>
            <a:rPr lang="da-DK" sz="1200" u="none" baseline="0">
              <a:latin typeface="Arial" panose="020B0604020202020204" pitchFamily="34" charset="0"/>
              <a:cs typeface="Arial" panose="020B0604020202020204" pitchFamily="34" charset="0"/>
            </a:rPr>
            <a:t>Foderblanding er i udgangspunktet lavet efter </a:t>
          </a:r>
        </a:p>
        <a:p>
          <a:r>
            <a:rPr lang="da-DK" sz="1200" u="none" baseline="0">
              <a:latin typeface="Arial" panose="020B0604020202020204" pitchFamily="34" charset="0"/>
              <a:cs typeface="Arial" panose="020B0604020202020204" pitchFamily="34" charset="0"/>
            </a:rPr>
            <a:t> Klima- og miljøpåvirkningen ved produktion af økologisk grisekød – år 2010 og 2020 side 12.</a:t>
          </a:r>
          <a:br>
            <a:rPr lang="da-DK" sz="1200" u="none" baseline="0">
              <a:latin typeface="Arial" panose="020B0604020202020204" pitchFamily="34" charset="0"/>
              <a:cs typeface="Arial" panose="020B0604020202020204" pitchFamily="34" charset="0"/>
            </a:rPr>
          </a:br>
          <a:r>
            <a:rPr lang="da-DK" sz="1200" u="none" baseline="0">
              <a:latin typeface="Arial" panose="020B0604020202020204" pitchFamily="34" charset="0"/>
              <a:cs typeface="Arial" panose="020B0604020202020204" pitchFamily="34" charset="0"/>
            </a:rPr>
            <a:t>Fra samme kilde tages at indholdet af protein i rationen er 13,1% og der afviges dermed fra normerne (DCA191).</a:t>
          </a:r>
          <a:endParaRPr lang="da-DK" sz="1200" u="none">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a:p>
          <a:r>
            <a:rPr lang="da-DK" sz="1100" u="none">
              <a:latin typeface="Arial" panose="020B0604020202020204" pitchFamily="34" charset="0"/>
              <a:cs typeface="Arial" panose="020B0604020202020204" pitchFamily="34" charset="0"/>
            </a:rPr>
            <a:t>100% import af Protein_1, 50-50% import - dansk produceret Protein_2</a:t>
          </a:r>
          <a:r>
            <a:rPr lang="da-DK" sz="1100" u="none" baseline="0">
              <a:latin typeface="Arial" panose="020B0604020202020204" pitchFamily="34" charset="0"/>
              <a:cs typeface="Arial" panose="020B0604020202020204" pitchFamily="34" charset="0"/>
            </a:rPr>
            <a:t> og 50-50% dansk produceret - hjemmeavlet korn.</a:t>
          </a:r>
          <a:endParaRPr lang="da-DK" sz="1100" u="none">
            <a:latin typeface="Arial" panose="020B0604020202020204" pitchFamily="34" charset="0"/>
            <a:cs typeface="Arial" panose="020B0604020202020204" pitchFamily="34" charset="0"/>
          </a:endParaRPr>
        </a:p>
      </xdr:txBody>
    </xdr:sp>
    <xdr:clientData/>
  </xdr:twoCellAnchor>
  <xdr:twoCellAnchor editAs="oneCell">
    <xdr:from>
      <xdr:col>4</xdr:col>
      <xdr:colOff>1925955</xdr:colOff>
      <xdr:row>216</xdr:row>
      <xdr:rowOff>158115</xdr:rowOff>
    </xdr:from>
    <xdr:to>
      <xdr:col>6</xdr:col>
      <xdr:colOff>1971164</xdr:colOff>
      <xdr:row>226</xdr:row>
      <xdr:rowOff>172480</xdr:rowOff>
    </xdr:to>
    <xdr:pic>
      <xdr:nvPicPr>
        <xdr:cNvPr id="4" name="Billed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11003280" y="40201215"/>
          <a:ext cx="4188584" cy="18241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101600</xdr:colOff>
      <xdr:row>0</xdr:row>
      <xdr:rowOff>222250</xdr:rowOff>
    </xdr:from>
    <xdr:to>
      <xdr:col>25</xdr:col>
      <xdr:colOff>269875</xdr:colOff>
      <xdr:row>8</xdr:row>
      <xdr:rowOff>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1256625" y="222250"/>
          <a:ext cx="13179425"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600" u="sng">
              <a:latin typeface="Arial" panose="020B0604020202020204" pitchFamily="34" charset="0"/>
              <a:cs typeface="Arial" panose="020B0604020202020204" pitchFamily="34" charset="0"/>
            </a:rPr>
            <a:t>Noter</a:t>
          </a:r>
        </a:p>
        <a:p>
          <a:r>
            <a:rPr lang="da-DK" sz="1100" u="none">
              <a:latin typeface="Arial" panose="020B0604020202020204" pitchFamily="34" charset="0"/>
              <a:cs typeface="Arial" panose="020B0604020202020204" pitchFamily="34" charset="0"/>
            </a:rPr>
            <a:t>100% import af Protein_1, 50-50% import - dansk produceret Protein_2</a:t>
          </a:r>
          <a:r>
            <a:rPr lang="da-DK" sz="1100" u="none" baseline="0">
              <a:latin typeface="Arial" panose="020B0604020202020204" pitchFamily="34" charset="0"/>
              <a:cs typeface="Arial" panose="020B0604020202020204" pitchFamily="34" charset="0"/>
            </a:rPr>
            <a:t> og 50-50% dansk produceret - hjemmeavlet korn.</a:t>
          </a:r>
        </a:p>
        <a:p>
          <a:endParaRPr lang="da-DK" sz="1100" u="none" baseline="0">
            <a:latin typeface="Arial" panose="020B0604020202020204" pitchFamily="34" charset="0"/>
            <a:cs typeface="Arial" panose="020B0604020202020204" pitchFamily="34" charset="0"/>
          </a:endParaRPr>
        </a:p>
        <a:p>
          <a:r>
            <a:rPr lang="da-DK" sz="1100" u="none" baseline="0">
              <a:latin typeface="Arial" panose="020B0604020202020204" pitchFamily="34" charset="0"/>
              <a:cs typeface="Arial" panose="020B0604020202020204" pitchFamily="34" charset="0"/>
            </a:rPr>
            <a:t>Vægten anslås til at være 615 kg (norm) - 40 kg kalv og 32 kg andet der skyldes drægtighed (80% af kalvens vægt), hvilket giver udgangsvægt for kvien i sig selv på 543 kg, hvoraf de 40 kg er importeret som kalv, så tilvæksten er 503 kg. Tilvæksten i denne periode er derfor 128 til 503 = 375 kg (middelværdi på 187,5 + 128 = 315,5 kg).</a:t>
          </a:r>
        </a:p>
        <a:p>
          <a:r>
            <a:rPr lang="da-DK" sz="1100" u="none" baseline="0">
              <a:latin typeface="Arial" panose="020B0604020202020204" pitchFamily="34" charset="0"/>
              <a:cs typeface="Arial" panose="020B0604020202020204" pitchFamily="34" charset="0"/>
            </a:rPr>
            <a:t>Der regnes med 6,8 % dødelighed, hvoraf 5,6% er indefor de første 6 mdr. 10% af de overlevende slagtes.</a:t>
          </a:r>
          <a:br>
            <a:rPr lang="da-DK" sz="1100" u="none" baseline="0">
              <a:latin typeface="Arial" panose="020B0604020202020204" pitchFamily="34" charset="0"/>
              <a:cs typeface="Arial" panose="020B0604020202020204" pitchFamily="34" charset="0"/>
            </a:rPr>
          </a:br>
          <a:r>
            <a:rPr lang="da-DK" sz="1100" u="none" baseline="0">
              <a:latin typeface="Arial" panose="020B0604020202020204" pitchFamily="34" charset="0"/>
              <a:cs typeface="Arial" panose="020B0604020202020204" pitchFamily="34" charset="0"/>
            </a:rPr>
            <a:t>Normerne angiver at kalve 0-6 mdr. er i intervallet 40-168 kg, dvs. 128 kg tilvækst (middelværdi på 64 kg). </a:t>
          </a:r>
          <a:endParaRPr lang="da-DK" sz="1100" u="none">
            <a:latin typeface="Arial" panose="020B0604020202020204" pitchFamily="34" charset="0"/>
            <a:cs typeface="Arial" panose="020B0604020202020204" pitchFamily="34" charset="0"/>
          </a:endParaRPr>
        </a:p>
      </xdr:txBody>
    </xdr:sp>
    <xdr:clientData/>
  </xdr:twoCellAnchor>
  <xdr:twoCellAnchor editAs="oneCell">
    <xdr:from>
      <xdr:col>4</xdr:col>
      <xdr:colOff>1209675</xdr:colOff>
      <xdr:row>217</xdr:row>
      <xdr:rowOff>123825</xdr:rowOff>
    </xdr:from>
    <xdr:to>
      <xdr:col>6</xdr:col>
      <xdr:colOff>58125</xdr:colOff>
      <xdr:row>225</xdr:row>
      <xdr:rowOff>56886</xdr:rowOff>
    </xdr:to>
    <xdr:pic>
      <xdr:nvPicPr>
        <xdr:cNvPr id="5" name="Billed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10020300" y="42195750"/>
          <a:ext cx="2873715" cy="1466586"/>
        </a:xfrm>
        <a:prstGeom prst="rect">
          <a:avLst/>
        </a:prstGeom>
      </xdr:spPr>
    </xdr:pic>
    <xdr:clientData/>
  </xdr:twoCellAnchor>
  <xdr:twoCellAnchor editAs="oneCell">
    <xdr:from>
      <xdr:col>7</xdr:col>
      <xdr:colOff>0</xdr:colOff>
      <xdr:row>217</xdr:row>
      <xdr:rowOff>0</xdr:rowOff>
    </xdr:from>
    <xdr:to>
      <xdr:col>9</xdr:col>
      <xdr:colOff>113789</xdr:colOff>
      <xdr:row>227</xdr:row>
      <xdr:rowOff>22620</xdr:rowOff>
    </xdr:to>
    <xdr:pic>
      <xdr:nvPicPr>
        <xdr:cNvPr id="6" name="Billed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4830425" y="42071925"/>
          <a:ext cx="4085714" cy="192381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0-21T06:17:34.07" personId="{00000000-0000-0000-0000-000000000000}" id="{52E47FDE-1EEB-4D8A-AD57-7842028C01AA}">
    <text>In this entry, the livestock species age class required as input (the previous age class) is selected.</text>
  </threadedComment>
  <threadedComment ref="D6" dT="2024-10-21T06:13:59.73" personId="{00000000-0000-0000-0000-000000000000}" id="{C1EEFB40-50DB-4C96-82FE-788D1A204E5B}">
    <text>This entry enables the model to provide information on the total amount of the above livestock species and age class, which is needed to support the production of the livestock defined by this index card.</text>
  </threadedComment>
  <threadedComment ref="H22" dT="2024-10-21T06:21:13.49" personId="{00000000-0000-0000-0000-000000000000}" id="{3E6C1F9F-34FB-4090-93CF-D9D33B6C5952}">
    <text>This means the biomass pool input to the converted feed product, for instance maize is input for maize silage.</text>
  </threadedComment>
  <threadedComment ref="K33" dT="2024-10-21T06:52:32.93" personId="{00000000-0000-0000-0000-000000000000}" id="{F24DC046-A867-42A7-9433-36C67E68ED7C}">
    <text>This table includes the information needed for the dead proportion of the livestock species defined in this index card. When a animal dies, also the weight of the previous live stage is dead, and that is the purpose of this information.</text>
  </threadedComment>
  <threadedComment ref="D68" dT="2024-10-21T06:35:36.02" personId="{00000000-0000-0000-0000-000000000000}" id="{84BCDBF6-65F6-4241-84CB-FDBF0C8E215E}">
    <text>Truck larger than 20 tons</text>
  </threadedComment>
  <threadedComment ref="D69" dT="2024-10-21T06:35:42.92" personId="{00000000-0000-0000-0000-000000000000}" id="{20AB13C4-3011-4008-9041-55F701EED6B2}">
    <text>Truck larger than 20 tons</text>
  </threadedComment>
  <threadedComment ref="D71" dT="2024-10-21T06:36:07.12" personId="{00000000-0000-0000-0000-000000000000}" id="{42E8275A-B5D8-43F2-BC78-714EBD2FEEE8}">
    <text>Truck between 10 and 20 tons</text>
  </threadedComment>
  <threadedComment ref="D72" dT="2024-10-21T06:36:31.84" personId="{00000000-0000-0000-0000-000000000000}" id="{2FB8C425-6524-4791-BC92-E575DCC61DD8}">
    <text>Tractor transport</text>
  </threadedComment>
  <threadedComment ref="D73" dT="2024-10-21T06:35:48.46" personId="{00000000-0000-0000-0000-000000000000}" id="{512D198A-930D-494C-9E24-D4BBD5EBD870}">
    <text>Truck larger than 20 tons</text>
  </threadedComment>
  <threadedComment ref="C84" dT="2024-10-21T06:36:47.59" personId="{00000000-0000-0000-0000-000000000000}" id="{9413502E-339F-4C3B-AAF3-858CB0C4D600}">
    <text>Grain drying</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0-21T08:15:56.16" personId="{00000000-0000-0000-0000-000000000000}" id="{B60EBEAF-EDCC-44B1-8021-027FAB969793}">
    <text>For definitions of manure products, see Table 33 (Processed products without a fixed difinition (content)).</text>
  </threadedComment>
  <threadedComment ref="J3" dT="2024-10-21T08:16:06.53" personId="{00000000-0000-0000-0000-000000000000}" id="{2CB75C4F-851B-4C8C-ABB0-4EBF3E5E2B01}">
    <text>For definitions of manure products, see Table 33 (Processed products without a fixed difinition (content)).</text>
  </threadedComment>
  <threadedComment ref="A4" dT="2024-10-21T08:17:10.91" personId="{00000000-0000-0000-0000-000000000000}" id="{0A769790-EE85-4100-885D-1FD4DCE25FCD}">
    <text xml:space="preserve">Cattle stable, where the cattle are tied and produce the manure types of solid manure and urine </text>
  </threadedComment>
  <threadedComment ref="A5" dT="2024-10-21T08:17:45.85" personId="{00000000-0000-0000-0000-000000000000}" id="{BB8DB62C-A809-432F-8CF7-60D0F1DEDEFB}">
    <text>Cattle stable, where the cattle are tied and produce the manure type of slurry</text>
  </threadedComment>
  <threadedComment ref="A6" dT="2024-10-21T08:19:19.14" personId="{00000000-0000-0000-0000-000000000000}" id="{74C8D05A-6F96-4D4C-A035-2ACE06F7083D}">
    <text>Cattle stable, with cubicles and solid floor, where the cattle produce the manure type of slurry</text>
  </threadedComment>
  <threadedComment ref="A7" dT="2024-10-21T08:21:34.26" personId="{00000000-0000-0000-0000-000000000000}" id="{DFCBA846-2B91-4663-990E-DCCB4B83C326}">
    <text>Cattle stable with cubicles and slatted floor (channel, line winch), where the cattle produce the manure type of slurry.</text>
  </threadedComment>
  <threadedComment ref="A8" dT="2024-10-21T08:22:16.38" personId="{00000000-0000-0000-0000-000000000000}" id="{FF8698ED-B43B-4312-96A6-A77D7F253FF1}">
    <text>Cattle stable with cubicles and slatted floor (channel, backwash or ring channel), where the cattle produce the manure type of slurry.</text>
  </threadedComment>
  <threadedComment ref="A9" dT="2024-10-21T08:22:58.51" personId="{00000000-0000-0000-0000-000000000000}" id="{A07B9B15-20A1-43ED-A476-21DBE7FB6243}">
    <text>Cattle stable with cubicles and drained solid floor, where the cattle produce the manure type of slurry.</text>
  </threadedComment>
  <threadedComment ref="A10" dT="2024-10-21T08:26:02.43" personId="{00000000-0000-0000-0000-000000000000}" id="{F4F207E9-EDD8-4B11-A3F2-4536D26D42D7}">
    <text>Cattle stable with full area deep litter, where the cattle produce the manure type of deep litter.</text>
  </threadedComment>
  <threadedComment ref="A11" dT="2024-10-21T08:27:19.68" personId="{00000000-0000-0000-0000-000000000000}" id="{43CF03E9-0C66-45EF-A5D2-4888BF3BB7F0}">
    <text>Cattle stable with deep litter and solid floor, where the cattle produce the manure types of deep litter and slurry.</text>
  </threadedComment>
  <threadedComment ref="A12" dT="2024-10-21T08:28:44.22" personId="{00000000-0000-0000-0000-000000000000}" id="{6F994D13-456A-46E7-B132-B31CCC4D519E}">
    <text>Cattle stable with deep litter and slatted floor (channel, line winch), where the cattle produce the manure types of deep litter and slurry.</text>
  </threadedComment>
  <threadedComment ref="A13" dT="2024-10-21T08:29:27.04" personId="{00000000-0000-0000-0000-000000000000}" id="{8CCD0343-36EF-4085-9061-32357B7F159F}">
    <text>Cattle stable with deep litter and slatted floor (channel, backwash or ring channel), where the cattle produce the manure types of deep litter and slurry.</text>
  </threadedComment>
  <threadedComment ref="A14" dT="2024-10-21T08:30:08.49" personId="{00000000-0000-0000-0000-000000000000}" id="{BBA7795B-94BB-4015-9DE3-3C28EA041B83}">
    <text>Cattle stable with deep litter and drained solid floor, where the cattle produce the manure types of deep litter and slurry.</text>
  </threadedComment>
  <threadedComment ref="A15" dT="2024-10-21T08:30:32.54" personId="{00000000-0000-0000-0000-000000000000}" id="{FF0153F5-72E3-4A79-8F33-B33DED6375E3}">
    <text>Grazing, the cattle are outside.</text>
  </threadedComment>
  <threadedComment ref="A16" dT="2024-10-21T08:37:15.73" personId="{00000000-0000-0000-0000-000000000000}" id="{57925C9B-1EEC-4D39-BA52-316F36D36B59}">
    <text xml:space="preserve">A stable for sows during mating and gestation, with individual housing and partly slatted floor, and where the sows produce the manure type of slurry.
</text>
  </threadedComment>
  <threadedComment ref="A17" dT="2024-10-21T08:37:31.34" personId="{00000000-0000-0000-0000-000000000000}" id="{54A0D5F1-1BDF-4BA6-9BC8-9573FA072F55}">
    <text>A stable for sows during mating and gestation, with individual housing and solid floor, and where the sows produce the manure type of solid manure and urine.</text>
  </threadedComment>
  <threadedComment ref="A18" dT="2024-10-21T08:38:31.04" personId="{00000000-0000-0000-0000-000000000000}" id="{EB47D635-F467-4A77-B3D1-24FB9917401E}">
    <text>A stable for sows during mating and gestation, with deep litter and slatted floor, and where the sows produce the manure types of deep litter and slurry.</text>
  </threadedComment>
  <threadedComment ref="A19" dT="2024-10-21T08:39:45.58" personId="{00000000-0000-0000-0000-000000000000}" id="{B1E3313A-3DE9-4A87-A394-BCE44E8ED577}">
    <text>A stable for sows during mating and gestation, with deep litter and solid floor, and where the sows produce the manure types of deep litter and slurry.</text>
  </threadedComment>
  <threadedComment ref="A20" dT="2024-10-21T08:40:28.21" personId="{00000000-0000-0000-0000-000000000000}" id="{7FA64C8D-4AE5-417E-A657-92AD06E4E813}">
    <text>A stable for sows during mating and gestation, with deep litter, where the sows produce the manure type of deep litter.</text>
  </threadedComment>
  <threadedComment ref="A21" dT="2024-10-21T08:41:31.94" personId="{00000000-0000-0000-0000-000000000000}" id="{212ED4B2-DDBD-46BA-AA32-8FB428E39993}">
    <text>A stable for sows during mating and gestation, with partly slatted floor, and where the sows produce the manure type of slurry.</text>
  </threadedComment>
  <threadedComment ref="A22" dT="2024-10-21T08:42:52.16" personId="{00000000-0000-0000-0000-000000000000}" id="{168E4490-8176-450B-8FF9-D1CB5ECA4391}">
    <text>A stable with farrowing pens for sows, with partly slatted floor, and where the sows produce the manure type of slurry.</text>
  </threadedComment>
  <threadedComment ref="A23" dT="2024-10-21T08:43:02.99" personId="{00000000-0000-0000-0000-000000000000}" id="{FFEA3EC6-4722-485D-9187-5DF950127D56}">
    <text>A stable with farrowing pens for sows, with  slatted floor, and where the sows produce the manure type of slurry.</text>
  </threadedComment>
  <threadedComment ref="A24" dT="2024-10-21T08:43:41.12" personId="{00000000-0000-0000-0000-000000000000}" id="{5C985B65-0C52-43E6-A45B-5DFB872A0FDF}">
    <text>Sows outside in a farrowing fen.</text>
  </threadedComment>
  <threadedComment ref="A25" dT="2024-10-21T08:45:05.28" personId="{00000000-0000-0000-0000-000000000000}" id="{335151C9-EF78-4A4C-8ACD-28BB585EE3A5}">
    <text>A stable for slaughter pigs with partly slatted floor, and where the pigs produce the manure type of slurry.</text>
  </threadedComment>
  <threadedComment ref="A26" dT="2024-10-21T08:45:10.11" personId="{00000000-0000-0000-0000-000000000000}" id="{C8DDF3EB-E08E-45AA-A3AC-628184DD802B}">
    <text>A stable for slaughter pigs with partly slatted floor, and where the pigs produce the manure type of slurry.</text>
  </threadedComment>
  <threadedComment ref="A27" dT="2024-10-21T08:45:30.66" personId="{00000000-0000-0000-0000-000000000000}" id="{4EA8918D-1F7A-4AAA-A4B2-CFEC6DC57DA7}">
    <text>A stable for slaughter pigs with partly slatted floor, and where the pigs produce the manure type of slurry.</text>
  </threadedComment>
  <threadedComment ref="A28" dT="2024-10-21T08:45:57.02" personId="{00000000-0000-0000-0000-000000000000}" id="{14CCE9B2-1FAB-4101-A650-46870142FDA8}">
    <text>A stable for slaughter pigs with deep litter, and where the pigs produce the manure type of deep litter.</text>
  </threadedComment>
  <threadedComment ref="A29" dT="2024-10-21T08:46:49.90" personId="{00000000-0000-0000-0000-000000000000}" id="{3A661C6B-67A4-496D-B68F-88C58C051C5B}">
    <text>Duo climate stable for piglets, with slatted floor, and where the piglets produce the manure type of slurry.</text>
  </threadedComment>
  <threadedComment ref="A30" dT="2024-10-21T08:47:17.75" personId="{00000000-0000-0000-0000-000000000000}" id="{9190BDF8-7C25-4E70-99CB-3977DD01E028}">
    <text>Duo climate stable for piglets, with drained and slatted floor, and where the piglets produce the manure type of slurry.</text>
  </threadedComment>
  <threadedComment ref="A31" dT="2024-10-21T08:47:54.09" personId="{00000000-0000-0000-0000-000000000000}" id="{7868A6D1-53DB-4668-8332-F23618CA05D8}">
    <text>Deep litter stable for piglets, where the piglets produce the manure type of deep litter.</text>
  </threadedComment>
  <threadedComment ref="A32" dT="2024-10-21T08:50:16.81" personId="{00000000-0000-0000-0000-000000000000}" id="{F80AC1C6-7810-49F8-BEBD-1C43366B1883}">
    <text xml:space="preserve">Stable for organic cattle, where the cattle are tied and produce the manure types of solid manure and urine </text>
  </threadedComment>
  <threadedComment ref="A33" dT="2024-10-21T08:50:40.55" personId="{00000000-0000-0000-0000-000000000000}" id="{E64AC16E-9BE2-4D67-9EE7-EDB97DF4F9B4}">
    <text>Stable for organic cattle, where the cattle are tied and produce the manure type of slurry</text>
  </threadedComment>
  <threadedComment ref="A34" dT="2024-10-21T08:51:18.74" personId="{00000000-0000-0000-0000-000000000000}" id="{F45AA29B-AD50-4EC2-8E1C-F00BA864B8B1}">
    <text>Stable for organic cattle, with cubicles and solid floor, where the catlle produce the manure type of slurry</text>
  </threadedComment>
  <threadedComment ref="A35" dT="2024-10-21T08:51:50.04" personId="{00000000-0000-0000-0000-000000000000}" id="{05EF4D54-05B7-4B6C-B170-1C49A33CAA86}">
    <text>Stable for organic cattle with cubicles and slatted floor (channel, line winch), where the cattle produce the manure type of slurry.</text>
  </threadedComment>
  <threadedComment ref="A36" dT="2024-10-21T08:52:13.39" personId="{00000000-0000-0000-0000-000000000000}" id="{51F7BD60-60BE-46D1-A67B-33723A7A7B84}">
    <text>Stable for organic cattle with cubicles and slatted floor (channel, backwash or ring channel), where the cattle produce the manure type of slurry.</text>
  </threadedComment>
  <threadedComment ref="A37" dT="2024-10-21T08:52:36.93" personId="{00000000-0000-0000-0000-000000000000}" id="{359C6D14-72B0-4341-8815-221E6FE57CD8}">
    <text>Stable for organic cattle with cubicles and drained solid floor, where the cattle produce the manure type of slurry.</text>
  </threadedComment>
  <threadedComment ref="A38" dT="2024-10-21T10:46:08.08" personId="{00000000-0000-0000-0000-000000000000}" id="{E15FCAEB-4333-4821-AF11-95825C27E8A0}">
    <text>Stable for organic cattle with full area deep litter, where the cattle produce the manure type of deep litter.</text>
  </threadedComment>
  <threadedComment ref="A39" dT="2024-10-21T10:46:50.02" personId="{00000000-0000-0000-0000-000000000000}" id="{C9FE3D46-C70A-4161-A324-2C48736CE465}">
    <text>Stable for organic cattle with deep litter and solid floor, where the cattle produce the manure types of deep litter and slurry.</text>
  </threadedComment>
  <threadedComment ref="A40" dT="2024-10-21T10:47:17.66" personId="{00000000-0000-0000-0000-000000000000}" id="{8CC2F684-C748-437F-9A47-1F910133636C}">
    <text>Stable for organic cattle with deep litter and slatted floor (channel, line winch), where the cattle produce the manure types of deep litter and slurry.</text>
  </threadedComment>
  <threadedComment ref="A41" dT="2024-10-21T10:47:47.01" personId="{00000000-0000-0000-0000-000000000000}" id="{AF6C6DC1-46A5-4271-BE39-E1461D6EDC49}">
    <text>Stable for organic cattle with deep litter and slatted floor (channel, backwash or ring channel), where the cattle produce the manure types of deep litter and slurry.</text>
  </threadedComment>
  <threadedComment ref="A42" dT="2024-10-21T10:48:10.72" personId="{00000000-0000-0000-0000-000000000000}" id="{89C2D5D2-0DFB-4B7E-86B6-1E2D33E39CDF}">
    <text>Stable for organic cattle with deep litter and drained solid floor, where the cattle produce the manure types of deep litter and slurry.</text>
  </threadedComment>
  <threadedComment ref="A44" dT="2024-10-21T10:48:40.25" personId="{00000000-0000-0000-0000-000000000000}" id="{86245989-7191-4006-BC78-6D4227584FF9}">
    <text xml:space="preserve">Stable for heifers, where the cattle are tied and produce the manure types of solid manure and urine </text>
  </threadedComment>
  <threadedComment ref="A45" dT="2024-10-21T10:49:06.18" personId="{00000000-0000-0000-0000-000000000000}" id="{D92A8561-C8B7-47DC-816A-82BE93207852}">
    <text>Stable for heifers, where the cattle are tied and produce the manure type of slurry</text>
  </threadedComment>
  <threadedComment ref="A46" dT="2024-10-21T10:49:29.38" personId="{00000000-0000-0000-0000-000000000000}" id="{D140D44D-C43F-4D0A-9617-5372E960BECF}">
    <text>Stable for heifers, with cubicles and solid floor, where the cattle produce the manure type of slurry</text>
  </threadedComment>
  <threadedComment ref="A47" dT="2024-10-21T10:50:12.56" personId="{00000000-0000-0000-0000-000000000000}" id="{B709B115-149F-472E-B031-A50C02E4E575}">
    <text>Stable for heifers with cubicles and slatted floor (channel, backwash or ring channel), where the cattle produce the manure type of slurry.</text>
  </threadedComment>
  <threadedComment ref="A48" dT="2024-10-21T10:50:36.42" personId="{00000000-0000-0000-0000-000000000000}" id="{DD39B12A-5E41-44D8-8E4E-26998BDC1862}">
    <text>Stable for heifers with cubicles and slatted floor (channel, backwash or ring channel), where the cattle produce the manure type of slurry.</text>
  </threadedComment>
  <threadedComment ref="A49" dT="2024-10-21T10:51:00.80" personId="{00000000-0000-0000-0000-000000000000}" id="{088EC4D7-4D14-485F-AE41-EBE973E89B63}">
    <text>Stable for heifers with cubicles and drained solid floor, where the cattle produce the manure type of slurry.</text>
  </threadedComment>
  <threadedComment ref="A50" dT="2024-10-21T10:51:34.85" personId="{00000000-0000-0000-0000-000000000000}" id="{FC4C47CE-E8AA-4F10-9782-FE39AB750649}">
    <text>Stable for heifers with full area deep litter, where the cattle produce the manure type of deep litter.</text>
  </threadedComment>
  <threadedComment ref="A51" dT="2024-10-21T10:52:18.89" personId="{00000000-0000-0000-0000-000000000000}" id="{2401878E-514C-4615-B20D-16126422AE5C}">
    <text>Stable for heifers with deep litter and solid floor, where the cattle produce the manure types of deep litter and slurry.</text>
  </threadedComment>
  <threadedComment ref="A52" dT="2024-10-21T10:52:27.38" personId="{00000000-0000-0000-0000-000000000000}" id="{8E6E3CBD-4784-409C-97DB-BD5B66B183D4}">
    <text>Stable for heifers with deep litter and solid floor, where the cattle produce the manure types of deep litter and slurry.</text>
  </threadedComment>
  <threadedComment ref="A53" dT="2024-10-21T10:52:56.56" personId="{00000000-0000-0000-0000-000000000000}" id="{531B0BDE-1C1A-41D0-8BA9-43626A620267}">
    <text>Stable for heifers with deep litter and slatted floor (channel, line winch), where the cattle produce the manure types of deep litter and slurry.</text>
  </threadedComment>
  <threadedComment ref="A54" dT="2024-10-21T10:53:33.85" personId="{00000000-0000-0000-0000-000000000000}" id="{76A150A5-452D-40E0-AD73-887E25ECC476}">
    <text>Stable for heifers with deep litter and slatted floor (channel, backwash or ring channel), where the cattle produce the manure types of deep litter and slurry.</text>
  </threadedComment>
  <threadedComment ref="A55" dT="2024-10-21T10:54:41.42" personId="{00000000-0000-0000-0000-000000000000}" id="{7A5BAB70-1CDC-4825-A29A-6EAEA7C741AD}">
    <text>Stable for heifers in a stable with fully slatted floor.</text>
  </threadedComment>
  <threadedComment ref="A56" dT="2024-10-21T10:55:08.54" personId="{00000000-0000-0000-0000-000000000000}" id="{CD459158-B7FE-4B01-A951-0F3FF6AD4923}">
    <text xml:space="preserve">Stable for organic heifers, where the catlle are tied and produce the manure types of solid manure and urine </text>
  </threadedComment>
  <threadedComment ref="A57" dT="2024-10-21T10:55:28.21" personId="{00000000-0000-0000-0000-000000000000}" id="{004379F3-8771-4F48-9BBC-A73195E6E954}">
    <text>Stable for organic heifers, where the catlle are tied and produce the manure type of slurry</text>
  </threadedComment>
  <threadedComment ref="A58" dT="2024-10-21T10:55:56.10" personId="{00000000-0000-0000-0000-000000000000}" id="{37EDB4E5-4C44-40AB-B81C-B8B5FED8990D}">
    <text>Stable for organic heifers, with cubicles and solid floor, where the cattle produce the manure type of slurry</text>
  </threadedComment>
  <threadedComment ref="A59" dT="2024-10-21T13:14:58.11" personId="{00000000-0000-0000-0000-000000000000}" id="{8B5F515D-DA85-473F-834B-5D60FD368577}">
    <text>Stable for organic heifers with cubicles and slatted floor (channel, backwash or ring channel), where the cattle produce the manure type of slurry.</text>
  </threadedComment>
  <threadedComment ref="A60" dT="2024-10-21T13:15:26.48" personId="{00000000-0000-0000-0000-000000000000}" id="{C0E3CCB3-A912-4675-AEDC-B75826CC2F0A}">
    <text>Stable for organic heifers with cubicles and slatted floor (channel, backwash or ring channel), where the cattle produce the manure type of slurry.</text>
  </threadedComment>
  <threadedComment ref="A61" dT="2024-10-21T13:15:52.50" personId="{00000000-0000-0000-0000-000000000000}" id="{E2A0B92F-B02F-44BF-9398-4DCEC48644B2}">
    <text>Stable for organic heifers with cubicles and drained solid floor, where the cattle produce the manure type of slurry.</text>
  </threadedComment>
  <threadedComment ref="A62" dT="2024-10-21T13:16:18.28" personId="{00000000-0000-0000-0000-000000000000}" id="{9980606D-7524-42A2-9D62-59FE87727410}">
    <text>Stable for organic heifers with full area deep litter, where the cattle produce the manure type of deep litter.</text>
  </threadedComment>
  <threadedComment ref="A63" dT="2024-10-21T13:16:42.22" personId="{00000000-0000-0000-0000-000000000000}" id="{69C484F4-088B-4AC2-8218-9308447AB596}">
    <text>Stable for organic heifers with deep litter and solid floor, where the cattle produce the manure types of deep litter and slurry.</text>
  </threadedComment>
  <threadedComment ref="A64" dT="2024-10-21T13:17:13.15" personId="{00000000-0000-0000-0000-000000000000}" id="{ACBFB6A4-4ECB-4545-A71E-D69B9F7F7155}">
    <text>Stable for organic heifers with deep litter and solid floor, where the cattle produce the manure types of deep litter and slurry.</text>
  </threadedComment>
  <threadedComment ref="A65" dT="2024-10-21T13:17:36.07" personId="{00000000-0000-0000-0000-000000000000}" id="{B3E85673-F4B1-4814-AF42-A2CEA30CD825}">
    <text>Stable for organic heifers with deep litter and slatted floor (channel, line winch), where the cattle produce the manure types of deep litter and slurry.</text>
  </threadedComment>
  <threadedComment ref="A66" dT="2024-10-21T13:30:48.67" personId="{00000000-0000-0000-0000-000000000000}" id="{90E0816D-74AE-49D0-85B8-15E1F2F59E73}">
    <text>Stable for organic heifers with deep litter and slatted floor (channel, backwash or ring channel), where the cattle produce the manure types of deep litter and slurry.</text>
  </threadedComment>
  <threadedComment ref="A67" dT="2024-10-21T13:31:17.28" personId="{00000000-0000-0000-0000-000000000000}" id="{93298F12-7D1E-4B07-A448-611059892D89}">
    <text>Stable for organic heifers in a stable with fully slatted floor.</text>
  </threadedComment>
  <threadedComment ref="A68" dT="2024-10-21T13:32:02.07" personId="{00000000-0000-0000-0000-000000000000}" id="{15F7200B-7A97-4DA6-9197-57C8FC885360}">
    <text xml:space="preserve">Stable for bulls, where the cattle are tied and produce the manure types of solid manure and urine </text>
  </threadedComment>
  <threadedComment ref="A69" dT="2024-10-21T13:33:07.50" personId="{00000000-0000-0000-0000-000000000000}" id="{721542CE-4A36-4018-BDDB-E6F291AAC940}">
    <text>Stable for bulls, where the cattle are tied and produce the manure type of slurry</text>
  </threadedComment>
  <threadedComment ref="A70" dT="2024-10-21T13:33:49.54" personId="{00000000-0000-0000-0000-000000000000}" id="{180158D2-BD35-4E22-A2D9-7FF154C866E7}">
    <text>Stable for bulls with full area deep litter, where the cattle produce the manure type of deep litter.</text>
  </threadedComment>
  <threadedComment ref="A71" dT="2024-10-21T13:34:20.52" personId="{00000000-0000-0000-0000-000000000000}" id="{D3316A5A-73D6-4E96-8C2F-CC76A02D09C2}">
    <text>Stable for bulls with deep litter and solid floor, where the cattle produce the manure types of deep litter and slurry.</text>
  </threadedComment>
  <threadedComment ref="A72" dT="2024-10-21T13:34:42.07" personId="{00000000-0000-0000-0000-000000000000}" id="{C4777BEA-EFF1-4B8A-8F1C-59BB931A0CAC}">
    <text>Stable for bulls with deep litter and solid floor, where the cattle produce the manure types of deep litter and slurry.</text>
  </threadedComment>
  <threadedComment ref="A73" dT="2024-10-21T13:35:08.16" personId="{00000000-0000-0000-0000-000000000000}" id="{16B48899-AB9A-4E57-BCF3-AE6AA77EC944}">
    <text>Stable for bulls with deep litter and slatted floor (channel, line winch), where the cattle produce the manure types of deep litter and slurry.</text>
  </threadedComment>
  <threadedComment ref="A74" dT="2024-10-21T13:35:36.44" personId="{00000000-0000-0000-0000-000000000000}" id="{3C9A37E7-EBC4-49D2-BD43-BA7741559BBB}">
    <text>Stable for bulls with deep litter and slatted floor (channel, backwash or ring channel), where the cattle produce the manure types of deep litter and slurry.</text>
  </threadedComment>
  <threadedComment ref="A75" dT="2024-10-21T13:35:56.70" personId="{00000000-0000-0000-0000-000000000000}" id="{9A255EC4-896A-4E41-8E96-7B02007927F7}">
    <text>Stable for bulls in a stable with fully slatted floor.</text>
  </threadedComment>
  <threadedComment ref="A76" dT="2024-10-21T13:36:40.56" personId="{00000000-0000-0000-0000-000000000000}" id="{C714C49F-77EF-42A1-8F1C-3C98C7425962}">
    <text>Stable for bulls, with cubicles and solid floor, where the cattle produce the manure type of slurry</text>
  </threadedComment>
  <threadedComment ref="A77" dT="2024-10-21T13:37:12.93" personId="{00000000-0000-0000-0000-000000000000}" id="{A631B509-EEC3-4D5D-8BA7-C467B210AD92}">
    <text>Stable for bulls with cubicles and slatted floor (channel, backwash or ring channel), where the cattle produce the manure type of slurry.</text>
  </threadedComment>
  <threadedComment ref="A78" dT="2024-10-21T13:37:54.11" personId="{00000000-0000-0000-0000-000000000000}" id="{FFC76F75-5CC7-4221-B983-F6F46A591D2C}">
    <text>Stable for bulls with deep litter and slatted floor (channel, backwash or ring channel), where the cattle produce the manure types of deep litter and slurry.</text>
  </threadedComment>
  <threadedComment ref="A79" dT="2024-10-21T13:38:33.13" personId="{00000000-0000-0000-0000-000000000000}" id="{A7317C9E-C7D2-4177-B8C8-812BAB0738C4}">
    <text>Stable for bulls with cubicles and drained solid floor, where the cattle produce the manure type of slurry.</text>
  </threadedComment>
  <threadedComment ref="A80" dT="2024-10-21T13:49:20.49" personId="{00000000-0000-0000-0000-000000000000}" id="{A0A022F6-3CED-410B-BB23-CDDF62B938AD}">
    <text>Stable for organic bulls with full area deep litter, where the cattle produce the manure type of deep litter.</text>
  </threadedComment>
  <threadedComment ref="A81" dT="2024-10-21T13:52:34.85" personId="{00000000-0000-0000-0000-000000000000}" id="{BAA81C7C-C554-4F01-9B75-376FC67521E0}">
    <text>Stable for organic bulls with deep litter and solid floor, where the cattle produce the manure types of deep litter and slurry.</text>
  </threadedComment>
  <threadedComment ref="A82" dT="2024-10-21T13:53:07.15" personId="{00000000-0000-0000-0000-000000000000}" id="{BF6EC29E-CC56-4082-836C-2DBA6738E34C}">
    <text>Stable for organic bulls with deep litter and solid floor, where the cattle produce the manure types of deep litter and slurry.</text>
  </threadedComment>
  <threadedComment ref="A83" dT="2024-10-21T13:53:26.80" personId="{00000000-0000-0000-0000-000000000000}" id="{4A8362BF-2F00-434A-A5A8-72E4E910A595}">
    <text>Stable for organic bulls with deep litter and slatted floor (channel, line winch), where the cattle produce the manure types of deep litter and slurry.</text>
  </threadedComment>
  <threadedComment ref="A84" dT="2024-10-21T13:53:51.50" personId="{00000000-0000-0000-0000-000000000000}" id="{6F854CA8-A4F1-4683-B735-52EB254042F3}">
    <text>Stable for organic bulls with deep litter and slatted floor (channel, backwash or ring channel), where the cattle produce the manure types of deep litter and slurry.</text>
  </threadedComment>
  <threadedComment ref="A85" dT="2024-10-21T13:54:42.69" personId="{00000000-0000-0000-0000-000000000000}" id="{58A78AEE-4B78-46D9-98EA-399DCE3716D7}">
    <text>Stable for organic bulls in a stable with partly slatted floor.</text>
  </threadedComment>
  <threadedComment ref="A86" dT="2024-10-21T13:55:07.40" personId="{00000000-0000-0000-0000-000000000000}" id="{974DA0A6-0A24-474E-9A55-8E0F2E5F0304}">
    <text>Stable for organic bulls, with cubicles and solid floor, where the cattle produce the manure type of slurry</text>
  </threadedComment>
  <threadedComment ref="A87" dT="2024-10-21T13:55:35.56" personId="{00000000-0000-0000-0000-000000000000}" id="{BA981AB2-4A44-4626-82EB-9C6F35C771BF}">
    <text>Stable for organic bulls with cubicles and slatted floor (channel, backwash or ring channel), where the cattle produce the manure type of slurry.</text>
  </threadedComment>
  <threadedComment ref="A88" dT="2024-10-21T13:55:54.32" personId="{00000000-0000-0000-0000-000000000000}" id="{14A03AE8-EA08-4132-B023-81434625C526}">
    <text>Stable for organic bulls with deep litter and slatted floor (channel, backwash or ring channel), where the cattle produce the manure types of deep litter and slurry.</text>
  </threadedComment>
  <threadedComment ref="A90" dT="2024-10-21T13:56:56.38" personId="{00000000-0000-0000-0000-000000000000}" id="{632034DF-AA3E-41E6-946E-73C9053B575D}">
    <text>Outside farrowing fen for organic sows including piglets up to 15 kg.</text>
  </threadedComment>
  <threadedComment ref="A91" dT="2024-10-22T05:19:16.46" personId="{00000000-0000-0000-0000-000000000000}" id="{FEE5EBF3-065E-47F9-97AC-65B566B630A8}">
    <text>Stable for organic sows with deep litter inside and an outside running yard with solid or drained floor + slatted floor. The pigs produce deep litter and slurry.</text>
  </threadedComment>
  <threadedComment ref="A92" dT="2024-10-22T05:20:54.67" personId="{00000000-0000-0000-0000-000000000000}" id="{CB0A5849-2D8C-4276-A01D-186D3F197D5B}">
    <text>An outside fen for organic sows during mating and gestation.</text>
  </threadedComment>
  <threadedComment ref="A93" dT="2024-10-22T05:21:46.87" personId="{00000000-0000-0000-0000-000000000000}" id="{D20AA195-E90B-488C-8380-A70004326067}">
    <text>Stable for organic sows with partly slatted floor inside and an outside running yard with solid or drained floor + slatted floor. The pigs produce slurry.</text>
  </threadedComment>
  <threadedComment ref="A94" dT="2024-10-22T05:22:20.99" personId="{00000000-0000-0000-0000-000000000000}" id="{9D69C42B-42A6-4A77-B3B7-75A1B88C765B}">
    <text>Af fen for organic little pigs outside.</text>
  </threadedComment>
  <threadedComment ref="A95" dT="2024-10-22T05:22:54.72" personId="{00000000-0000-0000-0000-000000000000}" id="{0C76DAD2-5829-4F1F-B40E-CC5D3B39B8E5}">
    <text>Stable for organic little pigs with deep litter inside and an outside running yard with solid or drained floor + slatted floor. The pigs produce deep litter and slurry.</text>
  </threadedComment>
  <threadedComment ref="A96" dT="2024-10-22T05:23:31.43" personId="{00000000-0000-0000-0000-000000000000}" id="{9BC6AF48-CDB1-411E-AED7-4D1D27584EFA}">
    <text>Stable for organic little pigs with partly slatted floor inside and an outside running yard with solid or drained floor + slatted floor. The pigs produce slurry.</text>
  </threadedComment>
  <threadedComment ref="A97" dT="2024-10-22T05:23:57.76" personId="{00000000-0000-0000-0000-000000000000}" id="{01F07919-A9AB-4C91-8D87-95B3B760D385}">
    <text>Af fen for organic slaughter pigs outside.</text>
  </threadedComment>
  <threadedComment ref="A98" dT="2024-10-22T05:24:33.35" personId="{00000000-0000-0000-0000-000000000000}" id="{CB1FD57A-060A-4B8B-9AEA-7FCC71551E28}">
    <text>Stable for organic slaughter pigs with deep litter inside and an outside running yard with solid or drained floor + slatted floor. The pigs produce deep litter and slurry.</text>
  </threadedComment>
  <threadedComment ref="A99" dT="2024-10-22T05:25:03.02" personId="{00000000-0000-0000-0000-000000000000}" id="{18A0E7AA-38C2-43A3-BF2A-A5C10561C90C}">
    <text>Stable for organic slaughter pigs with partly slatted floor inside and an outside running yard with solid or drained floor + slatted floor. The pigs produce slurry.</text>
  </threadedComment>
</ThreadedComments>
</file>

<file path=xl/threadedComments/threadedComment3.xml><?xml version="1.0" encoding="utf-8"?>
<ThreadedComments xmlns="http://schemas.microsoft.com/office/spreadsheetml/2018/threadedcomments" xmlns:x="http://schemas.openxmlformats.org/spreadsheetml/2006/main">
  <threadedComment ref="AQ4" dT="2024-10-21T07:10:49.96" personId="{00000000-0000-0000-0000-000000000000}" id="{95135292-B32F-4922-95B0-AFB3512A1D87}">
    <text>Denotes whether it is an extra ressource (+) or if it is a svaed ressource (-) as compared to default.</text>
  </threadedComment>
  <threadedComment ref="L5" dT="2024-10-21T07:58:12.64" personId="{00000000-0000-0000-0000-000000000000}" id="{4A6BDCC5-7144-4F8E-A385-4A7DE9306DD8}">
    <text>Standard grazing with default losses</text>
  </threadedComment>
  <threadedComment ref="M5" dT="2024-10-21T07:05:52.93" personId="{00000000-0000-0000-0000-000000000000}" id="{642FD5E6-F608-4DBB-A055-3ED0FD951999}">
    <text>Yes</text>
  </threadedComment>
  <threadedComment ref="L6" dT="2024-10-21T07:58:59.63" personId="{00000000-0000-0000-0000-000000000000}" id="{82E80AEC-AAEF-40F0-9DAF-A2E7B061F4CD}">
    <text>Standard ensiling with default losses</text>
  </threadedComment>
  <threadedComment ref="M6" dT="2024-10-21T07:05:59.61" personId="{00000000-0000-0000-0000-000000000000}" id="{F66C29AC-EFD9-4F5E-97F4-A649FAE14FDC}">
    <text>No</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10-22T05:30:00.03" personId="{00000000-0000-0000-0000-000000000000}" id="{12722B62-2605-43B5-ADF5-B3062D528582}">
    <text>’MJ’ in the formular is the energy content in the calculated yearly feed ration for the livestock category.</text>
  </threadedComment>
  <threadedComment ref="Q4" dT="2024-10-22T05:36:15.68" personId="{00000000-0000-0000-0000-000000000000}" id="{3607CF27-891D-40A0-9051-719FA0076324}">
    <text>’MJ’ in the formular is the energy content in the calculated yearly feed ration for the livestock category.</text>
  </threadedComment>
  <threadedComment ref="E5" dT="2024-10-22T05:30:11.25" personId="{00000000-0000-0000-0000-000000000000}" id="{F63D30D5-0B68-441A-BF89-2695F4775EC6}">
    <text>’MJ’ in the formular is the energy content in the calculated yearly feed ration for the livestock category.</text>
  </threadedComment>
  <threadedComment ref="Q5" dT="2024-10-22T05:36:22.38" personId="{00000000-0000-0000-0000-000000000000}" id="{F6007E14-FB64-4688-9A3D-2A6AB9C735DE}">
    <text>’MJ’ in the formular is the energy content in the calculated yearly feed ration for the livestock category.</text>
  </threadedComment>
  <threadedComment ref="E6" dT="2024-10-22T05:31:16.03" personId="{00000000-0000-0000-0000-000000000000}" id="{A8A9F695-C0D6-49A5-B2ED-8647E9D0DA79}">
    <text>’MJ’ in the formular is the energy content in the calculated feed ration for 1 produced animal of the specific livestock category.</text>
  </threadedComment>
  <threadedComment ref="Q6" dT="2024-10-22T05:36:53.31" personId="{00000000-0000-0000-0000-000000000000}" id="{63501054-7478-4BF7-8DA3-A59E369438DC}">
    <text>’MJ’ in the formular is the energy content in the calculated feed ration for 1 produced animal of the specific livestock category.</text>
  </threadedComment>
  <threadedComment ref="E7" dT="2024-10-22T05:30:26.10" personId="{00000000-0000-0000-0000-000000000000}" id="{F98ECEC5-7AAA-45C7-82CB-2AF10218C43C}">
    <text>’MJ’ in the formular is the energy content in the calculated yearly feed ration for the livestock category.</text>
  </threadedComment>
  <threadedComment ref="Q7" dT="2024-10-22T05:36:58.55" personId="{00000000-0000-0000-0000-000000000000}" id="{B1F4772A-084D-46EF-BADB-11C55280AB39}">
    <text>’MJ’ in the formular is the energy content in the calculated feed ration for 1 produced animal of the specific livestock category.</text>
  </threadedComment>
  <threadedComment ref="E8" dT="2024-10-22T05:31:24.76" personId="{00000000-0000-0000-0000-000000000000}" id="{F1B5DFB1-4150-4E90-AAA3-35645532AD5F}">
    <text>’MJ’ in the formular is the energy content in the calculated feed ration for 1 produced animal of the specific livestock category.</text>
  </threadedComment>
  <threadedComment ref="Q8" dT="2024-10-22T05:36:29.52" personId="{00000000-0000-0000-0000-000000000000}" id="{054D7085-1B8A-49F7-9C57-EF884737CEB0}">
    <text>’MJ’ in the formular is the energy content in the calculated yearly feed ration for the livestock category.</text>
  </threadedComment>
  <threadedComment ref="E9" dT="2024-10-22T05:30:32.06" personId="{00000000-0000-0000-0000-000000000000}" id="{D06314BE-F27D-49DF-82E4-FD9E68D282E6}">
    <text>’MJ’ in the formular is the energy content in the calculated yearly feed ration for the livestock category.</text>
  </threadedComment>
  <threadedComment ref="Q9" dT="2024-10-22T05:37:03.86" personId="{00000000-0000-0000-0000-000000000000}" id="{0A1550D9-E20D-47E5-9BEA-863F8EA6F70A}">
    <text>’MJ’ in the formular is the energy content in the calculated feed ration for 1 produced animal of the specific livestock category.</text>
  </threadedComment>
  <threadedComment ref="Q10" dT="2024-10-22T05:36:35.43" personId="{00000000-0000-0000-0000-000000000000}" id="{BFA7B539-7E72-4C9A-A892-C634C1F68268}">
    <text>’MJ’ in the formular is the energy content in the calculated yearly feed ration for the livestock category.</text>
  </threadedComment>
  <threadedComment ref="Q11" dT="2024-10-22T05:37:09.94" personId="{00000000-0000-0000-0000-000000000000}" id="{F32C69CC-95B9-424E-B197-B7A5CAA8B41A}">
    <text>’MJ’ in the formular is the energy content in the calculated feed ration for 1 produced animal of the specific livestock category.</text>
  </threadedComment>
  <threadedComment ref="Q12" dT="2024-10-22T05:37:15.75" personId="{00000000-0000-0000-0000-000000000000}" id="{48C5923A-D034-463D-8FE4-C70A90F2BBEA}">
    <text>’MJ’ in the formular is the energy content in the calculated feed ration for 1 produced animal of the specific livestock category.</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hyperlink" Target="https://www.dst.dk/da/Statistik/nyheder-analyser-publ/bagtal/2021/2021-07-20-naesten-halvdelen-af-danmarks-kvaegbestand-kommer-paa-grae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2777-E269-4630-A385-BA4761C832CE}">
  <sheetPr>
    <tabColor theme="7" tint="0.39997558519241921"/>
  </sheetPr>
  <dimension ref="A1:BO223"/>
  <sheetViews>
    <sheetView workbookViewId="0">
      <selection activeCell="F7" sqref="F7"/>
    </sheetView>
  </sheetViews>
  <sheetFormatPr defaultRowHeight="14.4" x14ac:dyDescent="0.3"/>
  <cols>
    <col min="1" max="1" width="42.33203125" customWidth="1"/>
    <col min="2" max="2" width="38" customWidth="1"/>
    <col min="3" max="3" width="24.21875" bestFit="1" customWidth="1"/>
    <col min="4" max="4" width="29.33203125" bestFit="1" customWidth="1"/>
    <col min="5" max="5" width="29.6640625" customWidth="1"/>
    <col min="6" max="6" width="37.44140625" bestFit="1" customWidth="1"/>
    <col min="7" max="7" width="42"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30.77734375" bestFit="1" customWidth="1"/>
    <col min="17" max="17" width="15.33203125" bestFit="1" customWidth="1"/>
    <col min="18" max="19" width="17.44140625" bestFit="1"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5.6640625" bestFit="1" customWidth="1"/>
    <col min="42" max="42" width="12.33203125" bestFit="1" customWidth="1"/>
    <col min="43" max="43" width="15.6640625" bestFit="1" customWidth="1"/>
    <col min="44" max="46" width="12.33203125" bestFit="1" customWidth="1"/>
    <col min="47" max="47" width="15.6640625" bestFit="1" customWidth="1"/>
    <col min="48" max="52" width="12.33203125" customWidth="1"/>
    <col min="53" max="53" width="15.6640625" bestFit="1" customWidth="1"/>
    <col min="54" max="55" width="12.33203125" customWidth="1"/>
    <col min="56" max="56" width="15.6640625" bestFit="1" customWidth="1"/>
    <col min="57" max="58" width="12.33203125" customWidth="1"/>
    <col min="59" max="59" width="15.6640625" bestFit="1" customWidth="1"/>
    <col min="60" max="60" width="12.33203125" customWidth="1"/>
    <col min="63" max="63" width="15.5546875" bestFit="1" customWidth="1"/>
    <col min="64" max="64" width="12.5546875" bestFit="1" customWidth="1"/>
  </cols>
  <sheetData>
    <row r="1" spans="1:36" ht="32.4" thickBot="1" x14ac:dyDescent="0.6">
      <c r="A1" s="13" t="s">
        <v>794</v>
      </c>
      <c r="B1" s="13"/>
      <c r="F1" s="247"/>
    </row>
    <row r="2" spans="1:36" ht="15" thickBot="1" x14ac:dyDescent="0.35">
      <c r="AF2" s="143" t="s">
        <v>866</v>
      </c>
    </row>
    <row r="3" spans="1:36" ht="15" thickBot="1" x14ac:dyDescent="0.35">
      <c r="A3" s="14" t="s">
        <v>785</v>
      </c>
      <c r="B3" s="298" t="s">
        <v>824</v>
      </c>
      <c r="C3" s="298"/>
      <c r="D3" s="17" t="s">
        <v>478</v>
      </c>
      <c r="F3" s="300" t="s">
        <v>804</v>
      </c>
      <c r="G3" s="301"/>
      <c r="AF3" s="144" t="str">
        <f>IF(B12="","",B12)</f>
        <v>Protein_1_conv</v>
      </c>
    </row>
    <row r="4" spans="1:36" x14ac:dyDescent="0.3">
      <c r="A4" s="15" t="s">
        <v>786</v>
      </c>
      <c r="B4" s="299">
        <v>110</v>
      </c>
      <c r="C4" s="299"/>
      <c r="D4" s="5" t="s">
        <v>479</v>
      </c>
      <c r="F4" s="150" t="s">
        <v>792</v>
      </c>
      <c r="G4" s="149">
        <v>21</v>
      </c>
      <c r="I4" s="302" t="s">
        <v>815</v>
      </c>
      <c r="J4" s="303"/>
      <c r="K4" s="128"/>
      <c r="L4" s="134" t="s">
        <v>821</v>
      </c>
      <c r="AF4" s="144" t="str">
        <f t="shared" ref="AF4:AF9" si="0">IF(B13="","",B13)</f>
        <v>Protein_2_conv</v>
      </c>
    </row>
    <row r="5" spans="1:36" x14ac:dyDescent="0.3">
      <c r="A5" s="15" t="s">
        <v>787</v>
      </c>
      <c r="B5" s="299" t="s">
        <v>659</v>
      </c>
      <c r="C5" s="299"/>
      <c r="D5" s="17" t="s">
        <v>627</v>
      </c>
      <c r="F5" s="150" t="s">
        <v>793</v>
      </c>
      <c r="G5" s="149">
        <v>22</v>
      </c>
      <c r="I5" s="86" t="s">
        <v>816</v>
      </c>
      <c r="J5" s="5"/>
      <c r="L5" s="90">
        <v>3.14</v>
      </c>
      <c r="AF5" s="144" t="str">
        <f t="shared" si="0"/>
        <v>Planteolie_conv</v>
      </c>
    </row>
    <row r="6" spans="1:36" x14ac:dyDescent="0.3">
      <c r="A6" s="15" t="s">
        <v>788</v>
      </c>
      <c r="B6" s="299" t="s">
        <v>789</v>
      </c>
      <c r="C6" s="299"/>
      <c r="D6" s="5">
        <v>1.032</v>
      </c>
      <c r="F6" s="151" t="s">
        <v>825</v>
      </c>
      <c r="G6" s="88">
        <f>(Y32/D32)*100</f>
        <v>65.780767935667896</v>
      </c>
      <c r="I6" s="86" t="s">
        <v>817</v>
      </c>
      <c r="J6" s="5"/>
      <c r="L6" s="129"/>
      <c r="AF6" s="144" t="str">
        <f t="shared" si="0"/>
        <v>Grain_conv</v>
      </c>
    </row>
    <row r="7" spans="1:36" ht="14.7" customHeight="1" x14ac:dyDescent="0.3">
      <c r="A7" s="295" t="s">
        <v>55</v>
      </c>
      <c r="B7" s="296" t="s">
        <v>795</v>
      </c>
      <c r="C7" s="296"/>
      <c r="D7" s="42"/>
      <c r="F7" s="152" t="s">
        <v>805</v>
      </c>
      <c r="G7" s="257">
        <v>31.2</v>
      </c>
      <c r="I7" s="86" t="s">
        <v>161</v>
      </c>
      <c r="J7" s="5"/>
      <c r="L7" s="131" t="s">
        <v>822</v>
      </c>
      <c r="AF7" s="144" t="str">
        <f t="shared" si="0"/>
        <v/>
      </c>
    </row>
    <row r="8" spans="1:36" ht="15" thickBot="1" x14ac:dyDescent="0.35">
      <c r="A8" s="295"/>
      <c r="B8" s="296"/>
      <c r="C8" s="296"/>
      <c r="D8" s="47"/>
      <c r="F8" s="153" t="s">
        <v>806</v>
      </c>
      <c r="G8" s="102">
        <v>35.9</v>
      </c>
      <c r="I8" s="86" t="s">
        <v>818</v>
      </c>
      <c r="J8" s="80">
        <f>(383 *J6 + 242 *J7 + 783.2) *J5 / 3140</f>
        <v>0</v>
      </c>
      <c r="L8" s="90">
        <v>6.38</v>
      </c>
      <c r="AF8" s="144" t="str">
        <f t="shared" si="0"/>
        <v/>
      </c>
    </row>
    <row r="9" spans="1:36" ht="30" customHeight="1" x14ac:dyDescent="0.3">
      <c r="A9" s="295"/>
      <c r="B9" s="296"/>
      <c r="C9" s="296"/>
      <c r="I9" s="130"/>
      <c r="L9" s="129"/>
      <c r="AF9" s="144" t="str">
        <f t="shared" si="0"/>
        <v>Mineral_Type_2_grann_imp_conv</v>
      </c>
    </row>
    <row r="10" spans="1:36" ht="15.6" customHeight="1" x14ac:dyDescent="0.3">
      <c r="E10" s="297" t="s">
        <v>802</v>
      </c>
      <c r="F10" s="297"/>
      <c r="G10" s="127"/>
      <c r="I10" s="86" t="s">
        <v>819</v>
      </c>
      <c r="J10" s="35" t="s">
        <v>193</v>
      </c>
      <c r="K10" s="35" t="s">
        <v>820</v>
      </c>
      <c r="L10" s="131" t="s">
        <v>823</v>
      </c>
      <c r="R10" s="65" t="s">
        <v>855</v>
      </c>
      <c r="S10" s="292" t="s">
        <v>863</v>
      </c>
      <c r="T10" s="293"/>
      <c r="U10" s="293"/>
      <c r="V10" s="293"/>
      <c r="W10" s="293"/>
      <c r="X10" s="293"/>
      <c r="Y10" s="294"/>
      <c r="AA10" s="118"/>
      <c r="AB10" s="122"/>
      <c r="AC10" s="122"/>
      <c r="AD10" s="122"/>
      <c r="AF10" s="144" t="str">
        <f>IF(E12="","",E12)</f>
        <v/>
      </c>
      <c r="AG10" s="122"/>
      <c r="AH10" s="122"/>
    </row>
    <row r="11" spans="1:36" ht="15.6" customHeight="1" thickBot="1" x14ac:dyDescent="0.35">
      <c r="A11" s="16" t="s">
        <v>790</v>
      </c>
      <c r="B11" s="17" t="s">
        <v>798</v>
      </c>
      <c r="C11" s="17" t="s">
        <v>799</v>
      </c>
      <c r="D11" s="17" t="s">
        <v>800</v>
      </c>
      <c r="E11" s="17" t="s">
        <v>801</v>
      </c>
      <c r="F11" s="17" t="s">
        <v>189</v>
      </c>
      <c r="G11" s="17" t="s">
        <v>803</v>
      </c>
      <c r="I11" s="86" t="s">
        <v>200</v>
      </c>
      <c r="J11" s="30">
        <v>1.08</v>
      </c>
      <c r="K11" s="30">
        <v>0.96</v>
      </c>
      <c r="L11" s="90"/>
      <c r="R11" s="65"/>
      <c r="S11" s="66" t="s">
        <v>864</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796</v>
      </c>
      <c r="B12" s="216" t="s">
        <v>284</v>
      </c>
      <c r="C12" s="217" t="s">
        <v>43</v>
      </c>
      <c r="D12" s="254">
        <v>22</v>
      </c>
      <c r="E12" s="218"/>
      <c r="F12" s="218" t="s">
        <v>192</v>
      </c>
      <c r="G12" s="219"/>
      <c r="I12" s="87" t="s">
        <v>201</v>
      </c>
      <c r="J12" s="107">
        <v>1.54</v>
      </c>
      <c r="K12" s="107">
        <v>1.58</v>
      </c>
      <c r="L12" s="102"/>
      <c r="R12" s="51">
        <f>(IF($T12=0,"0",VLOOKUP($B12,Biomass_pool_output_Tech1_modul!$A$3:$G$100,7,FALSE)))</f>
        <v>982.04281164681095</v>
      </c>
      <c r="S12" s="44"/>
      <c r="T12" s="34">
        <f>IF($B12="","0",(VLOOKUP($B12,Biomass_pool_output_Tech1_modul!$A$3:$F$100,2,FALSE)*($D12)/1000))</f>
        <v>10.109990993408724</v>
      </c>
      <c r="U12" s="34">
        <f>IF($B12="","0",(VLOOKUP($B12,Biomass_pool_output_Tech1_modul!$A$3:$F$100,3,FALSE)*($D12)/1000))</f>
        <v>3.5331272260120099</v>
      </c>
      <c r="V12" s="34">
        <f>IF($B12="","0",(VLOOKUP($B12,Biomass_pool_output_Tech1_modul!$A$3:$F$100,4,FALSE)*($D12)/1000))</f>
        <v>4.6929590651038043E-2</v>
      </c>
      <c r="W12" s="34">
        <f>IF($B12="","0",(VLOOKUP($B12,Biomass_pool_output_Tech1_modul!$A$3:$F$100,5,FALSE)*($D12)/1000))</f>
        <v>0.22523984635109098</v>
      </c>
      <c r="X12" s="34">
        <f>IF($B12="","0",(VLOOKUP($B12,Biomass_pool_output_Tech1_modul!$A$3:$F$100,6,FALSE)*$D12))</f>
        <v>403.16306218510738</v>
      </c>
      <c r="Y12" s="34">
        <f>U12*6.25</f>
        <v>22.082045162575064</v>
      </c>
      <c r="AA12" s="53"/>
      <c r="AB12" s="53"/>
      <c r="AC12" s="53"/>
      <c r="AD12" s="53"/>
      <c r="AF12" s="144" t="str">
        <f t="shared" si="1"/>
        <v/>
      </c>
      <c r="AG12" s="53"/>
      <c r="AH12" s="53"/>
      <c r="AI12" s="53"/>
      <c r="AJ12" s="53"/>
    </row>
    <row r="13" spans="1:36" x14ac:dyDescent="0.3">
      <c r="A13" s="220" t="s">
        <v>318</v>
      </c>
      <c r="B13" s="212" t="s">
        <v>285</v>
      </c>
      <c r="C13" s="213" t="s">
        <v>43</v>
      </c>
      <c r="D13" s="255">
        <v>1.9</v>
      </c>
      <c r="E13" s="214"/>
      <c r="F13" s="214" t="s">
        <v>209</v>
      </c>
      <c r="R13" s="51">
        <f>(IF($T13=0,"0",VLOOKUP($B13,Biomass_pool_output_Tech1_modul!$A$3:$G$100,7,FALSE)))</f>
        <v>879.383109851227</v>
      </c>
      <c r="S13" s="44"/>
      <c r="T13" s="34">
        <f>IF($B13="","0",(VLOOKUP($B13,Biomass_pool_output_Tech1_modul!$A$3:$F$100,2,FALSE)*($D13)/1000))</f>
        <v>0.85499999999999998</v>
      </c>
      <c r="U13" s="34">
        <f>IF($B13="","0",(VLOOKUP($B13,Biomass_pool_output_Tech1_modul!$A$3:$F$100,3,FALSE)*($D13)/1000))</f>
        <v>9.1095361577057235E-2</v>
      </c>
      <c r="V13" s="34">
        <f>IF($B13="","0",(VLOOKUP($B13,Biomass_pool_output_Tech1_modul!$A$3:$F$100,4,FALSE)*($D13)/1000))</f>
        <v>2.1440662114230808E-2</v>
      </c>
      <c r="W13" s="34">
        <f>IF($B13="","0",(VLOOKUP($B13,Biomass_pool_output_Tech1_modul!$A$3:$F$100,5,FALSE)*($D13)/1000))</f>
        <v>2.9673107185901309E-2</v>
      </c>
      <c r="X13" s="34">
        <f>IF($B13="","0",(VLOOKUP($B13,Biomass_pool_output_Tech1_modul!$A$3:$F$100,6,FALSE)*$D13))</f>
        <v>41.12009949850043</v>
      </c>
      <c r="Y13" s="34">
        <f t="shared" ref="Y13:Y16" si="2">U13*6.25</f>
        <v>0.56934600985660777</v>
      </c>
      <c r="AA13" s="53"/>
      <c r="AB13" s="53"/>
      <c r="AC13" s="53"/>
      <c r="AD13" s="53"/>
      <c r="AF13" s="144" t="str">
        <f t="shared" si="1"/>
        <v/>
      </c>
      <c r="AG13" s="53"/>
      <c r="AH13" s="53"/>
      <c r="AI13" s="53"/>
      <c r="AJ13" s="53"/>
    </row>
    <row r="14" spans="1:36" ht="15" thickBot="1" x14ac:dyDescent="0.35">
      <c r="A14" s="220" t="s">
        <v>319</v>
      </c>
      <c r="B14" s="221" t="s">
        <v>382</v>
      </c>
      <c r="C14" s="222" t="s">
        <v>43</v>
      </c>
      <c r="D14" s="253">
        <v>1.2</v>
      </c>
      <c r="E14" s="223"/>
      <c r="F14" s="224" t="s">
        <v>666</v>
      </c>
      <c r="G14" s="154"/>
      <c r="I14" s="203"/>
      <c r="J14" s="203"/>
      <c r="K14" s="203"/>
      <c r="R14" s="51">
        <f>(IF($T14=0,"0",VLOOKUP($B14,Biomass_pool_output_Tech1_modul!$A$3:$G$100,7,FALSE)))</f>
        <v>1000</v>
      </c>
      <c r="S14" s="44"/>
      <c r="T14" s="34">
        <f>IF($B14="","0",(VLOOKUP($B14,Biomass_pool_output_Tech1_modul!$A$3:$F$100,2,FALSE)*($D14)/1000))</f>
        <v>0.54</v>
      </c>
      <c r="U14" s="34">
        <f>IF($B14="","0",(VLOOKUP($B14,Biomass_pool_output_Tech1_modul!$A$3:$F$100,3,FALSE)*($D14)/1000))</f>
        <v>0</v>
      </c>
      <c r="V14" s="34">
        <f>IF($B14="","0",(VLOOKUP($B14,Biomass_pool_output_Tech1_modul!$A$3:$F$100,4,FALSE)*($D14)/1000))</f>
        <v>0</v>
      </c>
      <c r="W14" s="34">
        <f>IF($B14="","0",(VLOOKUP($B14,Biomass_pool_output_Tech1_modul!$A$3:$F$100,5,FALSE)*($D14)/1000))</f>
        <v>0</v>
      </c>
      <c r="X14" s="34">
        <f>IF($B14="","0",(VLOOKUP($B14,Biomass_pool_output_Tech1_modul!$A$3:$F$100,6,FALSE)*$D14))</f>
        <v>43.92</v>
      </c>
      <c r="Y14" s="34">
        <f t="shared" si="2"/>
        <v>0</v>
      </c>
      <c r="AA14" s="53"/>
      <c r="AB14" s="53"/>
      <c r="AC14" s="53"/>
      <c r="AD14" s="53"/>
      <c r="AF14" s="144" t="str">
        <f t="shared" si="1"/>
        <v/>
      </c>
      <c r="AG14" s="53"/>
      <c r="AH14" s="53"/>
      <c r="AI14" s="53"/>
      <c r="AJ14" s="53"/>
    </row>
    <row r="15" spans="1:36" ht="15" thickBot="1" x14ac:dyDescent="0.35">
      <c r="A15" s="215" t="s">
        <v>797</v>
      </c>
      <c r="B15" s="216" t="s">
        <v>408</v>
      </c>
      <c r="C15" s="217" t="s">
        <v>43</v>
      </c>
      <c r="D15" s="254">
        <v>9.1999999999999993</v>
      </c>
      <c r="E15" s="218"/>
      <c r="F15" s="226" t="s">
        <v>344</v>
      </c>
      <c r="G15" s="219"/>
      <c r="R15" s="51">
        <f>(IF($T15=0,"0",VLOOKUP($B15,Biomass_pool_output_Tech1_modul!$A$3:$G$100,7,FALSE)))</f>
        <v>850.51110268835396</v>
      </c>
      <c r="S15" s="44"/>
      <c r="T15" s="34">
        <f>IF($B15="","0",(VLOOKUP($B15,Biomass_pool_output_Tech1_modul!$A$3:$F$100,2,FALSE)*($D15)/1000))</f>
        <v>4.1399999999999997</v>
      </c>
      <c r="U15" s="34">
        <f>IF($B15="","0",(VLOOKUP($B15,Biomass_pool_output_Tech1_modul!$A$3:$F$100,3,FALSE)*($D15)/1000))</f>
        <v>0.15422472263569575</v>
      </c>
      <c r="V15" s="34">
        <f>IF($B15="","0",(VLOOKUP($B15,Biomass_pool_output_Tech1_modul!$A$3:$F$100,4,FALSE)*($D15)/1000))</f>
        <v>2.8550439894700901E-2</v>
      </c>
      <c r="W15" s="34">
        <f>IF($B15="","0",(VLOOKUP($B15,Biomass_pool_output_Tech1_modul!$A$3:$F$100,5,FALSE)*($D15)/1000))</f>
        <v>4.4855689757579718E-2</v>
      </c>
      <c r="X15" s="34">
        <f>IF($B15="","0",(VLOOKUP($B15,Biomass_pool_output_Tech1_modul!$A$3:$F$100,6,FALSE)*$D15))</f>
        <v>176.96099787662504</v>
      </c>
      <c r="Y15" s="34">
        <f t="shared" si="2"/>
        <v>0.96390451647309849</v>
      </c>
      <c r="AA15" s="53"/>
      <c r="AB15" s="53"/>
      <c r="AC15" s="53"/>
      <c r="AD15" s="53"/>
      <c r="AF15" s="144" t="str">
        <f t="shared" si="1"/>
        <v/>
      </c>
      <c r="AG15" s="53"/>
      <c r="AH15" s="53"/>
      <c r="AI15" s="53"/>
      <c r="AJ15" s="53"/>
    </row>
    <row r="16" spans="1:36" x14ac:dyDescent="0.3">
      <c r="A16" s="211" t="s">
        <v>107</v>
      </c>
      <c r="B16" s="212"/>
      <c r="C16" s="213" t="s">
        <v>43</v>
      </c>
      <c r="D16" s="228"/>
      <c r="E16" s="214"/>
      <c r="F16" s="225"/>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Soyakage_imp_conv</v>
      </c>
      <c r="AH17" s="110"/>
    </row>
    <row r="18" spans="1:65" x14ac:dyDescent="0.3">
      <c r="A18" s="18" t="s">
        <v>414</v>
      </c>
      <c r="B18" s="19" t="s">
        <v>411</v>
      </c>
      <c r="C18" s="28" t="s">
        <v>43</v>
      </c>
      <c r="D18" s="256">
        <v>1.6</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0.08</v>
      </c>
      <c r="W18" s="34">
        <f>IF($B18="","0",(VLOOKUP($B18,'Imported products'!$B$5:$O$54,12,FALSE)*($D18)/1000))</f>
        <v>2.4000000000000002E-3</v>
      </c>
      <c r="X18" s="34">
        <f>IF($B18="","0",(VLOOKUP($B18,'Imported products'!$B$5:$O$54,13,FALSE)*($D18)/1000))</f>
        <v>0</v>
      </c>
      <c r="Y18" s="34">
        <f>IF($B18="","0",(VLOOKUP($B18,'Imported products'!$B$5:$O$54,14,FALSE)*($D18)/1000))</f>
        <v>0</v>
      </c>
      <c r="AA18" s="110"/>
      <c r="AF18" s="144" t="str">
        <f t="shared" ref="AF18:AF23" si="3">IF(F13="","",F13)</f>
        <v>Rapskage_imp_conv</v>
      </c>
      <c r="AH18" s="110"/>
    </row>
    <row r="19" spans="1:65" x14ac:dyDescent="0.3">
      <c r="A19" s="25"/>
      <c r="B19" s="243"/>
      <c r="C19" s="244"/>
      <c r="D19" s="244"/>
      <c r="R19" s="52"/>
      <c r="AA19" s="110"/>
      <c r="AF19" s="144" t="str">
        <f t="shared" si="3"/>
        <v>Feed_fat_imp_conv</v>
      </c>
    </row>
    <row r="20" spans="1:65" x14ac:dyDescent="0.3">
      <c r="A20" s="18" t="s">
        <v>791</v>
      </c>
      <c r="B20" s="40"/>
      <c r="C20" s="28" t="s">
        <v>43</v>
      </c>
      <c r="D20" s="34">
        <f>SUM(D12:D18)</f>
        <v>35.9</v>
      </c>
      <c r="R20" s="82">
        <f>(D12*R12+D13*R13+D14*R14+D15*R15+D16*R16+D17*R17+D18*R18)/D20</f>
        <v>944.30283870975006</v>
      </c>
      <c r="S20" s="45"/>
      <c r="T20" s="116">
        <f t="shared" ref="T20:X20" si="4">SUM(T12:T18)</f>
        <v>15.644990993408726</v>
      </c>
      <c r="U20" s="116">
        <f t="shared" si="4"/>
        <v>3.7784473102247631</v>
      </c>
      <c r="V20" s="116">
        <f t="shared" si="4"/>
        <v>0.17692069265996974</v>
      </c>
      <c r="W20" s="116">
        <f t="shared" si="4"/>
        <v>0.30216864329457199</v>
      </c>
      <c r="X20" s="116">
        <f t="shared" si="4"/>
        <v>665.16415956023286</v>
      </c>
      <c r="Y20" s="116">
        <f>SUM(Y12:Y18)</f>
        <v>23.615295688904773</v>
      </c>
      <c r="AF20" s="144" t="str">
        <f t="shared" si="3"/>
        <v>Korn_standard_imp_conv</v>
      </c>
    </row>
    <row r="21" spans="1:65" ht="15.6" x14ac:dyDescent="0.3">
      <c r="AF21" s="144" t="str">
        <f t="shared" si="3"/>
        <v/>
      </c>
      <c r="AO21" s="291" t="s">
        <v>867</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802</v>
      </c>
      <c r="F22" s="297"/>
      <c r="G22" s="297"/>
      <c r="H22" s="297" t="s">
        <v>826</v>
      </c>
      <c r="I22" s="297"/>
      <c r="J22" s="125"/>
      <c r="K22" s="298" t="s">
        <v>854</v>
      </c>
      <c r="L22" s="298"/>
      <c r="M22" s="298"/>
      <c r="N22" s="298"/>
      <c r="O22" s="298"/>
      <c r="P22" s="298"/>
      <c r="R22" s="65" t="s">
        <v>855</v>
      </c>
      <c r="S22" s="292" t="s">
        <v>863</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807</v>
      </c>
      <c r="B23" s="17" t="s">
        <v>798</v>
      </c>
      <c r="C23" s="17" t="s">
        <v>799</v>
      </c>
      <c r="D23" s="17" t="s">
        <v>800</v>
      </c>
      <c r="E23" s="17" t="s">
        <v>191</v>
      </c>
      <c r="F23" s="17" t="s">
        <v>808</v>
      </c>
      <c r="G23" s="182" t="s">
        <v>189</v>
      </c>
      <c r="H23" s="17" t="s">
        <v>810</v>
      </c>
      <c r="I23" s="17" t="s">
        <v>827</v>
      </c>
      <c r="K23" s="17" t="s">
        <v>174</v>
      </c>
      <c r="L23" s="17" t="s">
        <v>143</v>
      </c>
      <c r="M23" s="17" t="s">
        <v>144</v>
      </c>
      <c r="N23" s="17" t="s">
        <v>145</v>
      </c>
      <c r="O23" s="17" t="s">
        <v>146</v>
      </c>
      <c r="P23" s="17" t="s">
        <v>66</v>
      </c>
      <c r="R23" s="65"/>
      <c r="S23" s="66" t="s">
        <v>864</v>
      </c>
      <c r="T23" s="66" t="s">
        <v>181</v>
      </c>
      <c r="U23" s="66" t="s">
        <v>182</v>
      </c>
      <c r="V23" s="66" t="s">
        <v>183</v>
      </c>
      <c r="W23" s="66" t="s">
        <v>184</v>
      </c>
      <c r="X23" s="66" t="s">
        <v>13</v>
      </c>
      <c r="Y23" s="66" t="s">
        <v>185</v>
      </c>
      <c r="AB23" s="66" t="s">
        <v>17</v>
      </c>
      <c r="AC23" s="66" t="s">
        <v>177</v>
      </c>
      <c r="AD23" s="66" t="s">
        <v>178</v>
      </c>
      <c r="AF23" s="144" t="str">
        <f t="shared" si="3"/>
        <v/>
      </c>
      <c r="AO23" s="89" t="s">
        <v>868</v>
      </c>
      <c r="AP23" s="89" t="s">
        <v>869</v>
      </c>
      <c r="AQ23" s="89" t="s">
        <v>868</v>
      </c>
      <c r="AR23" s="89" t="s">
        <v>869</v>
      </c>
      <c r="AS23" s="89" t="s">
        <v>156</v>
      </c>
      <c r="AT23" s="89" t="s">
        <v>157</v>
      </c>
      <c r="AU23" s="89" t="s">
        <v>868</v>
      </c>
      <c r="AV23" s="89" t="s">
        <v>869</v>
      </c>
      <c r="AW23" s="89" t="s">
        <v>150</v>
      </c>
      <c r="AX23" s="89" t="s">
        <v>154</v>
      </c>
      <c r="AY23" s="89" t="s">
        <v>151</v>
      </c>
      <c r="AZ23" s="89" t="s">
        <v>152</v>
      </c>
      <c r="BA23" s="89" t="s">
        <v>868</v>
      </c>
      <c r="BB23" s="89" t="s">
        <v>869</v>
      </c>
      <c r="BC23" s="89" t="s">
        <v>153</v>
      </c>
      <c r="BD23" s="89" t="s">
        <v>868</v>
      </c>
      <c r="BE23" s="89" t="s">
        <v>869</v>
      </c>
      <c r="BF23" s="89" t="s">
        <v>153</v>
      </c>
      <c r="BG23" s="89" t="s">
        <v>868</v>
      </c>
      <c r="BH23" s="89" t="s">
        <v>869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 t="shared" si="9"/>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0</v>
      </c>
      <c r="E31" s="24"/>
      <c r="K31" t="s">
        <v>629</v>
      </c>
      <c r="L31" s="24"/>
      <c r="M31" s="24"/>
      <c r="N31" s="24"/>
      <c r="O31" s="24"/>
      <c r="P31" s="24"/>
      <c r="Q31" s="25"/>
      <c r="R31" s="82" t="e">
        <f>(D24*R24+D25*R25+D26*R26+D27*R27+D28*R28+D29*R29+D30*R30)/D31</f>
        <v>#DIV/0!</v>
      </c>
      <c r="S31" s="45"/>
      <c r="T31" s="116">
        <f t="shared" ref="T31:Y31" si="10">SUM(T24:T30)</f>
        <v>0</v>
      </c>
      <c r="U31" s="116">
        <f t="shared" si="10"/>
        <v>0</v>
      </c>
      <c r="V31" s="116">
        <f t="shared" si="10"/>
        <v>0</v>
      </c>
      <c r="W31" s="116">
        <f t="shared" si="10"/>
        <v>0</v>
      </c>
      <c r="X31" s="116">
        <f>SUM(X24:X30)</f>
        <v>0</v>
      </c>
      <c r="Y31" s="116">
        <f t="shared" si="10"/>
        <v>0</v>
      </c>
      <c r="AA31" s="113" t="s">
        <v>61</v>
      </c>
      <c r="AB31" s="115">
        <f>SUM(AB24:AB30)</f>
        <v>0</v>
      </c>
      <c r="AC31" s="115">
        <f>SUM(AC24:AC30)</f>
        <v>0</v>
      </c>
      <c r="AD31" s="115">
        <f>SUM(AD24:AD30)</f>
        <v>0</v>
      </c>
      <c r="AF31" s="144" t="str">
        <f>IF(E24="","",E24)</f>
        <v/>
      </c>
      <c r="AN31" s="35" t="s">
        <v>61</v>
      </c>
      <c r="AO31" s="92">
        <f>SUM(AO24:AO30)</f>
        <v>0</v>
      </c>
      <c r="AP31" s="92">
        <f t="shared" ref="AP31:BH31" si="11">SUM(AP24:AP30)</f>
        <v>0</v>
      </c>
      <c r="AQ31" s="92">
        <f t="shared" si="11"/>
        <v>0</v>
      </c>
      <c r="AR31" s="92">
        <f t="shared" si="11"/>
        <v>0</v>
      </c>
      <c r="AS31" s="92">
        <f t="shared" si="11"/>
        <v>0</v>
      </c>
      <c r="AT31" s="92">
        <f t="shared" si="11"/>
        <v>0</v>
      </c>
      <c r="AU31" s="92">
        <f t="shared" si="11"/>
        <v>0</v>
      </c>
      <c r="AV31" s="92">
        <f t="shared" si="11"/>
        <v>0</v>
      </c>
      <c r="AW31" s="92">
        <f t="shared" si="11"/>
        <v>0</v>
      </c>
      <c r="AX31" s="92">
        <f t="shared" si="11"/>
        <v>0</v>
      </c>
      <c r="AY31" s="92">
        <f t="shared" si="11"/>
        <v>0</v>
      </c>
      <c r="AZ31" s="92">
        <f t="shared" si="11"/>
        <v>0</v>
      </c>
      <c r="BA31" s="92">
        <f t="shared" si="11"/>
        <v>0</v>
      </c>
      <c r="BB31" s="92">
        <f t="shared" si="11"/>
        <v>0</v>
      </c>
      <c r="BC31" s="92">
        <f t="shared" si="11"/>
        <v>0</v>
      </c>
      <c r="BD31" s="92">
        <f t="shared" si="11"/>
        <v>0</v>
      </c>
      <c r="BE31" s="92">
        <f t="shared" si="11"/>
        <v>0</v>
      </c>
      <c r="BF31" s="92">
        <f t="shared" si="11"/>
        <v>0</v>
      </c>
      <c r="BG31" s="92">
        <f t="shared" si="11"/>
        <v>0</v>
      </c>
      <c r="BH31" s="92">
        <f t="shared" si="11"/>
        <v>0</v>
      </c>
    </row>
    <row r="32" spans="1:65" ht="15" thickBot="1" x14ac:dyDescent="0.35">
      <c r="A32" s="18" t="s">
        <v>113</v>
      </c>
      <c r="B32" s="40"/>
      <c r="C32" s="28" t="s">
        <v>43</v>
      </c>
      <c r="D32" s="83">
        <f>D20+D31</f>
        <v>35.9</v>
      </c>
      <c r="E32" s="24"/>
      <c r="I32" s="24"/>
      <c r="J32" s="24"/>
      <c r="K32" s="24"/>
      <c r="L32" s="24"/>
      <c r="M32" s="24"/>
      <c r="N32" s="24"/>
      <c r="P32" s="25"/>
      <c r="Q32" s="25"/>
      <c r="R32" s="84" t="e">
        <f>(D20*R20+D31*R31)/D32</f>
        <v>#DIV/0!</v>
      </c>
      <c r="S32" s="85"/>
      <c r="T32" s="117">
        <f>T20+T31</f>
        <v>15.644990993408726</v>
      </c>
      <c r="U32" s="117">
        <f t="shared" ref="U32:Y32" si="12">U20+U31</f>
        <v>3.7784473102247631</v>
      </c>
      <c r="V32" s="117">
        <f t="shared" si="12"/>
        <v>0.17692069265996974</v>
      </c>
      <c r="W32" s="117">
        <f t="shared" si="12"/>
        <v>0.30216864329457199</v>
      </c>
      <c r="X32" s="117">
        <f t="shared" si="12"/>
        <v>665.16415956023286</v>
      </c>
      <c r="Y32" s="117">
        <f t="shared" si="12"/>
        <v>23.615295688904773</v>
      </c>
      <c r="AF32" s="144" t="str">
        <f t="shared" ref="AF32:AF37" si="13">IF(E25="","",E25)</f>
        <v/>
      </c>
      <c r="BL32" t="str">
        <f>A4</f>
        <v>ID-number</v>
      </c>
      <c r="BM32">
        <f>B4</f>
        <v>110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Code</v>
      </c>
      <c r="BM33" t="str">
        <f>B5</f>
        <v xml:space="preserve">LittlePigs_up_to_31_1_conv </v>
      </c>
    </row>
    <row r="34" spans="1:67" ht="15.6" x14ac:dyDescent="0.3">
      <c r="A34" s="16" t="s">
        <v>58</v>
      </c>
      <c r="B34" s="17" t="s">
        <v>798</v>
      </c>
      <c r="C34" s="17" t="s">
        <v>799</v>
      </c>
      <c r="D34" s="17" t="s">
        <v>809</v>
      </c>
      <c r="E34" s="66" t="s">
        <v>810</v>
      </c>
      <c r="F34" s="69" t="s">
        <v>811</v>
      </c>
      <c r="G34" s="66" t="s">
        <v>812</v>
      </c>
      <c r="H34" s="69" t="s">
        <v>828</v>
      </c>
      <c r="I34" s="66" t="s">
        <v>628</v>
      </c>
      <c r="J34" s="119"/>
      <c r="K34" s="97"/>
      <c r="L34" s="66" t="s">
        <v>657</v>
      </c>
      <c r="M34" s="66" t="s">
        <v>658</v>
      </c>
      <c r="N34" s="98" t="s">
        <v>630</v>
      </c>
      <c r="O34" s="119"/>
      <c r="P34" s="119"/>
      <c r="Q34" s="119"/>
      <c r="R34" s="259" t="s">
        <v>855</v>
      </c>
      <c r="T34" s="291" t="s">
        <v>865</v>
      </c>
      <c r="U34" s="291"/>
      <c r="V34" s="291"/>
      <c r="W34" s="291"/>
      <c r="X34" s="291"/>
      <c r="Y34" s="122"/>
      <c r="AF34" s="144" t="str">
        <f t="shared" si="13"/>
        <v/>
      </c>
      <c r="AM34" s="29"/>
      <c r="AN34" s="29"/>
      <c r="BJ34">
        <f t="shared" ref="BI34:BJ62" si="14">$BM$32</f>
        <v>110</v>
      </c>
      <c r="BK34" t="str">
        <f t="shared" ref="BJ34:BK62" si="15">$BM$33</f>
        <v xml:space="preserve">LittlePigs_up_to_31_1_conv </v>
      </c>
      <c r="BL34" t="s">
        <v>69</v>
      </c>
      <c r="BM34">
        <f>$B$24</f>
        <v>0</v>
      </c>
      <c r="BN34" t="str">
        <f t="shared" ref="BN34:BO40" si="16">C24</f>
        <v>Kg</v>
      </c>
      <c r="BO34">
        <f t="shared" si="16"/>
        <v>0</v>
      </c>
    </row>
    <row r="35" spans="1:67" ht="15.6" x14ac:dyDescent="0.3">
      <c r="A35" s="18" t="s">
        <v>631</v>
      </c>
      <c r="B35" s="19" t="s">
        <v>637</v>
      </c>
      <c r="C35" s="28" t="s">
        <v>43</v>
      </c>
      <c r="D35" s="34">
        <f>H35*(R35/1000)</f>
        <v>0.14430000000000001</v>
      </c>
      <c r="E35" s="30" t="str">
        <f>IF(B35="","",VLOOKUP(B35,'Processed products'!$B$5:$E$104,2,FALSE))</f>
        <v>Dead_meat_conv</v>
      </c>
      <c r="F35" s="30" t="str">
        <f>IF(B35="","",VLOOKUP(B35,'Processed products'!$B$5:$E$104,3,FALSE))</f>
        <v>Dead_meat</v>
      </c>
      <c r="G35" s="30" t="str">
        <f>IF(B35="","",VLOOKUP(B35,'Processed products'!$B$5:$E$104,4,FALSE))</f>
        <v>Exit_model</v>
      </c>
      <c r="H35" s="165">
        <v>0.39</v>
      </c>
      <c r="I35" s="4"/>
      <c r="K35" s="97" t="s">
        <v>654</v>
      </c>
      <c r="L35" s="132" t="s">
        <v>299</v>
      </c>
      <c r="M35" s="132" t="s">
        <v>633</v>
      </c>
      <c r="N35" s="272">
        <v>0.214</v>
      </c>
      <c r="R35" s="51">
        <f>(IF($B35="",0,VLOOKUP($B35,'Processed products'!$B$5:$O$104,5,FALSE)))</f>
        <v>370</v>
      </c>
      <c r="S35" s="44"/>
      <c r="T35" s="28">
        <f>(IF($B35="","",VLOOKUP($B35,'Processed products'!$B$5:$O$104,9,FALSE)))</f>
        <v>640</v>
      </c>
      <c r="U35" s="34">
        <f>(IF($B35="","",VLOOKUP($B35,'Processed products'!$B$5:$O$104,10,FALSE)))</f>
        <v>79.87</v>
      </c>
      <c r="V35" s="28">
        <f>(IF($B35="","",VLOOKUP($B35,'Processed products'!$B$5:$O$104,11,FALSE)))</f>
        <v>13.24</v>
      </c>
      <c r="W35" s="28">
        <f>(IF($B35="","",VLOOKUP($B35,'Processed products'!$B$5:$O$104,12,FALSE)))</f>
        <v>5.95</v>
      </c>
      <c r="X35" s="28">
        <f>(IF($B35="","",VLOOKUP($B35,'Processed products'!$B$5:$O$104,13,FALSE)))</f>
        <v>27.17</v>
      </c>
      <c r="Z35" s="53"/>
      <c r="AA35" s="53"/>
      <c r="AB35" s="53"/>
      <c r="AC35" s="53"/>
      <c r="AD35" s="53"/>
      <c r="AF35" s="144" t="str">
        <f t="shared" si="13"/>
        <v/>
      </c>
      <c r="AJ35" s="32"/>
      <c r="BJ35">
        <f t="shared" si="14"/>
        <v>110</v>
      </c>
      <c r="BK35" t="str">
        <f t="shared" si="15"/>
        <v xml:space="preserve">LittlePigs_up_to_31_1_conv </v>
      </c>
      <c r="BL35" t="s">
        <v>69</v>
      </c>
      <c r="BM35">
        <f>$B$25</f>
        <v>0</v>
      </c>
      <c r="BN35" t="str">
        <f t="shared" si="16"/>
        <v>Kg</v>
      </c>
      <c r="BO35">
        <f t="shared" si="16"/>
        <v>0</v>
      </c>
    </row>
    <row r="36" spans="1:67" ht="15.6" x14ac:dyDescent="0.3">
      <c r="A36" s="18" t="s">
        <v>632</v>
      </c>
      <c r="B36" s="19"/>
      <c r="C36" s="28" t="s">
        <v>43</v>
      </c>
      <c r="D36" s="34">
        <f t="shared" ref="D36" si="17">H36*(R36/1000)</f>
        <v>0</v>
      </c>
      <c r="E36" s="30" t="str">
        <f>IF(B36="","",VLOOKUP(B36,'Processed products'!$B$5:$E$104,2,FALSE))</f>
        <v/>
      </c>
      <c r="F36" s="30" t="str">
        <f>IF(B36="","",VLOOKUP(B36,'Processed products'!$B$5:$E$104,3,FALSE))</f>
        <v/>
      </c>
      <c r="G36" s="30" t="str">
        <f>IF(B36="","",VLOOKUP(B36,'Processed products'!$B$5:$E$104,4,FALSE))</f>
        <v/>
      </c>
      <c r="H36" s="250"/>
      <c r="I36" s="4"/>
      <c r="K36" s="97" t="s">
        <v>655</v>
      </c>
      <c r="L36" s="132"/>
      <c r="M36" s="132"/>
      <c r="N36" s="272"/>
      <c r="P36" s="93"/>
      <c r="Q36" s="262"/>
      <c r="R36" s="51">
        <f>(IF($B36="",0,VLOOKUP($B36,'Processed products'!$B$5:$O$104,5,FALSE)))</f>
        <v>0</v>
      </c>
      <c r="S36" s="44"/>
      <c r="T36" s="28" t="str">
        <f>(IF($B36="","",VLOOKUP($B36,'Processed products'!$B$5:$O$104,9,FALSE)))</f>
        <v/>
      </c>
      <c r="U36" s="34" t="str">
        <f>(IF($B36="","",VLOOKUP($B36,'Processed products'!$B$5:$O$104,10,FALSE)))</f>
        <v/>
      </c>
      <c r="V36" s="28" t="str">
        <f>(IF($B36="","",VLOOKUP($B36,'Processed products'!$B$5:$O$104,11,FALSE)))</f>
        <v/>
      </c>
      <c r="W36" s="28" t="str">
        <f>(IF($B36="","",VLOOKUP($B36,'Processed products'!$B$5:$O$104,12,FALSE)))</f>
        <v/>
      </c>
      <c r="X36" s="28" t="str">
        <f>(IF($B36="","",VLOOKUP($B36,'Processed products'!$B$5:$O$104,13,FALSE)))</f>
        <v/>
      </c>
      <c r="Z36" s="53"/>
      <c r="AA36" s="53"/>
      <c r="AB36" s="53"/>
      <c r="AC36" s="53"/>
      <c r="AD36" s="53"/>
      <c r="AF36" s="144" t="str">
        <f t="shared" si="13"/>
        <v/>
      </c>
      <c r="BJ36">
        <f t="shared" si="14"/>
        <v>110</v>
      </c>
      <c r="BK36" t="str">
        <f t="shared" si="15"/>
        <v xml:space="preserve">LittlePigs_up_to_31_1_conv </v>
      </c>
      <c r="BL36" t="s">
        <v>69</v>
      </c>
      <c r="BM36">
        <f>$B$26</f>
        <v>0</v>
      </c>
      <c r="BN36" t="str">
        <f t="shared" si="16"/>
        <v>Kg</v>
      </c>
      <c r="BO36">
        <f t="shared" si="16"/>
        <v>0</v>
      </c>
    </row>
    <row r="37" spans="1:67" ht="16.2" thickBot="1" x14ac:dyDescent="0.35">
      <c r="A37" s="18" t="s">
        <v>647</v>
      </c>
      <c r="B37" s="19" t="s">
        <v>390</v>
      </c>
      <c r="C37" s="28" t="s">
        <v>43</v>
      </c>
      <c r="D37" s="34">
        <f>H37*(R37/1000)</f>
        <v>8.9909999999999997</v>
      </c>
      <c r="E37" s="30" t="str">
        <f>IF(B37="","",VLOOKUP(B37,'Processed products'!$B$5:$E$104,2,FALSE))</f>
        <v>Piglet_31_live_conv</v>
      </c>
      <c r="F37" s="30" t="str">
        <f>IF(B37="","",VLOOKUP(B37,'Processed products'!$B$5:$E$104,3,FALSE))</f>
        <v>Pig_live_conv</v>
      </c>
      <c r="G37" s="30" t="str">
        <f>IF(B37="","",VLOOKUP(B37,'Processed products'!$B$5:$E$104,4,FALSE))</f>
        <v>Livestock_balance</v>
      </c>
      <c r="H37" s="250">
        <v>24.3</v>
      </c>
      <c r="I37" s="5">
        <v>1</v>
      </c>
      <c r="K37" s="273" t="s">
        <v>656</v>
      </c>
      <c r="L37" s="260"/>
      <c r="M37" s="260"/>
      <c r="N37" s="261"/>
      <c r="Q37" s="25"/>
      <c r="R37" s="51">
        <f>(IF($B37="",0,VLOOKUP($B37,'Processed products'!$B$5:$O$104,5,FALSE)))</f>
        <v>370</v>
      </c>
      <c r="S37" s="44"/>
      <c r="T37" s="28">
        <f>(IF($B37="","",VLOOKUP($B37,'Processed products'!$B$5:$O$104,9,FALSE)))</f>
        <v>640</v>
      </c>
      <c r="U37" s="34">
        <f>(IF($B37="","",VLOOKUP($B37,'Processed products'!$B$5:$O$104,10,FALSE)))</f>
        <v>79.87</v>
      </c>
      <c r="V37" s="28">
        <f>(IF($B37="","",VLOOKUP($B37,'Processed products'!$B$5:$O$104,11,FALSE)))</f>
        <v>13.24</v>
      </c>
      <c r="W37" s="28">
        <f>(IF($B37="","",VLOOKUP($B37,'Processed products'!$B$5:$O$104,12,FALSE)))</f>
        <v>5.95</v>
      </c>
      <c r="X37" s="28">
        <f>(IF($B37="","",VLOOKUP($B37,'Processed products'!$B$5:$O$104,13,FALSE)))</f>
        <v>27.17</v>
      </c>
      <c r="Z37" s="53"/>
      <c r="AA37" s="53"/>
      <c r="AB37" s="53"/>
      <c r="AC37" s="53"/>
      <c r="AD37" s="53"/>
      <c r="AF37" s="144" t="str">
        <f t="shared" si="13"/>
        <v/>
      </c>
      <c r="BJ37">
        <f t="shared" si="14"/>
        <v>110</v>
      </c>
      <c r="BK37" t="str">
        <f t="shared" si="15"/>
        <v xml:space="preserve">LittlePigs_up_to_31_1_conv </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110</v>
      </c>
      <c r="BK38" t="str">
        <f t="shared" si="15"/>
        <v xml:space="preserve">LittlePigs_up_to_31_1_conv </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K39" s="136">
        <f>6.7*0.031*1.032</f>
        <v>0.21434639999999999</v>
      </c>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110</v>
      </c>
      <c r="BK39" t="str">
        <f t="shared" si="15"/>
        <v xml:space="preserve">LittlePigs_up_to_31_1_conv </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L40" s="123"/>
      <c r="M40" s="123"/>
      <c r="N40" s="123"/>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110</v>
      </c>
      <c r="BK40" t="str">
        <f t="shared" si="15"/>
        <v xml:space="preserve">LittlePigs_up_to_31_1_conv </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246" t="s">
        <v>636</v>
      </c>
      <c r="L41" s="123"/>
      <c r="M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110</v>
      </c>
      <c r="BK41" t="str">
        <f t="shared" si="15"/>
        <v xml:space="preserve">LittlePigs_up_to_31_1_conv </v>
      </c>
      <c r="BL41" t="s">
        <v>126</v>
      </c>
      <c r="BM41" t="str">
        <f>$B$35</f>
        <v>Svinekoed_little_pig_dead_conv</v>
      </c>
      <c r="BN41" t="str">
        <f>C35</f>
        <v>Kg</v>
      </c>
      <c r="BO41" s="64">
        <f>P35</f>
        <v>0</v>
      </c>
    </row>
    <row r="42" spans="1:67" x14ac:dyDescent="0.3">
      <c r="A42" s="33" t="s">
        <v>61</v>
      </c>
      <c r="B42" s="39"/>
      <c r="C42" s="28" t="s">
        <v>43</v>
      </c>
      <c r="D42" s="34">
        <f>SUM(D35:D41)</f>
        <v>9.1352999999999991</v>
      </c>
      <c r="E42" s="24"/>
      <c r="I42" s="124"/>
      <c r="J42" s="136">
        <f>(24.3/2)*0.031*1.032</f>
        <v>0.38870280000000001</v>
      </c>
      <c r="K42" s="123"/>
      <c r="L42" s="124"/>
      <c r="M42" s="124"/>
      <c r="N42" s="124"/>
      <c r="P42" s="93"/>
      <c r="Q42" s="25"/>
      <c r="Z42" s="53"/>
      <c r="AA42" s="53"/>
      <c r="AB42" s="53"/>
      <c r="AC42" s="53"/>
      <c r="AD42" s="53"/>
      <c r="AF42" s="144" t="str">
        <f t="shared" si="18"/>
        <v/>
      </c>
      <c r="BJ42">
        <f t="shared" si="14"/>
        <v>110</v>
      </c>
      <c r="BK42" t="str">
        <f t="shared" si="15"/>
        <v xml:space="preserve">LittlePigs_up_to_31_1_conv </v>
      </c>
      <c r="BL42" t="s">
        <v>126</v>
      </c>
      <c r="BM42">
        <f>$B$36</f>
        <v>0</v>
      </c>
      <c r="BN42" t="str">
        <f t="shared" ref="BN42:BN47" si="19">C35</f>
        <v>Kg</v>
      </c>
      <c r="BO42" s="64">
        <f t="shared" ref="BO42:BO47" si="20">P35</f>
        <v>0</v>
      </c>
    </row>
    <row r="43" spans="1:67" x14ac:dyDescent="0.3">
      <c r="Z43" s="53"/>
      <c r="AA43" s="53"/>
      <c r="AB43" s="53"/>
      <c r="AC43" s="53"/>
      <c r="AD43" s="53"/>
      <c r="AF43" s="144" t="str">
        <f t="shared" si="18"/>
        <v/>
      </c>
      <c r="BJ43">
        <f t="shared" si="14"/>
        <v>110</v>
      </c>
      <c r="BK43" t="str">
        <f t="shared" si="15"/>
        <v xml:space="preserve">LittlePigs_up_to_31_1_conv </v>
      </c>
      <c r="BL43" t="s">
        <v>126</v>
      </c>
      <c r="BM43" t="str">
        <f>$B$37</f>
        <v>Svinekoed_little_pig_conv</v>
      </c>
      <c r="BN43" t="str">
        <f t="shared" si="19"/>
        <v>Kg</v>
      </c>
      <c r="BO43" s="64">
        <f t="shared" si="20"/>
        <v>0</v>
      </c>
    </row>
    <row r="44" spans="1:67" ht="15.6" x14ac:dyDescent="0.3">
      <c r="A44" s="16" t="s">
        <v>59</v>
      </c>
      <c r="B44" s="17" t="s">
        <v>798</v>
      </c>
      <c r="C44" s="17" t="s">
        <v>799</v>
      </c>
      <c r="D44" s="17" t="s">
        <v>809</v>
      </c>
      <c r="E44" s="66" t="s">
        <v>810</v>
      </c>
      <c r="F44" s="69" t="s">
        <v>811</v>
      </c>
      <c r="G44" s="66" t="s">
        <v>812</v>
      </c>
      <c r="H44" s="66" t="s">
        <v>829</v>
      </c>
      <c r="I44" s="66" t="s">
        <v>199</v>
      </c>
      <c r="J44" s="66" t="s">
        <v>202</v>
      </c>
      <c r="K44" s="66" t="s">
        <v>203</v>
      </c>
      <c r="L44" s="66" t="s">
        <v>204</v>
      </c>
      <c r="M44" s="66" t="s">
        <v>205</v>
      </c>
      <c r="N44" s="66" t="s">
        <v>206</v>
      </c>
      <c r="O44" s="66" t="s">
        <v>215</v>
      </c>
      <c r="Z44" s="53"/>
      <c r="AA44" s="53"/>
      <c r="AB44" s="53"/>
      <c r="AC44" s="53"/>
      <c r="AD44" s="53"/>
      <c r="AF44" s="144" t="str">
        <f t="shared" si="18"/>
        <v/>
      </c>
      <c r="BJ44">
        <f t="shared" si="14"/>
        <v>110</v>
      </c>
      <c r="BK44" t="str">
        <f t="shared" si="15"/>
        <v xml:space="preserve">LittlePigs_up_to_31_1_conv </v>
      </c>
      <c r="BL44" t="s">
        <v>126</v>
      </c>
      <c r="BM44">
        <f>$B$38</f>
        <v>0</v>
      </c>
      <c r="BN44" t="str">
        <f t="shared" si="19"/>
        <v>Kg</v>
      </c>
      <c r="BO44" s="64">
        <f t="shared" si="20"/>
        <v>0</v>
      </c>
    </row>
    <row r="45" spans="1:67" x14ac:dyDescent="0.3">
      <c r="A45" s="18" t="s">
        <v>814</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110</v>
      </c>
      <c r="BK45" t="str">
        <f t="shared" si="15"/>
        <v xml:space="preserve">LittlePigs_up_to_31_1_conv </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110</v>
      </c>
      <c r="BK46" t="str">
        <f t="shared" si="15"/>
        <v xml:space="preserve">LittlePigs_up_to_31_1_conv </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V47" s="64"/>
      <c r="Z47" s="53"/>
      <c r="AA47" s="53"/>
      <c r="AB47" s="53"/>
      <c r="AC47" s="53"/>
      <c r="AD47" s="53"/>
      <c r="AF47" s="144" t="str">
        <f t="shared" si="21"/>
        <v/>
      </c>
      <c r="AG47" s="136"/>
      <c r="AH47" s="136"/>
      <c r="AI47" s="136"/>
      <c r="AJ47" s="136"/>
      <c r="BJ47">
        <f t="shared" si="14"/>
        <v>110</v>
      </c>
      <c r="BK47" t="str">
        <f t="shared" si="15"/>
        <v xml:space="preserve">LittlePigs_up_to_31_1_conv </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110</v>
      </c>
      <c r="BK48" t="str">
        <f t="shared" si="15"/>
        <v xml:space="preserve">LittlePigs_up_to_31_1_conv </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110</v>
      </c>
      <c r="BK49" t="str">
        <f t="shared" si="15"/>
        <v xml:space="preserve">LittlePigs_up_to_31_1_conv </v>
      </c>
      <c r="BL49" t="s">
        <v>127</v>
      </c>
      <c r="BM49">
        <f t="shared" si="22"/>
        <v>0</v>
      </c>
      <c r="BN49" t="str">
        <f>$AF$34</f>
        <v/>
      </c>
      <c r="BO49" s="32" t="str">
        <f>AF45</f>
        <v/>
      </c>
    </row>
    <row r="50" spans="1:67" x14ac:dyDescent="0.3">
      <c r="A50" s="18" t="s">
        <v>105</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110</v>
      </c>
      <c r="BK50" t="str">
        <f t="shared" si="15"/>
        <v xml:space="preserve">LittlePigs_up_to_31_1_conv </v>
      </c>
      <c r="BL50" t="s">
        <v>127</v>
      </c>
      <c r="BM50">
        <f t="shared" si="22"/>
        <v>0</v>
      </c>
      <c r="BN50" s="32">
        <f>$AH$34</f>
        <v>0</v>
      </c>
      <c r="BO50" s="32">
        <f>AH45</f>
        <v>0</v>
      </c>
    </row>
    <row r="51" spans="1:67" ht="15" thickBot="1" x14ac:dyDescent="0.35">
      <c r="A51" s="18" t="s">
        <v>56</v>
      </c>
      <c r="B51" s="9"/>
      <c r="C51" s="28" t="s">
        <v>43</v>
      </c>
      <c r="D51" s="34">
        <f>SUM(D42,D45:D50)</f>
        <v>9.1352999999999991</v>
      </c>
      <c r="I51" s="93"/>
      <c r="J51" s="93"/>
      <c r="K51" s="93"/>
      <c r="L51" s="93"/>
      <c r="M51" s="93"/>
      <c r="N51" s="93"/>
      <c r="O51" s="135"/>
      <c r="P51" s="93"/>
      <c r="Q51" s="47"/>
      <c r="Z51" s="53"/>
      <c r="AA51" s="53"/>
      <c r="AB51" s="53"/>
      <c r="AC51" s="53"/>
      <c r="AD51" s="53"/>
      <c r="AF51" s="145" t="str">
        <f t="shared" si="21"/>
        <v/>
      </c>
      <c r="BJ51">
        <f t="shared" si="14"/>
        <v>110</v>
      </c>
      <c r="BK51" t="str">
        <f t="shared" si="15"/>
        <v xml:space="preserve">LittlePigs_up_to_31_1_conv </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110</v>
      </c>
      <c r="BK52" t="str">
        <f t="shared" si="15"/>
        <v xml:space="preserve">LittlePigs_up_to_31_1_conv </v>
      </c>
      <c r="BL52" t="s">
        <v>127</v>
      </c>
      <c r="BM52">
        <f t="shared" si="22"/>
        <v>0</v>
      </c>
      <c r="BN52">
        <f>$AJ$34</f>
        <v>0</v>
      </c>
      <c r="BO52" s="32">
        <f>AJ45</f>
        <v>0</v>
      </c>
    </row>
    <row r="53" spans="1:67" x14ac:dyDescent="0.3">
      <c r="A53" s="16" t="s">
        <v>277</v>
      </c>
      <c r="B53" s="17" t="s">
        <v>166</v>
      </c>
      <c r="C53" s="17" t="s">
        <v>799</v>
      </c>
      <c r="D53" s="42"/>
      <c r="E53" s="42"/>
      <c r="F53" s="42"/>
      <c r="G53" s="42"/>
      <c r="H53" s="42"/>
      <c r="I53" s="42"/>
      <c r="Y53" s="29"/>
      <c r="Z53" s="136"/>
      <c r="AA53" s="136"/>
      <c r="AB53" s="136"/>
      <c r="AC53" s="136"/>
      <c r="AD53" s="136"/>
      <c r="AF53" s="32"/>
      <c r="BJ53">
        <f t="shared" si="14"/>
        <v>110</v>
      </c>
      <c r="BK53" t="str">
        <f t="shared" si="15"/>
        <v xml:space="preserve">LittlePigs_up_to_31_1_conv </v>
      </c>
      <c r="BL53" t="s">
        <v>127</v>
      </c>
      <c r="BM53">
        <f t="shared" ref="BM53:BM58" si="23">$B$46</f>
        <v>0</v>
      </c>
      <c r="BN53" t="str">
        <f>C46</f>
        <v>Kg</v>
      </c>
      <c r="BO53" s="64">
        <f>P46</f>
        <v>0</v>
      </c>
    </row>
    <row r="54" spans="1:67" x14ac:dyDescent="0.3">
      <c r="A54" s="18" t="s">
        <v>813</v>
      </c>
      <c r="B54" s="50" t="s">
        <v>415</v>
      </c>
      <c r="C54" s="50" t="s">
        <v>43</v>
      </c>
      <c r="D54" s="138"/>
      <c r="E54" s="53"/>
      <c r="F54" s="138"/>
      <c r="G54" s="53"/>
      <c r="H54" s="138"/>
      <c r="I54" s="138"/>
      <c r="AF54" s="32"/>
      <c r="BJ54">
        <f t="shared" si="14"/>
        <v>110</v>
      </c>
      <c r="BK54" t="str">
        <f t="shared" si="15"/>
        <v xml:space="preserve">LittlePigs_up_to_31_1_conv </v>
      </c>
      <c r="BL54" t="s">
        <v>127</v>
      </c>
      <c r="BM54">
        <f t="shared" si="23"/>
        <v>0</v>
      </c>
      <c r="BN54" t="str">
        <f>$AF$34</f>
        <v/>
      </c>
      <c r="BO54" s="32" t="str">
        <f>AF$46</f>
        <v/>
      </c>
    </row>
    <row r="55" spans="1:67" x14ac:dyDescent="0.3">
      <c r="A55" s="18" t="s">
        <v>254</v>
      </c>
      <c r="B55" s="50" t="s">
        <v>738</v>
      </c>
      <c r="C55" s="50" t="s">
        <v>43</v>
      </c>
      <c r="D55" s="138"/>
      <c r="E55" s="53"/>
      <c r="F55" s="138"/>
      <c r="G55" s="53"/>
      <c r="H55" s="138"/>
      <c r="I55" s="138"/>
      <c r="BJ55">
        <f t="shared" si="14"/>
        <v>110</v>
      </c>
      <c r="BK55" t="str">
        <f t="shared" si="15"/>
        <v xml:space="preserve">LittlePigs_up_to_31_1_conv </v>
      </c>
      <c r="BL55" t="s">
        <v>127</v>
      </c>
      <c r="BM55">
        <f t="shared" si="23"/>
        <v>0</v>
      </c>
      <c r="BN55">
        <f>$AG$34</f>
        <v>0</v>
      </c>
      <c r="BO55" s="32">
        <f>AG$46</f>
        <v>0</v>
      </c>
    </row>
    <row r="56" spans="1:67" x14ac:dyDescent="0.3">
      <c r="A56" s="18" t="s">
        <v>35</v>
      </c>
      <c r="B56" s="50"/>
      <c r="C56" s="50"/>
      <c r="D56" s="138"/>
      <c r="E56" s="53"/>
      <c r="F56" s="138"/>
      <c r="G56" s="53"/>
      <c r="H56" s="138"/>
      <c r="I56" s="138"/>
      <c r="BJ56">
        <f t="shared" si="14"/>
        <v>110</v>
      </c>
      <c r="BK56" t="str">
        <f t="shared" si="15"/>
        <v xml:space="preserve">LittlePigs_up_to_31_1_conv </v>
      </c>
      <c r="BL56" t="s">
        <v>127</v>
      </c>
      <c r="BM56">
        <f t="shared" si="23"/>
        <v>0</v>
      </c>
      <c r="BN56" s="32">
        <f>$AH$34</f>
        <v>0</v>
      </c>
      <c r="BO56" s="32">
        <f>AH$46</f>
        <v>0</v>
      </c>
    </row>
    <row r="57" spans="1:67" x14ac:dyDescent="0.3">
      <c r="A57" s="18" t="s">
        <v>36</v>
      </c>
      <c r="B57" s="50"/>
      <c r="C57" s="50"/>
      <c r="D57" s="138"/>
      <c r="E57" s="53"/>
      <c r="F57" s="138"/>
      <c r="G57" s="53"/>
      <c r="H57" s="138"/>
      <c r="I57" s="138"/>
      <c r="BJ57">
        <f t="shared" si="14"/>
        <v>110</v>
      </c>
      <c r="BK57" t="str">
        <f t="shared" si="15"/>
        <v xml:space="preserve">LittlePigs_up_to_31_1_conv </v>
      </c>
      <c r="BL57" t="s">
        <v>127</v>
      </c>
      <c r="BM57">
        <f t="shared" si="23"/>
        <v>0</v>
      </c>
      <c r="BN57">
        <f>$AI$34</f>
        <v>0</v>
      </c>
      <c r="BO57" s="32">
        <f>AI$46</f>
        <v>0</v>
      </c>
    </row>
    <row r="58" spans="1:67" x14ac:dyDescent="0.3">
      <c r="A58" s="18" t="s">
        <v>37</v>
      </c>
      <c r="B58" s="50"/>
      <c r="C58" s="50"/>
      <c r="D58" s="138"/>
      <c r="E58" s="53"/>
      <c r="F58" s="138"/>
      <c r="G58" s="53"/>
      <c r="H58" s="138"/>
      <c r="I58" s="138"/>
      <c r="BJ58">
        <f t="shared" si="14"/>
        <v>110</v>
      </c>
      <c r="BK58" t="str">
        <f t="shared" si="15"/>
        <v xml:space="preserve">LittlePigs_up_to_31_1_conv </v>
      </c>
      <c r="BL58" t="s">
        <v>127</v>
      </c>
      <c r="BM58">
        <f t="shared" si="23"/>
        <v>0</v>
      </c>
      <c r="BN58">
        <f>$AJ$34</f>
        <v>0</v>
      </c>
      <c r="BO58" s="32">
        <f>AJ$46</f>
        <v>0</v>
      </c>
    </row>
    <row r="59" spans="1:67" x14ac:dyDescent="0.3">
      <c r="A59" s="18" t="s">
        <v>56</v>
      </c>
      <c r="B59" s="24"/>
      <c r="D59" s="32"/>
      <c r="F59" s="32"/>
      <c r="H59" s="138"/>
      <c r="I59" s="138"/>
      <c r="BJ59">
        <f t="shared" si="14"/>
        <v>110</v>
      </c>
      <c r="BK59" t="str">
        <f t="shared" si="15"/>
        <v xml:space="preserve">LittlePigs_up_to_31_1_conv </v>
      </c>
      <c r="BL59" t="s">
        <v>127</v>
      </c>
      <c r="BM59">
        <f t="shared" ref="BL59:BM62" si="24">$B$47</f>
        <v>0</v>
      </c>
      <c r="BN59">
        <f>$AG$34</f>
        <v>0</v>
      </c>
      <c r="BO59" s="32">
        <f>AG$47</f>
        <v>0</v>
      </c>
    </row>
    <row r="60" spans="1:67" x14ac:dyDescent="0.3">
      <c r="BJ60">
        <f t="shared" si="14"/>
        <v>110</v>
      </c>
      <c r="BK60" t="str">
        <f t="shared" si="15"/>
        <v xml:space="preserve">LittlePigs_up_to_31_1_conv </v>
      </c>
      <c r="BL60" t="s">
        <v>127</v>
      </c>
      <c r="BM60">
        <f t="shared" si="24"/>
        <v>0</v>
      </c>
      <c r="BN60" s="32">
        <f>$AH$34</f>
        <v>0</v>
      </c>
      <c r="BO60" s="32">
        <f>AH$47</f>
        <v>0</v>
      </c>
    </row>
    <row r="61" spans="1:67" ht="17.399999999999999" x14ac:dyDescent="0.3">
      <c r="A61" s="31" t="s">
        <v>104</v>
      </c>
      <c r="BJ61">
        <f t="shared" si="14"/>
        <v>110</v>
      </c>
      <c r="BK61" t="str">
        <f t="shared" si="15"/>
        <v xml:space="preserve">LittlePigs_up_to_31_1_conv </v>
      </c>
      <c r="BL61" t="s">
        <v>127</v>
      </c>
      <c r="BM61">
        <f t="shared" si="24"/>
        <v>0</v>
      </c>
      <c r="BN61">
        <f>$AI$34</f>
        <v>0</v>
      </c>
      <c r="BO61" s="32">
        <f>AI$47</f>
        <v>0</v>
      </c>
    </row>
    <row r="62" spans="1:67" x14ac:dyDescent="0.3">
      <c r="A62" s="21" t="s">
        <v>280</v>
      </c>
      <c r="B62" s="10" t="s">
        <v>123</v>
      </c>
      <c r="C62" s="10" t="s">
        <v>830</v>
      </c>
      <c r="D62" s="10" t="s">
        <v>103</v>
      </c>
      <c r="BI62">
        <f t="shared" si="14"/>
        <v>110</v>
      </c>
      <c r="BJ62" t="str">
        <f t="shared" si="15"/>
        <v xml:space="preserve">LittlePigs_up_to_31_1_conv </v>
      </c>
      <c r="BK62" t="s">
        <v>127</v>
      </c>
      <c r="BL62">
        <f t="shared" si="24"/>
        <v>0</v>
      </c>
      <c r="BM62">
        <f>$AJ$34</f>
        <v>0</v>
      </c>
      <c r="BN62" s="32">
        <f>AJ$47</f>
        <v>0</v>
      </c>
    </row>
    <row r="63" spans="1:67" x14ac:dyDescent="0.3">
      <c r="A63" s="18" t="s">
        <v>86</v>
      </c>
      <c r="B63" s="19">
        <v>26.2</v>
      </c>
      <c r="C63" s="11">
        <v>1.8</v>
      </c>
      <c r="D63" s="11"/>
      <c r="E63" t="s">
        <v>383</v>
      </c>
      <c r="BI63">
        <f t="shared" ref="BI63:BJ91" si="25">$BM$32</f>
        <v>110</v>
      </c>
      <c r="BJ63" t="str">
        <f t="shared" ref="BJ63:BK91" si="26">$BM$33</f>
        <v xml:space="preserve">LittlePigs_up_to_31_1_conv </v>
      </c>
      <c r="BK63" t="s">
        <v>127</v>
      </c>
      <c r="BL63">
        <f t="shared" ref="BL63:BM68" si="27">$B$48</f>
        <v>0</v>
      </c>
      <c r="BM63" s="64" t="str">
        <f>C48</f>
        <v>Kg</v>
      </c>
      <c r="BN63" s="32">
        <f>P48</f>
        <v>0</v>
      </c>
    </row>
    <row r="64" spans="1:67" x14ac:dyDescent="0.3">
      <c r="A64" s="18" t="s">
        <v>87</v>
      </c>
      <c r="B64" s="19"/>
      <c r="C64" s="11"/>
      <c r="D64" s="11"/>
      <c r="BI64">
        <f t="shared" si="25"/>
        <v>110</v>
      </c>
      <c r="BJ64" t="str">
        <f t="shared" si="26"/>
        <v xml:space="preserve">LittlePigs_up_to_31_1_conv </v>
      </c>
      <c r="BK64" t="s">
        <v>127</v>
      </c>
      <c r="BL64">
        <f t="shared" si="27"/>
        <v>0</v>
      </c>
      <c r="BM64" t="str">
        <f>$AF$34</f>
        <v/>
      </c>
      <c r="BN64" s="32" t="str">
        <f>AF$48</f>
        <v/>
      </c>
    </row>
    <row r="65" spans="1:67" x14ac:dyDescent="0.3">
      <c r="A65" s="156" t="s">
        <v>56</v>
      </c>
      <c r="B65" s="159">
        <f>SUM(B63:B64)</f>
        <v>26.2</v>
      </c>
      <c r="C65" s="159">
        <f>SUM(C63:C64)</f>
        <v>1.8</v>
      </c>
      <c r="D65" s="159">
        <f>SUM(D63:D64)</f>
        <v>0</v>
      </c>
      <c r="BJ65">
        <f t="shared" si="25"/>
        <v>110</v>
      </c>
      <c r="BK65" t="str">
        <f t="shared" si="26"/>
        <v xml:space="preserve">LittlePigs_up_to_31_1_conv </v>
      </c>
      <c r="BL65" t="s">
        <v>127</v>
      </c>
      <c r="BM65">
        <f t="shared" si="27"/>
        <v>0</v>
      </c>
      <c r="BN65">
        <f>$AG$34</f>
        <v>0</v>
      </c>
      <c r="BO65" s="32">
        <f>AG$48</f>
        <v>0</v>
      </c>
    </row>
    <row r="66" spans="1:67" ht="17.399999999999999" x14ac:dyDescent="0.3">
      <c r="P66" s="31" t="s">
        <v>856</v>
      </c>
      <c r="Q66" s="31"/>
      <c r="BJ66">
        <f t="shared" si="25"/>
        <v>110</v>
      </c>
      <c r="BK66" t="str">
        <f t="shared" si="26"/>
        <v xml:space="preserve">LittlePigs_up_to_31_1_conv </v>
      </c>
      <c r="BL66" t="s">
        <v>127</v>
      </c>
      <c r="BM66">
        <f t="shared" si="27"/>
        <v>0</v>
      </c>
      <c r="BN66" s="32">
        <f>$AH$34</f>
        <v>0</v>
      </c>
      <c r="BO66" s="32">
        <f>AH$48</f>
        <v>0</v>
      </c>
    </row>
    <row r="67" spans="1:67" x14ac:dyDescent="0.3">
      <c r="A67" s="21" t="s">
        <v>18</v>
      </c>
      <c r="B67" s="37" t="s">
        <v>69</v>
      </c>
      <c r="C67" s="17" t="s">
        <v>831</v>
      </c>
      <c r="D67" s="17" t="s">
        <v>832</v>
      </c>
      <c r="E67" s="17" t="s">
        <v>833</v>
      </c>
      <c r="F67" s="17" t="s">
        <v>834</v>
      </c>
      <c r="G67" s="174" t="s">
        <v>913</v>
      </c>
      <c r="I67" s="42"/>
      <c r="K67" s="17" t="s">
        <v>82</v>
      </c>
      <c r="L67" s="17" t="s">
        <v>17</v>
      </c>
      <c r="P67" s="17" t="s">
        <v>847</v>
      </c>
      <c r="Q67" s="54"/>
      <c r="R67" s="17" t="s">
        <v>119</v>
      </c>
      <c r="S67" s="17" t="s">
        <v>83</v>
      </c>
      <c r="T67" s="17" t="s">
        <v>97</v>
      </c>
      <c r="BJ67">
        <f t="shared" si="25"/>
        <v>110</v>
      </c>
      <c r="BK67" t="str">
        <f t="shared" si="26"/>
        <v xml:space="preserve">LittlePigs_up_to_31_1_conv </v>
      </c>
      <c r="BL67" t="s">
        <v>127</v>
      </c>
      <c r="BM67">
        <f t="shared" si="27"/>
        <v>0</v>
      </c>
      <c r="BN67">
        <f>$AI$34</f>
        <v>0</v>
      </c>
      <c r="BO67" s="32">
        <f>AI$48</f>
        <v>0</v>
      </c>
    </row>
    <row r="68" spans="1:67" x14ac:dyDescent="0.3">
      <c r="A68" s="18" t="s">
        <v>44</v>
      </c>
      <c r="B68" s="38" t="s">
        <v>284</v>
      </c>
      <c r="C68" s="19">
        <v>168</v>
      </c>
      <c r="D68" s="11" t="s">
        <v>225</v>
      </c>
      <c r="E68" s="11" t="s">
        <v>81</v>
      </c>
      <c r="F68" s="5">
        <v>100</v>
      </c>
      <c r="G68" t="s">
        <v>681</v>
      </c>
      <c r="K68" s="49">
        <f t="shared" ref="K68:K72" si="28">IF(B68="",0,((((VLOOKUP(B68,$B$12:$D$18,3,FALSE))/1000)*C68)/(VLOOKUP(B68,$B$12:$R$18,17,FALSE)/1000))*(F68/100))</f>
        <v>3.7635833755578227</v>
      </c>
      <c r="L68" s="49">
        <f>IF(E68="Diesel",VLOOKUP(D68,Other_tables!$L$5:$O$13,2,FALSE)*K68,0)</f>
        <v>0</v>
      </c>
      <c r="P68" s="30" t="str">
        <f>Other_tables!L5</f>
        <v>Traktor</v>
      </c>
      <c r="Q68" s="44"/>
      <c r="R68" s="159">
        <f t="shared" ref="R68:R76" si="29">SUMPRODUCT(($D$68:$D$81=P68)*$L$68:$L$81)</f>
        <v>5.4085125819757131E-3</v>
      </c>
      <c r="S68" s="49">
        <f t="shared" ref="S68:S76" si="30">IF(P68="","0",SUMPRODUCT(($D$68:$D$81=P68)*$K$68:$K$81))</f>
        <v>2.7042562909878564E-2</v>
      </c>
      <c r="T68" s="49">
        <f>IF(R68&gt;0,0,(S68*VLOOKUP(P68,Other_tables!$L$5:$O$13,2,FALSE))/1000)</f>
        <v>0</v>
      </c>
      <c r="U68" s="95"/>
      <c r="BJ68">
        <f t="shared" si="25"/>
        <v>110</v>
      </c>
      <c r="BK68" t="str">
        <f t="shared" si="26"/>
        <v xml:space="preserve">LittlePigs_up_to_31_1_conv </v>
      </c>
      <c r="BL68" t="s">
        <v>127</v>
      </c>
      <c r="BM68">
        <f t="shared" si="27"/>
        <v>0</v>
      </c>
      <c r="BN68">
        <f>$AJ$34</f>
        <v>0</v>
      </c>
      <c r="BO68" s="32">
        <f>AJ$48</f>
        <v>0</v>
      </c>
    </row>
    <row r="69" spans="1:67" x14ac:dyDescent="0.3">
      <c r="A69" s="18" t="s">
        <v>45</v>
      </c>
      <c r="B69" s="38" t="s">
        <v>285</v>
      </c>
      <c r="C69" s="19">
        <v>168</v>
      </c>
      <c r="D69" s="11" t="s">
        <v>225</v>
      </c>
      <c r="E69" s="11" t="s">
        <v>81</v>
      </c>
      <c r="F69" s="5">
        <v>100</v>
      </c>
      <c r="G69" t="s">
        <v>682</v>
      </c>
      <c r="K69" s="49">
        <f t="shared" si="28"/>
        <v>0.36298172710413079</v>
      </c>
      <c r="L69" s="49">
        <f>IF(E69="Diesel",VLOOKUP(D69,Other_tables!$L$5:$O$13,2,FALSE)*K69,0)</f>
        <v>0</v>
      </c>
      <c r="P69" s="30" t="str">
        <f>Other_tables!L6</f>
        <v>Lastbil &gt; 20 T</v>
      </c>
      <c r="Q69" s="44"/>
      <c r="R69" s="159">
        <f t="shared" si="29"/>
        <v>0</v>
      </c>
      <c r="S69" s="49">
        <f t="shared" si="30"/>
        <v>4.3281651026619539</v>
      </c>
      <c r="T69" s="49">
        <f>IF(R69&gt;0,0,(S69*VLOOKUP(P69,Other_tables!$L$5:$O$13,2,FALSE))/1000)</f>
        <v>0.43281651026619539</v>
      </c>
      <c r="U69" s="95"/>
      <c r="BJ69">
        <f t="shared" si="25"/>
        <v>110</v>
      </c>
      <c r="BK69" t="str">
        <f t="shared" si="26"/>
        <v xml:space="preserve">LittlePigs_up_to_31_1_conv </v>
      </c>
      <c r="BL69" t="s">
        <v>127</v>
      </c>
      <c r="BM69">
        <f t="shared" ref="BM69:BM74" si="31">$B$49</f>
        <v>0</v>
      </c>
      <c r="BN69" s="64" t="str">
        <f>C49</f>
        <v>Kg</v>
      </c>
      <c r="BO69" s="32">
        <f>P49</f>
        <v>0</v>
      </c>
    </row>
    <row r="70" spans="1:67" x14ac:dyDescent="0.3">
      <c r="A70" s="18" t="s">
        <v>46</v>
      </c>
      <c r="B70" s="38"/>
      <c r="C70" s="19"/>
      <c r="D70" s="11"/>
      <c r="E70" s="11"/>
      <c r="F70" s="5"/>
      <c r="K70" s="49">
        <f t="shared" si="28"/>
        <v>0</v>
      </c>
      <c r="L70" s="49">
        <f>IF(E70="Diesel",VLOOKUP(D70,Other_tables!$L$5:$O$13,2,FALSE)*K70,0)</f>
        <v>0</v>
      </c>
      <c r="P70" s="30" t="str">
        <f>Other_tables!L7</f>
        <v>Lastbil 10-20 T</v>
      </c>
      <c r="Q70" s="44"/>
      <c r="R70" s="159">
        <f t="shared" si="29"/>
        <v>0</v>
      </c>
      <c r="S70" s="49">
        <f t="shared" si="30"/>
        <v>0.71933217340276989</v>
      </c>
      <c r="T70" s="49">
        <f>IF(R70&gt;0,0,(S70*VLOOKUP(P70,Other_tables!$L$5:$O$13,2,FALSE))/1000)</f>
        <v>0.18271037204430354</v>
      </c>
      <c r="BJ70">
        <f t="shared" si="25"/>
        <v>110</v>
      </c>
      <c r="BK70" t="str">
        <f t="shared" si="26"/>
        <v xml:space="preserve">LittlePigs_up_to_31_1_conv </v>
      </c>
      <c r="BL70" t="s">
        <v>127</v>
      </c>
      <c r="BM70">
        <f t="shared" si="31"/>
        <v>0</v>
      </c>
      <c r="BN70" t="str">
        <f>$AF$34</f>
        <v/>
      </c>
      <c r="BO70" s="32" t="str">
        <f>AF$49</f>
        <v/>
      </c>
    </row>
    <row r="71" spans="1:67" x14ac:dyDescent="0.3">
      <c r="A71" s="18" t="s">
        <v>47</v>
      </c>
      <c r="B71" s="38" t="s">
        <v>408</v>
      </c>
      <c r="C71" s="19">
        <v>133</v>
      </c>
      <c r="D71" s="11" t="s">
        <v>226</v>
      </c>
      <c r="E71" s="11" t="s">
        <v>81</v>
      </c>
      <c r="F71" s="5">
        <v>50</v>
      </c>
      <c r="G71" t="s">
        <v>685</v>
      </c>
      <c r="K71" s="49">
        <f t="shared" si="28"/>
        <v>0.71933217340276989</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110</v>
      </c>
      <c r="BK71" t="str">
        <f t="shared" si="26"/>
        <v xml:space="preserve">LittlePigs_up_to_31_1_conv </v>
      </c>
      <c r="BL71" t="s">
        <v>127</v>
      </c>
      <c r="BM71">
        <f t="shared" si="31"/>
        <v>0</v>
      </c>
      <c r="BN71">
        <f>$AG$34</f>
        <v>0</v>
      </c>
      <c r="BO71" s="32">
        <f>AG$49</f>
        <v>0</v>
      </c>
    </row>
    <row r="72" spans="1:67" x14ac:dyDescent="0.3">
      <c r="A72" s="18" t="s">
        <v>67</v>
      </c>
      <c r="B72" s="38" t="s">
        <v>408</v>
      </c>
      <c r="C72" s="19">
        <v>5</v>
      </c>
      <c r="D72" s="11" t="s">
        <v>229</v>
      </c>
      <c r="E72" s="11" t="s">
        <v>17</v>
      </c>
      <c r="F72" s="5">
        <v>50</v>
      </c>
      <c r="K72" s="49">
        <f t="shared" si="28"/>
        <v>2.7042562909878564E-2</v>
      </c>
      <c r="L72" s="49">
        <f>IF(E72="Diesel",VLOOKUP(D72,Other_tables!$L$5:$O$13,2,FALSE)*K72,0)</f>
        <v>5.4085125819757131E-3</v>
      </c>
      <c r="P72" s="30" t="str">
        <f>Other_tables!L9</f>
        <v>Fragttog Europa</v>
      </c>
      <c r="Q72" s="44"/>
      <c r="R72" s="159">
        <f t="shared" si="29"/>
        <v>0</v>
      </c>
      <c r="S72" s="49">
        <f t="shared" si="30"/>
        <v>0</v>
      </c>
      <c r="T72" s="49">
        <f>IF(R72&gt;0,0,(S72*VLOOKUP(P72,Other_tables!$L$5:$O$13,2,FALSE))/1000)</f>
        <v>0</v>
      </c>
      <c r="BJ72">
        <f t="shared" si="25"/>
        <v>110</v>
      </c>
      <c r="BK72" t="str">
        <f t="shared" si="26"/>
        <v xml:space="preserve">LittlePigs_up_to_31_1_conv </v>
      </c>
      <c r="BL72" t="s">
        <v>127</v>
      </c>
      <c r="BM72">
        <f t="shared" si="31"/>
        <v>0</v>
      </c>
      <c r="BN72" s="32">
        <f>$AH$34</f>
        <v>0</v>
      </c>
      <c r="BO72" s="32">
        <f>AH$49</f>
        <v>0</v>
      </c>
    </row>
    <row r="73" spans="1:67" x14ac:dyDescent="0.3">
      <c r="A73" s="18" t="s">
        <v>68</v>
      </c>
      <c r="B73" s="38" t="s">
        <v>382</v>
      </c>
      <c r="C73" s="19">
        <v>168</v>
      </c>
      <c r="D73" s="11" t="s">
        <v>225</v>
      </c>
      <c r="E73" s="11" t="s">
        <v>81</v>
      </c>
      <c r="F73" s="5">
        <v>100</v>
      </c>
      <c r="G73" t="s">
        <v>634</v>
      </c>
      <c r="K73" s="49">
        <f>IF(B73="",0,((((VLOOKUP(B73,$B$12:$D$18,3,FALSE))/1000)*C73)/(VLOOKUP(B73,$B$12:$R$18,17,FALSE)/1000))*(F73/100))</f>
        <v>0.20159999999999997</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110</v>
      </c>
      <c r="BK73" t="str">
        <f t="shared" si="26"/>
        <v xml:space="preserve">LittlePigs_up_to_31_1_conv </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110</v>
      </c>
      <c r="BK74" t="str">
        <f t="shared" si="26"/>
        <v xml:space="preserve">LittlePigs_up_to_31_1_conv </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110</v>
      </c>
      <c r="BK75" t="str">
        <f t="shared" si="26"/>
        <v xml:space="preserve">LittlePigs_up_to_31_1_conv </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110</v>
      </c>
      <c r="BK76" t="str">
        <f t="shared" si="26"/>
        <v xml:space="preserve">LittlePigs_up_to_31_1_conv </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5.4085125819757131E-3</v>
      </c>
      <c r="S77" s="57"/>
      <c r="T77" s="58">
        <f>SUM(T68:T76)</f>
        <v>0.6155268823104989</v>
      </c>
      <c r="BJ77">
        <f t="shared" si="25"/>
        <v>110</v>
      </c>
      <c r="BK77" t="str">
        <f t="shared" si="26"/>
        <v xml:space="preserve">LittlePigs_up_to_31_1_conv </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110</v>
      </c>
      <c r="BK78" t="str">
        <f t="shared" si="26"/>
        <v xml:space="preserve">LittlePigs_up_to_31_1_conv </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110</v>
      </c>
      <c r="BK79" t="str">
        <f t="shared" si="26"/>
        <v xml:space="preserve">LittlePigs_up_to_31_1_conv </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110</v>
      </c>
      <c r="BK80" t="str">
        <f t="shared" si="26"/>
        <v xml:space="preserve">LittlePigs_up_to_31_1_conv </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110</v>
      </c>
      <c r="BK81" t="str">
        <f t="shared" si="26"/>
        <v xml:space="preserve">LittlePigs_up_to_31_1_conv </v>
      </c>
      <c r="BL81" t="s">
        <v>118</v>
      </c>
      <c r="BM81" t="s">
        <v>118</v>
      </c>
      <c r="BN81">
        <f>I53</f>
        <v>0</v>
      </c>
      <c r="BO81" s="47">
        <f>I59</f>
        <v>0</v>
      </c>
    </row>
    <row r="82" spans="1:67" ht="17.399999999999999" x14ac:dyDescent="0.3">
      <c r="A82" s="25"/>
      <c r="B82" s="25"/>
      <c r="C82" s="24"/>
      <c r="D82" s="24"/>
      <c r="P82" s="31" t="s">
        <v>857</v>
      </c>
      <c r="Q82" s="55"/>
      <c r="BJ82">
        <f t="shared" si="25"/>
        <v>110</v>
      </c>
      <c r="BK82" t="str">
        <f t="shared" si="26"/>
        <v xml:space="preserve">LittlePigs_up_to_31_1_conv </v>
      </c>
      <c r="BL82" t="s">
        <v>118</v>
      </c>
      <c r="BM82" t="s">
        <v>118</v>
      </c>
      <c r="BN82">
        <f>H53</f>
        <v>0</v>
      </c>
      <c r="BO82" s="47">
        <f>H59</f>
        <v>0</v>
      </c>
    </row>
    <row r="83" spans="1:67" x14ac:dyDescent="0.3">
      <c r="A83" s="43" t="s">
        <v>120</v>
      </c>
      <c r="B83" s="37" t="s">
        <v>69</v>
      </c>
      <c r="C83" s="10" t="s">
        <v>835</v>
      </c>
      <c r="D83" s="10" t="s">
        <v>177</v>
      </c>
      <c r="E83" s="10" t="s">
        <v>17</v>
      </c>
      <c r="F83" s="10" t="s">
        <v>836</v>
      </c>
      <c r="G83" s="174" t="s">
        <v>914</v>
      </c>
      <c r="P83" s="37" t="s">
        <v>858</v>
      </c>
      <c r="Q83" s="37"/>
      <c r="R83" s="37" t="s">
        <v>830</v>
      </c>
      <c r="S83" s="37" t="s">
        <v>119</v>
      </c>
      <c r="BJ83">
        <f t="shared" si="25"/>
        <v>110</v>
      </c>
      <c r="BK83" t="str">
        <f t="shared" si="26"/>
        <v xml:space="preserve">LittlePigs_up_to_31_1_conv </v>
      </c>
      <c r="BL83" t="str">
        <f>$A$67</f>
        <v>Transport</v>
      </c>
      <c r="BM83" t="str">
        <f>BL83</f>
        <v>Transport</v>
      </c>
      <c r="BN83" t="str">
        <f>R67</f>
        <v>Diesel (L)</v>
      </c>
      <c r="BO83" s="47">
        <f>R77</f>
        <v>5.4085125819757131E-3</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0.1976296296296296</v>
      </c>
      <c r="S84" s="49">
        <f>IF(E84="",0,VLOOKUP(P84,$B$12:$D$18,3,FALSE)*E84)</f>
        <v>2.6123456790123453E-2</v>
      </c>
      <c r="BJ84">
        <f t="shared" si="25"/>
        <v>110</v>
      </c>
      <c r="BK84" t="str">
        <f t="shared" si="26"/>
        <v xml:space="preserve">LittlePigs_up_to_31_1_conv </v>
      </c>
      <c r="BL84" t="str">
        <f>$A$67</f>
        <v>Transport</v>
      </c>
      <c r="BM84" t="str">
        <f>BL84</f>
        <v>Transport</v>
      </c>
      <c r="BN84" t="str">
        <f>T67</f>
        <v>kg CO₂eq for T/km</v>
      </c>
      <c r="BO84" s="47">
        <f>T77</f>
        <v>0.6155268823104989</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110</v>
      </c>
      <c r="BK85" t="str">
        <f t="shared" si="26"/>
        <v xml:space="preserve">LittlePigs_up_to_31_1_conv </v>
      </c>
      <c r="BL85" t="s">
        <v>120</v>
      </c>
      <c r="BM85" t="s">
        <v>120</v>
      </c>
      <c r="BN85" t="str">
        <f>R83</f>
        <v>Electricity (KWh)</v>
      </c>
      <c r="BO85" s="47">
        <f>R93</f>
        <v>0.1976296296296296</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110</v>
      </c>
      <c r="BK86" t="str">
        <f t="shared" si="26"/>
        <v xml:space="preserve">LittlePigs_up_to_31_1_conv </v>
      </c>
      <c r="BL86" t="s">
        <v>120</v>
      </c>
      <c r="BM86" t="s">
        <v>120</v>
      </c>
      <c r="BN86" t="str">
        <f>S83</f>
        <v>Diesel (L)</v>
      </c>
      <c r="BO86" s="47">
        <f>S93</f>
        <v>2.6123456790123453E-2</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110</v>
      </c>
      <c r="BK87" t="str">
        <f t="shared" si="26"/>
        <v xml:space="preserve">LittlePigs_up_to_31_1_conv </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110</v>
      </c>
      <c r="BK88" t="str">
        <f t="shared" si="26"/>
        <v xml:space="preserve">LittlePigs_up_to_31_1_conv </v>
      </c>
      <c r="BL88" t="s">
        <v>121</v>
      </c>
      <c r="BM88" t="s">
        <v>121</v>
      </c>
      <c r="BN88" t="str">
        <f>S96</f>
        <v>Electricity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110</v>
      </c>
      <c r="BK89" t="str">
        <f t="shared" si="26"/>
        <v xml:space="preserve">LittlePigs_up_to_31_1_conv </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110</v>
      </c>
      <c r="BK90" t="str">
        <f t="shared" si="26"/>
        <v xml:space="preserve">LittlePigs_up_to_31_1_conv </v>
      </c>
      <c r="BL90" t="s">
        <v>125</v>
      </c>
      <c r="BM90" t="s">
        <v>125</v>
      </c>
      <c r="BN90" t="str">
        <f>D108</f>
        <v>Electricity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110</v>
      </c>
      <c r="BK91" t="str">
        <f t="shared" si="26"/>
        <v xml:space="preserve">LittlePigs_up_to_31_1_conv </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0.1976296296296296</v>
      </c>
      <c r="S93" s="58">
        <f>SUM(S84:S92)</f>
        <v>2.6123456790123453E-2</v>
      </c>
    </row>
    <row r="94" spans="1:67" x14ac:dyDescent="0.3">
      <c r="P94" s="29"/>
      <c r="Q94" s="29"/>
      <c r="R94" s="46"/>
      <c r="S94" s="46"/>
      <c r="T94" s="46"/>
    </row>
    <row r="95" spans="1:67" ht="17.399999999999999" x14ac:dyDescent="0.3">
      <c r="P95" s="31" t="s">
        <v>859</v>
      </c>
      <c r="Q95" s="31"/>
      <c r="R95" s="79" t="s">
        <v>124</v>
      </c>
    </row>
    <row r="96" spans="1:67" x14ac:dyDescent="0.3">
      <c r="A96" s="21" t="s">
        <v>837</v>
      </c>
      <c r="B96" s="37" t="s">
        <v>69</v>
      </c>
      <c r="C96" s="10" t="s">
        <v>123</v>
      </c>
      <c r="D96" s="10" t="s">
        <v>830</v>
      </c>
      <c r="E96" s="10" t="s">
        <v>103</v>
      </c>
      <c r="P96" s="37" t="s">
        <v>85</v>
      </c>
      <c r="Q96" s="37"/>
      <c r="R96" s="37" t="s">
        <v>123</v>
      </c>
      <c r="S96" s="37" t="s">
        <v>830</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838</v>
      </c>
      <c r="B108" s="37" t="s">
        <v>69</v>
      </c>
      <c r="C108" s="10" t="s">
        <v>100</v>
      </c>
      <c r="D108" s="10" t="s">
        <v>830</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839</v>
      </c>
      <c r="B121" s="157"/>
      <c r="C121" s="10" t="s">
        <v>840</v>
      </c>
      <c r="D121" s="79" t="s">
        <v>841</v>
      </c>
      <c r="E121" s="171" t="s">
        <v>842</v>
      </c>
      <c r="F121" s="79" t="s">
        <v>851</v>
      </c>
      <c r="G121" s="79" t="s">
        <v>852</v>
      </c>
      <c r="H121" s="79" t="s">
        <v>853</v>
      </c>
      <c r="M121" s="79" t="s">
        <v>860</v>
      </c>
    </row>
    <row r="122" spans="1:13" x14ac:dyDescent="0.3">
      <c r="A122" s="158" t="s">
        <v>475</v>
      </c>
      <c r="B122" s="158"/>
      <c r="C122" s="248">
        <v>81.550710566475814</v>
      </c>
      <c r="D122" s="6" t="s">
        <v>409</v>
      </c>
      <c r="E122" s="165">
        <v>0.85</v>
      </c>
      <c r="F122" s="164">
        <f>VLOOKUP(A122,'Stable systems'!$A$4:$AK$105,35,FALSE)</f>
        <v>0</v>
      </c>
      <c r="G122" s="164">
        <f>VLOOKUP(A122,'Stable systems'!$A$4:$AK$105,36,FALSE)</f>
        <v>0</v>
      </c>
      <c r="H122" s="164">
        <f>VLOOKUP(A122,'Stable systems'!$A$4:$AK$105,37,FALSE)</f>
        <v>0.85</v>
      </c>
      <c r="M122" s="173">
        <f>(C122/100)*E122</f>
        <v>0.69318103981504442</v>
      </c>
    </row>
    <row r="123" spans="1:13" x14ac:dyDescent="0.3">
      <c r="A123" s="158" t="s">
        <v>476</v>
      </c>
      <c r="B123" s="158"/>
      <c r="C123" s="248">
        <v>17.33243863889825</v>
      </c>
      <c r="D123" s="6"/>
      <c r="E123" s="165">
        <v>0</v>
      </c>
      <c r="F123" s="164">
        <f>VLOOKUP(A123,'Stable systems'!$A$4:$AK$105,35,FALSE)</f>
        <v>0</v>
      </c>
      <c r="G123" s="164">
        <f>VLOOKUP(A123,'Stable systems'!$A$4:$AK$105,36,FALSE)</f>
        <v>0</v>
      </c>
      <c r="H123" s="164">
        <f>VLOOKUP(A123,'Stable systems'!$A$4:$AK$105,37,FALSE)</f>
        <v>0</v>
      </c>
      <c r="M123" s="173">
        <f t="shared" ref="M123:M131" si="41">(C123/100)*E123</f>
        <v>0</v>
      </c>
    </row>
    <row r="124" spans="1:13" x14ac:dyDescent="0.3">
      <c r="A124" s="158" t="s">
        <v>477</v>
      </c>
      <c r="B124" s="158"/>
      <c r="C124" s="248">
        <v>1.116850794625935</v>
      </c>
      <c r="D124" s="6" t="s">
        <v>409</v>
      </c>
      <c r="E124" s="165">
        <v>11.049999999999999</v>
      </c>
      <c r="F124" s="164">
        <f>VLOOKUP(A124,'Stable systems'!$A$4:$AK$105,35,FALSE)</f>
        <v>0</v>
      </c>
      <c r="G124" s="164">
        <f>VLOOKUP(A124,'Stable systems'!$A$4:$AK$105,36,FALSE)</f>
        <v>0</v>
      </c>
      <c r="H124" s="164">
        <f>VLOOKUP(A124,'Stable systems'!$A$4:$AK$105,37,FALSE)</f>
        <v>11.05</v>
      </c>
      <c r="M124" s="173">
        <f t="shared" si="41"/>
        <v>0.1234120128061658</v>
      </c>
    </row>
    <row r="125" spans="1:13" x14ac:dyDescent="0.3">
      <c r="A125" s="158"/>
      <c r="B125" s="158"/>
      <c r="C125" s="19"/>
      <c r="D125" s="6"/>
      <c r="E125" s="165"/>
      <c r="F125" s="164" t="e">
        <f>VLOOKUP(A125,'Stable systems'!$A$4:$AK$105,35,FALSE)</f>
        <v>#N/A</v>
      </c>
      <c r="G125" s="164" t="e">
        <f>VLOOKUP(A125,'Stable systems'!$A$4:$AK$105,36,FALSE)</f>
        <v>#N/A</v>
      </c>
      <c r="H125" s="164" t="e">
        <f>VLOOKUP(A125,'Stable systems'!$A$4:$AK$105,37,FALSE)</f>
        <v>#N/A</v>
      </c>
      <c r="M125" s="173">
        <f t="shared" si="41"/>
        <v>0</v>
      </c>
    </row>
    <row r="126" spans="1:13" x14ac:dyDescent="0.3">
      <c r="A126" s="158"/>
      <c r="B126" s="158"/>
      <c r="C126" s="19"/>
      <c r="D126" s="6"/>
      <c r="E126" s="165"/>
      <c r="F126" s="164" t="e">
        <f>VLOOKUP(A126,'Stable systems'!$A$4:$AK$105,35,FALSE)</f>
        <v>#N/A</v>
      </c>
      <c r="G126" s="164" t="e">
        <f>VLOOKUP(A126,'Stable systems'!$A$4:$AK$105,36,FALSE)</f>
        <v>#N/A</v>
      </c>
      <c r="H126" s="164" t="e">
        <f>VLOOKUP(A126,'Stable systems'!$A$4:$AK$105,37,FALSE)</f>
        <v>#N/A</v>
      </c>
      <c r="M126" s="173">
        <f t="shared" si="41"/>
        <v>0</v>
      </c>
    </row>
    <row r="127" spans="1:13" x14ac:dyDescent="0.3">
      <c r="A127" s="158"/>
      <c r="B127" s="158"/>
      <c r="C127" s="19"/>
      <c r="D127" s="6"/>
      <c r="E127" s="165"/>
      <c r="F127" s="164" t="e">
        <f>VLOOKUP(A127,'Stable systems'!$A$4:$AK$105,35,FALSE)</f>
        <v>#N/A</v>
      </c>
      <c r="G127" s="164" t="e">
        <f>VLOOKUP(A127,'Stable systems'!$A$4:$AK$105,36,FALSE)</f>
        <v>#N/A</v>
      </c>
      <c r="H127" s="164" t="e">
        <f>VLOOKUP(A127,'Stable systems'!$A$4:$AK$105,37,FALSE)</f>
        <v>#N/A</v>
      </c>
      <c r="M127" s="173">
        <f t="shared" si="41"/>
        <v>0</v>
      </c>
    </row>
    <row r="128" spans="1:13" x14ac:dyDescent="0.3">
      <c r="A128" s="158"/>
      <c r="B128" s="158"/>
      <c r="C128" s="19"/>
      <c r="D128" s="6"/>
      <c r="E128" s="165"/>
      <c r="F128" s="164" t="e">
        <f>VLOOKUP(A128,'Stable systems'!$A$4:$AK$105,35,FALSE)</f>
        <v>#N/A</v>
      </c>
      <c r="G128" s="164" t="e">
        <f>VLOOKUP(A128,'Stable systems'!$A$4:$AK$105,36,FALSE)</f>
        <v>#N/A</v>
      </c>
      <c r="H128" s="164" t="e">
        <f>VLOOKUP(A128,'Stable systems'!$A$4:$AK$105,37,FALSE)</f>
        <v>#N/A</v>
      </c>
      <c r="M128" s="173">
        <f t="shared" si="41"/>
        <v>0</v>
      </c>
    </row>
    <row r="129" spans="1:16" x14ac:dyDescent="0.3">
      <c r="A129" s="158"/>
      <c r="B129" s="158"/>
      <c r="C129" s="19"/>
      <c r="D129" s="6"/>
      <c r="E129" s="165"/>
      <c r="F129" s="164" t="e">
        <f>VLOOKUP(A129,'Stable systems'!$A$4:$AK$105,35,FALSE)</f>
        <v>#N/A</v>
      </c>
      <c r="G129" s="164" t="e">
        <f>VLOOKUP(A129,'Stable systems'!$A$4:$AK$105,36,FALSE)</f>
        <v>#N/A</v>
      </c>
      <c r="H129" s="164" t="e">
        <f>VLOOKUP(A129,'Stable systems'!$A$4:$AK$105,37,FALSE)</f>
        <v>#N/A</v>
      </c>
      <c r="M129" s="173">
        <f t="shared" si="41"/>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843</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v>
      </c>
      <c r="E137" s="154"/>
    </row>
    <row r="138" spans="1:16" x14ac:dyDescent="0.3">
      <c r="B138" s="29"/>
      <c r="C138" s="136"/>
    </row>
    <row r="139" spans="1:16" x14ac:dyDescent="0.3">
      <c r="A139" s="176" t="s">
        <v>260</v>
      </c>
      <c r="B139" s="37" t="s">
        <v>844</v>
      </c>
      <c r="C139" s="37" t="s">
        <v>845</v>
      </c>
      <c r="D139" s="37" t="s">
        <v>846</v>
      </c>
    </row>
    <row r="140" spans="1:16" x14ac:dyDescent="0.3">
      <c r="A140" s="30" t="s">
        <v>261</v>
      </c>
      <c r="B140" s="38" t="s">
        <v>409</v>
      </c>
      <c r="C140" s="4">
        <f>VLOOKUP(B140,Biomass_pool_output_Tech1_modul!$A$3:$G$100,7,FALSE)</f>
        <v>850.05419244301197</v>
      </c>
      <c r="D140" s="177">
        <f>IF(B140="",0,SUMPRODUCT(($D$122:$D$134=B140)*$M$122:$M$134)*((100-$C$136)/100))</f>
        <v>0.81659305262121018</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861</v>
      </c>
    </row>
    <row r="145" spans="1:20" x14ac:dyDescent="0.3">
      <c r="A145" s="176" t="s">
        <v>265</v>
      </c>
      <c r="B145" s="176" t="s">
        <v>69</v>
      </c>
      <c r="C145" s="176" t="s">
        <v>831</v>
      </c>
      <c r="D145" s="176" t="s">
        <v>847</v>
      </c>
      <c r="E145" s="176" t="s">
        <v>80</v>
      </c>
      <c r="F145" s="176" t="s">
        <v>848</v>
      </c>
      <c r="K145" s="17" t="s">
        <v>82</v>
      </c>
      <c r="L145" s="17" t="s">
        <v>17</v>
      </c>
      <c r="P145" s="17" t="s">
        <v>847</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4.8031823140261432E-3</v>
      </c>
      <c r="L146" s="49">
        <f>IF(E146="Diesel",VLOOKUP(D146,Other_tables!$L$5:$O$13,2,FALSE)*K146,0)</f>
        <v>9.6063646280522867E-4</v>
      </c>
      <c r="P146" s="30" t="str">
        <f>Other_tables!L5</f>
        <v>Traktor</v>
      </c>
      <c r="Q146" s="44"/>
      <c r="R146" s="103">
        <f t="shared" ref="R146:R154" si="44">SUMPRODUCT(($D$146:$D$149=P146)*$L$146:$L$149)</f>
        <v>9.6063646280522867E-4</v>
      </c>
      <c r="S146" s="114">
        <f t="shared" ref="S146:S154" si="45">IF(P146="","0",SUMPRODUCT(($D$146:$D$149=P146)*$K$146:$K$149))</f>
        <v>4.8031823140261432E-3</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849</v>
      </c>
      <c r="B151" s="37" t="s">
        <v>69</v>
      </c>
      <c r="C151" s="10" t="s">
        <v>123</v>
      </c>
      <c r="D151" s="10" t="s">
        <v>830</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9.6063646280522867E-4</v>
      </c>
      <c r="S155" s="47"/>
      <c r="T155" s="178">
        <f>SUM(T146:T154)</f>
        <v>0</v>
      </c>
    </row>
    <row r="156" spans="1:20" x14ac:dyDescent="0.3">
      <c r="B156" s="156" t="s">
        <v>56</v>
      </c>
      <c r="C156" s="159">
        <f>SUM(C152:C155)</f>
        <v>0</v>
      </c>
      <c r="D156" s="159">
        <f>SUM(D152:D155)</f>
        <v>0</v>
      </c>
      <c r="E156" s="159">
        <f>SUM(E152:E155)</f>
        <v>0</v>
      </c>
    </row>
    <row r="158" spans="1:20" x14ac:dyDescent="0.3">
      <c r="A158" s="21" t="s">
        <v>850</v>
      </c>
      <c r="B158" s="37" t="s">
        <v>69</v>
      </c>
      <c r="C158" s="10" t="s">
        <v>100</v>
      </c>
      <c r="D158" s="10" t="s">
        <v>830</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4.8368045902243259E-4</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1.9347218360897304E-3</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4.8368045902243259E-4</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2.9020827541345958E-3</v>
      </c>
    </row>
    <row r="169" spans="1:20" ht="17.399999999999999" x14ac:dyDescent="0.3">
      <c r="P169" s="31" t="s">
        <v>862</v>
      </c>
    </row>
    <row r="170" spans="1:20" x14ac:dyDescent="0.3">
      <c r="P170" s="17" t="s">
        <v>847</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6.3691490447809421E-3</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0.43281651026619539</v>
      </c>
    </row>
    <row r="173" spans="1:20" x14ac:dyDescent="0.3">
      <c r="A173" s="25"/>
      <c r="B173" s="138"/>
      <c r="C173" s="138"/>
      <c r="P173" s="30" t="s">
        <v>226</v>
      </c>
      <c r="Q173" s="44"/>
      <c r="R173" s="103">
        <f t="shared" si="46"/>
        <v>0</v>
      </c>
      <c r="S173" s="179"/>
      <c r="T173" s="103">
        <f t="shared" si="47"/>
        <v>0.18271037204430354</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123</v>
      </c>
      <c r="H176" s="181" t="s">
        <v>830</v>
      </c>
      <c r="I176" s="181" t="s">
        <v>103</v>
      </c>
      <c r="J176" s="182" t="s">
        <v>129</v>
      </c>
      <c r="P176" s="30" t="s">
        <v>269</v>
      </c>
      <c r="Q176" s="44"/>
      <c r="R176" s="103">
        <f t="shared" si="46"/>
        <v>0</v>
      </c>
      <c r="S176" s="179"/>
      <c r="T176" s="103">
        <f t="shared" si="47"/>
        <v>0</v>
      </c>
    </row>
    <row r="177" spans="6:20" x14ac:dyDescent="0.3">
      <c r="F177" s="183" t="s">
        <v>279</v>
      </c>
      <c r="G177" s="81">
        <f>B65+R106+C156</f>
        <v>26.2</v>
      </c>
      <c r="H177" s="81">
        <f>AC31+C65+R93+S106+D118+D156+D168</f>
        <v>1.9976296296296296</v>
      </c>
      <c r="I177" s="81">
        <f>AB31+R77+D65+S93+T106+E118+R155+E156+E168</f>
        <v>3.5394688589038985E-2</v>
      </c>
      <c r="J177" s="114">
        <f>AD31+T77+T155</f>
        <v>0.6155268823104989</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6.3691490447809421E-3</v>
      </c>
      <c r="S180" s="47"/>
      <c r="T180" s="178">
        <f>SUM(T171:T179)</f>
        <v>0.6155268823104989</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46:B149 B152:B155 B159:B167" xr:uid="{51703F6B-80CF-4636-95ED-33E05489AD58}">
      <formula1>$B$140:$B$143</formula1>
    </dataValidation>
    <dataValidation type="list" allowBlank="1" showInputMessage="1" showErrorMessage="1" sqref="B97:B105 B82 B144:B145" xr:uid="{B043D7BF-4349-4B5D-BF6F-79089919745E}">
      <formula1>$B$24:$B$30</formula1>
    </dataValidation>
    <dataValidation type="list" allowBlank="1" showInputMessage="1" showErrorMessage="1" sqref="B109:B117 B84:B92 B68:B81" xr:uid="{44522088-FD4E-409A-90EF-E441C3308157}">
      <formula1>$AF$3:$AF$51</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6">
        <x14:dataValidation type="list" allowBlank="1" showInputMessage="1" showErrorMessage="1" xr:uid="{E7C9D13B-8EEB-4295-B051-E1B78BF34D3F}">
          <x14:formula1>
            <xm:f>'Processed products'!$AJ$5:$AJ$250</xm:f>
          </x14:formula1>
          <xm:sqref>B45:B49</xm:sqref>
        </x14:dataValidation>
        <x14:dataValidation type="list" allowBlank="1" showInputMessage="1" showErrorMessage="1" xr:uid="{8084C0E8-B56A-45C3-A4B1-C8F47770053D}">
          <x14:formula1>
            <xm:f>'Processed products'!$C$5:$C$104</xm:f>
          </x14:formula1>
          <xm:sqref>D4</xm:sqref>
        </x14:dataValidation>
        <x14:dataValidation type="list" allowBlank="1" showInputMessage="1" showErrorMessage="1" xr:uid="{2D6D14E0-70D4-4553-B42B-FFCECFF48B46}">
          <x14:formula1>
            <xm:f>'Respiration and enteric gas los'!$M$4:$M$35</xm:f>
          </x14:formula1>
          <xm:sqref>B55</xm:sqref>
        </x14:dataValidation>
        <x14:dataValidation type="list" allowBlank="1" showInputMessage="1" showErrorMessage="1" xr:uid="{2BA4851D-E4EA-4AD0-9795-52AB1BBA35FF}">
          <x14:formula1>
            <xm:f>'Respiration and enteric gas los'!$A$4:$A$35</xm:f>
          </x14:formula1>
          <xm:sqref>B54</xm:sqref>
        </x14:dataValidation>
        <x14:dataValidation type="list" allowBlank="1" showInputMessage="1" showErrorMessage="1" xr:uid="{3063C21D-4479-4876-BABD-D28E470D07E0}">
          <x14:formula1>
            <xm:f>Other_tables!$Q$5:$Q$6</xm:f>
          </x14:formula1>
          <xm:sqref>E146:E149 E68:E82</xm:sqref>
        </x14:dataValidation>
        <x14:dataValidation type="list" allowBlank="1" showInputMessage="1" showErrorMessage="1" xr:uid="{9D919DB4-63F9-4622-8764-CD44D0474EBA}">
          <x14:formula1>
            <xm:f>Other_tables!$L$5:$L$13</xm:f>
          </x14:formula1>
          <xm:sqref>D146:D149 D68:D82</xm:sqref>
        </x14:dataValidation>
        <x14:dataValidation type="list" allowBlank="1" showInputMessage="1" showErrorMessage="1" xr:uid="{14B9B6BA-3524-47C1-B9C8-C89D6E50D046}">
          <x14:formula1>
            <xm:f>Biomass_pool_output_Tech1_modul!$A$3:$A$100</xm:f>
          </x14:formula1>
          <xm:sqref>B12:B16 B140:B143 D122:D135 E12:E18 F24:F30</xm:sqref>
        </x14:dataValidation>
        <x14:dataValidation type="list" allowBlank="1" showInputMessage="1" showErrorMessage="1" xr:uid="{DA7DBB03-7C08-4FDD-A60D-0B9470B3C7B6}">
          <x14:formula1>
            <xm:f>Other_tables!$A$5:$A$50</xm:f>
          </x14:formula1>
          <xm:sqref>C19 C33</xm:sqref>
        </x14:dataValidation>
        <x14:dataValidation type="list" allowBlank="1" showInputMessage="1" showErrorMessage="1" xr:uid="{57848B4C-8479-4AE3-8415-EDFE9D4617EF}">
          <x14:formula1>
            <xm:f>'Processed products'!$B$5:$B$104</xm:f>
          </x14:formula1>
          <xm:sqref>B35:B42 L35:M37</xm:sqref>
        </x14:dataValidation>
        <x14:dataValidation type="list" allowBlank="1" showInputMessage="1" showErrorMessage="1" xr:uid="{9C609C8D-E16C-4FA9-96D3-EAD7991537B5}">
          <x14:formula1>
            <xm:f>Other_tables!$S$5:$S$22</xm:f>
          </x14:formula1>
          <xm:sqref>C84:C92</xm:sqref>
        </x14:dataValidation>
        <x14:dataValidation type="list" allowBlank="1" showInputMessage="1" showErrorMessage="1" xr:uid="{66A8E8F7-81EE-4BF6-9178-4F4B58F409C6}">
          <x14:formula1>
            <xm:f>'Diesel consumption for field op'!$B$4:$B$78</xm:f>
          </x14:formula1>
          <xm:sqref>C109:C117 C159:C167</xm:sqref>
        </x14:dataValidation>
        <x14:dataValidation type="list" allowBlank="1" showInputMessage="1" showErrorMessage="1" xr:uid="{F2AB9585-85EE-419E-9576-20651026C9B1}">
          <x14:formula1>
            <xm:f>Other_tables!$G$5:$G$12</xm:f>
          </x14:formula1>
          <xm:sqref>C54:C58 C172:C174</xm:sqref>
        </x14:dataValidation>
        <x14:dataValidation type="list" allowBlank="1" showInputMessage="1" showErrorMessage="1" xr:uid="{69D35B5D-7637-4D43-B3CD-E5E45A59E8CC}">
          <x14:formula1>
            <xm:f>Converted_feedstuff!$C$5:$C$54</xm:f>
          </x14:formula1>
          <xm:sqref>B24:B30 E24:E30</xm:sqref>
        </x14:dataValidation>
        <x14:dataValidation type="list" allowBlank="1" showInputMessage="1" showErrorMessage="1" xr:uid="{74CAA311-1077-4212-BE15-B00330AA9734}">
          <x14:formula1>
            <xm:f>'Imported products'!$B$5:$B$54</xm:f>
          </x14:formula1>
          <xm:sqref>F12:F18 B17:B18 G24:G30</xm:sqref>
        </x14:dataValidation>
        <x14:dataValidation type="list" allowBlank="1" showInputMessage="1" showErrorMessage="1" xr:uid="{72594736-8E84-450F-9196-F12C42DA9FF4}">
          <x14:formula1>
            <xm:f>'Processed products'!$AJ$5:$AJ$104</xm:f>
          </x14:formula1>
          <xm:sqref>A136</xm:sqref>
        </x14:dataValidation>
        <x14:dataValidation type="list" allowBlank="1" showInputMessage="1" showErrorMessage="1" xr:uid="{E0E5E57C-C7A3-42B5-A2FD-7577BED48A35}">
          <x14:formula1>
            <xm:f>'Stable systems'!$A$4:$A$105</xm:f>
          </x14:formula1>
          <xm:sqref>A122:A134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theme="9" tint="0.39997558519241921"/>
  </sheetPr>
  <dimension ref="A1:BO223"/>
  <sheetViews>
    <sheetView topLeftCell="A4" workbookViewId="0">
      <selection activeCell="B25" sqref="B25"/>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2" bestFit="1" customWidth="1"/>
    <col min="13" max="13" width="33.441406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Protein_2_conv</v>
      </c>
    </row>
    <row r="4" spans="1:36" x14ac:dyDescent="0.3">
      <c r="A4" s="15" t="s">
        <v>31</v>
      </c>
      <c r="B4" s="299">
        <v>101</v>
      </c>
      <c r="C4" s="299"/>
      <c r="D4" s="5" t="s">
        <v>660</v>
      </c>
      <c r="F4" s="150" t="s">
        <v>223</v>
      </c>
      <c r="G4" s="149">
        <v>17</v>
      </c>
      <c r="I4" s="302" t="s">
        <v>158</v>
      </c>
      <c r="J4" s="303"/>
      <c r="K4" s="128"/>
      <c r="L4" s="134" t="s">
        <v>207</v>
      </c>
      <c r="AF4" s="144" t="str">
        <f t="shared" ref="AF4:AF9" si="0">IF(B13="","",B13)</f>
        <v/>
      </c>
    </row>
    <row r="5" spans="1:36" x14ac:dyDescent="0.3">
      <c r="A5" s="15" t="s">
        <v>32</v>
      </c>
      <c r="B5" s="299" t="s">
        <v>130</v>
      </c>
      <c r="C5" s="299"/>
      <c r="D5" s="17" t="s">
        <v>627</v>
      </c>
      <c r="E5" t="s">
        <v>186</v>
      </c>
      <c r="F5" s="150" t="s">
        <v>224</v>
      </c>
      <c r="G5" s="149">
        <v>18</v>
      </c>
      <c r="I5" s="86" t="s">
        <v>159</v>
      </c>
      <c r="J5" s="5">
        <v>10983</v>
      </c>
      <c r="L5" s="90">
        <v>3.14</v>
      </c>
      <c r="AF5" s="144" t="str">
        <f t="shared" si="0"/>
        <v/>
      </c>
    </row>
    <row r="6" spans="1:36" x14ac:dyDescent="0.3">
      <c r="A6" s="15" t="s">
        <v>3</v>
      </c>
      <c r="B6" s="299" t="s">
        <v>210</v>
      </c>
      <c r="C6" s="299"/>
      <c r="D6" s="5">
        <v>0.3</v>
      </c>
      <c r="F6" s="151" t="s">
        <v>147</v>
      </c>
      <c r="G6" s="88">
        <f>(Y32/D32)*100</f>
        <v>18.526673726118688</v>
      </c>
      <c r="I6" s="86" t="s">
        <v>160</v>
      </c>
      <c r="J6" s="5">
        <v>4.1399999999999997</v>
      </c>
      <c r="L6" s="129"/>
      <c r="AF6" s="144" t="str">
        <f t="shared" si="0"/>
        <v>Grain_conv</v>
      </c>
    </row>
    <row r="7" spans="1:36" ht="14.7" customHeight="1" x14ac:dyDescent="0.3">
      <c r="A7" s="295" t="s">
        <v>55</v>
      </c>
      <c r="B7" s="296" t="s">
        <v>211</v>
      </c>
      <c r="C7" s="296"/>
      <c r="D7" s="42"/>
      <c r="F7" s="152" t="s">
        <v>187</v>
      </c>
      <c r="G7" s="209">
        <v>2911</v>
      </c>
      <c r="I7" s="86" t="s">
        <v>161</v>
      </c>
      <c r="J7" s="5">
        <v>3.53</v>
      </c>
      <c r="L7" s="131" t="s">
        <v>198</v>
      </c>
      <c r="AF7" s="144" t="str">
        <f t="shared" si="0"/>
        <v>Straw_conv</v>
      </c>
    </row>
    <row r="8" spans="1:36" ht="15" thickBot="1" x14ac:dyDescent="0.35">
      <c r="A8" s="295"/>
      <c r="B8" s="296"/>
      <c r="C8" s="296"/>
      <c r="D8" s="47"/>
      <c r="F8" s="153" t="s">
        <v>197</v>
      </c>
      <c r="G8" s="102">
        <v>8227</v>
      </c>
      <c r="I8" s="86" t="s">
        <v>162</v>
      </c>
      <c r="J8" s="80">
        <f>(383 *J6 + 242 *J7 + 783.2) *J5 / 3140</f>
        <v>11273.594789808918</v>
      </c>
      <c r="L8" s="90">
        <v>6.38</v>
      </c>
      <c r="AF8" s="144" t="str">
        <f t="shared" si="0"/>
        <v/>
      </c>
    </row>
    <row r="9" spans="1:36" ht="30" customHeight="1" x14ac:dyDescent="0.3">
      <c r="A9" s="295"/>
      <c r="B9" s="296"/>
      <c r="C9" s="296"/>
      <c r="I9" s="130"/>
      <c r="L9" s="129"/>
      <c r="AF9" s="144" t="str">
        <f t="shared" si="0"/>
        <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285</v>
      </c>
      <c r="C12" s="217" t="s">
        <v>43</v>
      </c>
      <c r="D12" s="227">
        <v>2055</v>
      </c>
      <c r="E12" s="218"/>
      <c r="F12" s="218" t="s">
        <v>209</v>
      </c>
      <c r="G12" s="219">
        <v>1100</v>
      </c>
      <c r="I12" s="87" t="s">
        <v>201</v>
      </c>
      <c r="J12" s="107">
        <v>1.54</v>
      </c>
      <c r="K12" s="107">
        <v>1.58</v>
      </c>
      <c r="L12" s="102">
        <v>1.58</v>
      </c>
      <c r="R12" s="51">
        <f>(IF($T12=0,"0",VLOOKUP($B12,Biomass_pool_output_Tech1_modul!$A$3:$G$100,7,FALSE)))</f>
        <v>879.383109851227</v>
      </c>
      <c r="S12" s="44"/>
      <c r="T12" s="34">
        <f>IF($B12="","0",(VLOOKUP($B12,Biomass_pool_output_Tech1_modul!$A$3:$F$100,2,FALSE)*($D12)/1000))</f>
        <v>924.75</v>
      </c>
      <c r="U12" s="34">
        <f>IF($B12="","0",(VLOOKUP($B12,Biomass_pool_output_Tech1_modul!$A$3:$F$100,3,FALSE)*($D12)/1000))</f>
        <v>98.526825284659282</v>
      </c>
      <c r="V12" s="34">
        <f>IF($B12="","0",(VLOOKUP($B12,Biomass_pool_output_Tech1_modul!$A$3:$F$100,4,FALSE)*($D12)/1000))</f>
        <v>23.189768760391743</v>
      </c>
      <c r="W12" s="34">
        <f>IF($B12="","0",(VLOOKUP($B12,Biomass_pool_output_Tech1_modul!$A$3:$F$100,5,FALSE)*($D12)/1000))</f>
        <v>32.093808035277469</v>
      </c>
      <c r="X12" s="34">
        <f>IF($B12="","0",(VLOOKUP($B12,Biomass_pool_output_Tech1_modul!$A$3:$F$100,6,FALSE)*$D12))</f>
        <v>44474.633931272838</v>
      </c>
      <c r="Y12" s="34">
        <f>U12*6.25</f>
        <v>615.7926580291205</v>
      </c>
      <c r="AA12" s="53"/>
      <c r="AB12" s="53"/>
      <c r="AC12" s="53"/>
      <c r="AD12" s="53"/>
      <c r="AF12" s="144" t="str">
        <f t="shared" si="1"/>
        <v/>
      </c>
      <c r="AG12" s="53"/>
      <c r="AH12" s="53"/>
      <c r="AI12" s="53"/>
      <c r="AJ12" s="53"/>
    </row>
    <row r="13" spans="1:36" x14ac:dyDescent="0.3">
      <c r="A13" s="211" t="s">
        <v>318</v>
      </c>
      <c r="B13" s="212"/>
      <c r="C13" s="213" t="s">
        <v>43</v>
      </c>
      <c r="D13" s="228"/>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27">
        <v>856</v>
      </c>
      <c r="E15" s="218"/>
      <c r="F15" s="226" t="s">
        <v>344</v>
      </c>
      <c r="G15" s="219"/>
      <c r="R15" s="51">
        <f>(IF($T15=0,"0",VLOOKUP($B15,Biomass_pool_output_Tech1_modul!$A$3:$G$100,7,FALSE)))</f>
        <v>850.51110268835396</v>
      </c>
      <c r="S15" s="44"/>
      <c r="T15" s="34">
        <f>IF($B15="","0",(VLOOKUP($B15,Biomass_pool_output_Tech1_modul!$A$3:$F$100,2,FALSE)*($D15)/1000))</f>
        <v>385.2</v>
      </c>
      <c r="U15" s="34">
        <f>IF($B15="","0",(VLOOKUP($B15,Biomass_pool_output_Tech1_modul!$A$3:$F$100,3,FALSE)*($D15)/1000))</f>
        <v>14.349604627842997</v>
      </c>
      <c r="V15" s="34">
        <f>IF($B15="","0",(VLOOKUP($B15,Biomass_pool_output_Tech1_modul!$A$3:$F$100,4,FALSE)*($D15)/1000))</f>
        <v>2.6564322336808668</v>
      </c>
      <c r="W15" s="34">
        <f>IF($B15="","0",(VLOOKUP($B15,Biomass_pool_output_Tech1_modul!$A$3:$F$100,5,FALSE)*($D15)/1000))</f>
        <v>4.1735293948356782</v>
      </c>
      <c r="X15" s="34">
        <f>IF($B15="","0",(VLOOKUP($B15,Biomass_pool_output_Tech1_modul!$A$3:$F$100,6,FALSE)*$D15))</f>
        <v>16465.066758955549</v>
      </c>
      <c r="Y15" s="34">
        <f t="shared" si="2"/>
        <v>89.685028924018724</v>
      </c>
      <c r="AA15" s="53"/>
      <c r="AB15" s="53"/>
      <c r="AC15" s="53"/>
      <c r="AD15" s="53"/>
      <c r="AF15" s="144" t="str">
        <f t="shared" si="1"/>
        <v/>
      </c>
      <c r="AG15" s="53"/>
      <c r="AH15" s="53"/>
      <c r="AI15" s="53"/>
      <c r="AJ15" s="53"/>
    </row>
    <row r="16" spans="1:36" x14ac:dyDescent="0.3">
      <c r="A16" s="211" t="s">
        <v>107</v>
      </c>
      <c r="B16" s="212" t="s">
        <v>409</v>
      </c>
      <c r="C16" s="213" t="s">
        <v>43</v>
      </c>
      <c r="D16" s="228">
        <v>114</v>
      </c>
      <c r="E16" s="214"/>
      <c r="F16" s="225"/>
      <c r="R16" s="51">
        <f>(IF($T16=0,"0",VLOOKUP($B16,Biomass_pool_output_Tech1_modul!$A$3:$G$100,7,FALSE)))</f>
        <v>850.05419244301197</v>
      </c>
      <c r="S16" s="44"/>
      <c r="T16" s="34">
        <f>IF($B16="","0",(VLOOKUP($B16,Biomass_pool_output_Tech1_modul!$A$3:$F$100,2,FALSE)*($D16)/1000))</f>
        <v>51.3</v>
      </c>
      <c r="U16" s="34">
        <f>IF($B16="","0",(VLOOKUP($B16,Biomass_pool_output_Tech1_modul!$A$3:$F$100,3,FALSE)*($D16)/1000))</f>
        <v>0.74295857778106411</v>
      </c>
      <c r="V16" s="34">
        <f>IF($B16="","0",(VLOOKUP($B16,Biomass_pool_output_Tech1_modul!$A$3:$F$100,4,FALSE)*($D16)/1000))</f>
        <v>0.10261625275250902</v>
      </c>
      <c r="W16" s="34">
        <f>IF($B16="","0",(VLOOKUP($B16,Biomass_pool_output_Tech1_modul!$A$3:$F$100,5,FALSE)*($D16)/1000))</f>
        <v>1.8586971224918478</v>
      </c>
      <c r="X16" s="34">
        <f>IF($B16="","0",(VLOOKUP($B16,Biomass_pool_output_Tech1_modul!$A$3:$F$100,6,FALSE)*$D16))</f>
        <v>2079.0932073650833</v>
      </c>
      <c r="Y16" s="34">
        <f t="shared" si="2"/>
        <v>4.6434911111316506</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Rapskage_imp_conv</v>
      </c>
      <c r="AH17" s="110"/>
    </row>
    <row r="18" spans="1:65" x14ac:dyDescent="0.3">
      <c r="A18" s="18" t="s">
        <v>414</v>
      </c>
      <c r="B18" s="19"/>
      <c r="C18" s="28" t="s">
        <v>43</v>
      </c>
      <c r="D18" s="230"/>
      <c r="E18" s="5"/>
      <c r="F18" s="126"/>
      <c r="I18" s="47"/>
      <c r="R18" s="51">
        <f>(IF(B18="",0,VLOOKUP($B18,'Imported products'!$B$5:$O$54,5,FALSE)))</f>
        <v>0</v>
      </c>
      <c r="S18" s="44"/>
      <c r="T18" s="34" t="str">
        <f>IF($B18="","0",(VLOOKUP($B18,'Imported products'!$B$5:$O$54,9,FALSE)*($D18)/1000))</f>
        <v>0</v>
      </c>
      <c r="U18" s="34" t="str">
        <f>IF($B18="","0",(VLOOKUP($B18,'Imported products'!$B$5:$O$54,10,FALSE)*($D18)/1000))</f>
        <v>0</v>
      </c>
      <c r="V18" s="34" t="str">
        <f>IF($B18="","0",(VLOOKUP($B18,'Imported products'!$B$5:$O$54,11,FALSE)*($D18)/1000))</f>
        <v>0</v>
      </c>
      <c r="W18" s="34" t="str">
        <f>IF($B18="","0",(VLOOKUP($B18,'Imported products'!$B$5:$O$54,12,FALSE)*($D18)/1000))</f>
        <v>0</v>
      </c>
      <c r="X18" s="34" t="str">
        <f>IF($B18="","0",(VLOOKUP($B18,'Imported products'!$B$5:$O$54,13,FALSE)*($D18)/1000))</f>
        <v>0</v>
      </c>
      <c r="Y18" s="34" t="str">
        <f>IF($B18="","0",(VLOOKUP($B18,'Imported products'!$B$5:$O$54,14,FALSE)*($D18)/1000))</f>
        <v>0</v>
      </c>
      <c r="AA18" s="110"/>
      <c r="AF18" s="144" t="str">
        <f t="shared" ref="AF18:AF23" si="3">IF(F13="","",F13)</f>
        <v/>
      </c>
      <c r="AH18" s="110"/>
    </row>
    <row r="19" spans="1:65" x14ac:dyDescent="0.3">
      <c r="A19" s="25"/>
      <c r="B19" s="25"/>
      <c r="C19" s="24"/>
      <c r="D19" s="24"/>
      <c r="R19" s="52"/>
      <c r="AA19" s="110"/>
      <c r="AF19" s="144" t="str">
        <f t="shared" si="3"/>
        <v/>
      </c>
    </row>
    <row r="20" spans="1:65" x14ac:dyDescent="0.3">
      <c r="A20" s="18" t="s">
        <v>113</v>
      </c>
      <c r="B20" s="40"/>
      <c r="C20" s="28" t="s">
        <v>43</v>
      </c>
      <c r="D20" s="28">
        <f>SUM(D12:D18)</f>
        <v>3025</v>
      </c>
      <c r="R20" s="82">
        <f>(D12*R12+D13*R13+D14*R14+D15*R15+D16*R16+D17*R17+D18*R18)/D20</f>
        <v>870.10775953190273</v>
      </c>
      <c r="S20" s="45"/>
      <c r="T20" s="116">
        <f t="shared" ref="T20:X20" si="4">SUM(T12:T18)</f>
        <v>1361.25</v>
      </c>
      <c r="U20" s="116">
        <f t="shared" si="4"/>
        <v>113.61938849028334</v>
      </c>
      <c r="V20" s="116">
        <f t="shared" si="4"/>
        <v>25.948817246825119</v>
      </c>
      <c r="W20" s="116">
        <f t="shared" si="4"/>
        <v>38.126034552604992</v>
      </c>
      <c r="X20" s="116">
        <f t="shared" si="4"/>
        <v>63018.793897593474</v>
      </c>
      <c r="Y20" s="116">
        <f>SUM(Y12:Y18)</f>
        <v>710.12117806427091</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t="s">
        <v>782</v>
      </c>
      <c r="C24" s="28" t="s">
        <v>43</v>
      </c>
      <c r="D24" s="6">
        <v>2000</v>
      </c>
      <c r="E24" s="5"/>
      <c r="F24" s="5"/>
      <c r="G24" s="5"/>
      <c r="H24" s="30" t="str">
        <f>IF(B24="","",VLOOKUP(B24,Converted_feedstuff!$C$5:$E$54,3,FALSE))</f>
        <v>Grass_and_grass_clover_conv</v>
      </c>
      <c r="I24" s="80">
        <f>D24/((100-VLOOKUP(B24,Converted_feedstuff!$C$5:$F$54,4,FALSE))/100)</f>
        <v>2222.2222222222222</v>
      </c>
      <c r="K24" s="30">
        <f>IF(B24="",0,VLOOKUP(B24,Converted_feedstuff!$C$5:$D$54,2,FALSE))</f>
        <v>180</v>
      </c>
      <c r="L24" s="80">
        <f>IF($B24="","",((VLOOKUP($B24,Converted_feedstuff!$C$5:$AM$54,33,FALSE))*((100-VLOOKUP($B24,Converted_feedstuff!$C$5:$K$54,5,FALSE))/100))/((100-VLOOKUP($B24,Converted_feedstuff!$C$5:$K$54,4,FALSE))/100))</f>
        <v>450.00000233204003</v>
      </c>
      <c r="M24" s="81">
        <f>IF($B24="","",((VLOOKUP($B24,Converted_feedstuff!$C$5:$AM$54,34,FALSE))*((100-VLOOKUP($B24,Converted_feedstuff!$C$5:$K$54,6,FALSE))/100))/((100-VLOOKUP($B24,Converted_feedstuff!$C$5:$K$54,4,FALSE))/100))</f>
        <v>27.0203229895893</v>
      </c>
      <c r="N24" s="81">
        <f>IF($B24="","",((VLOOKUP($B24,Converted_feedstuff!$C$5:$AM$54,35,FALSE))*((100-VLOOKUP($B24,Converted_feedstuff!$C$5:$K$54,7,FALSE))/100))/((100-VLOOKUP($B24,Converted_feedstuff!$C$5:$K$54,4,FALSE))/100))</f>
        <v>3.6646866480221498</v>
      </c>
      <c r="O24" s="81">
        <f>IF($B24="","",((VLOOKUP($B24,Converted_feedstuff!$C$5:$AM$54,36,FALSE))*((100-VLOOKUP($B24,Converted_feedstuff!$C$5:$K$54,8,FALSE))/100))/((100-VLOOKUP($B24,Converted_feedstuff!$C$5:$K$54,4,FALSE))/100))</f>
        <v>28.092453829169798</v>
      </c>
      <c r="P24" s="81">
        <f>IF($B24="","",((VLOOKUP($B24,Converted_feedstuff!$C$5:$AM$49,37,FALSE))*((100-VLOOKUP($B24,Converted_feedstuff!$C$5:$K$54,9,FALSE))/100))/((100-VLOOKUP($B24,Converted_feedstuff!$C$5:$K$54,4,FALSE))/100))</f>
        <v>16.549135894677399</v>
      </c>
      <c r="R24" s="51">
        <f>K24</f>
        <v>180</v>
      </c>
      <c r="S24" s="44"/>
      <c r="T24" s="34">
        <f t="shared" ref="T24:W30" si="5">IF($D24="",0,$D24*(L24/1000))</f>
        <v>900.00000466408005</v>
      </c>
      <c r="U24" s="34">
        <f t="shared" si="5"/>
        <v>54.040645979178599</v>
      </c>
      <c r="V24" s="34">
        <f t="shared" si="5"/>
        <v>7.3293732960442997</v>
      </c>
      <c r="W24" s="34">
        <f t="shared" si="5"/>
        <v>56.184907658339597</v>
      </c>
      <c r="X24" s="34">
        <f>IF($D24="",0,$D24*P24)</f>
        <v>33098.271789354796</v>
      </c>
      <c r="Y24" s="81">
        <f>U24*6.25</f>
        <v>337.75403736986624</v>
      </c>
      <c r="AB24" s="114">
        <f>IF(B24="",0,(VLOOKUP(B24,Converted_feedstuff!$C$5:$BH$54,58,FALSE)*$I24))</f>
        <v>-26.917339590079745</v>
      </c>
      <c r="AC24" s="30"/>
      <c r="AD24" s="30"/>
      <c r="AF24" s="144" t="str">
        <f>IF(B24="","",B24)</f>
        <v>Afgraesning_1_grazed_conv</v>
      </c>
      <c r="AO24" s="80" t="e">
        <f>IF($B24="","",(((((Converted_feedstuff!#REF!/100)*Converted_feedstuff!F5)/100)*1000)*$I24)/1000)</f>
        <v>#REF!</v>
      </c>
      <c r="AP24" s="80" t="e">
        <f>IF($B24="","",(((((Converted_feedstuff!#REF!/100)*Converted_feedstuff!F5)/100)*1000)*$I24)/1000)</f>
        <v>#REF!</v>
      </c>
      <c r="AQ24" s="80" t="e">
        <f>IF($B24="","",(((((Converted_feedstuff!#REF!/100)*Converted_feedstuff!G5)/100)*Converted_feedstuff!AI5)*$I24)/1000)</f>
        <v>#REF!</v>
      </c>
      <c r="AR24" s="80">
        <f>IF($B24="","",(((((Converted_feedstuff!U5/100)*Converted_feedstuff!G5)/100)*Converted_feedstuff!AI5)*$I24)/1000)</f>
        <v>0</v>
      </c>
      <c r="AS24" s="80">
        <f>IF($B24="","",(((((Converted_feedstuff!V5/100)*Converted_feedstuff!G5)/100)*Converted_feedstuff!AI5)*$I24)/1000)</f>
        <v>0</v>
      </c>
      <c r="AT24" s="80">
        <f>IF($B24="","",(((((Converted_feedstuff!W5/100)*Converted_feedstuff!G5)/100)*Converted_feedstuff!AI5)*$I24)/1000)</f>
        <v>0</v>
      </c>
      <c r="AU24" s="80" t="e">
        <f>IF($B24="","",(((((Converted_feedstuff!#REF!/100)*Converted_feedstuff!H5)/100)*Converted_feedstuff!AJ5)*$I24)/1000)</f>
        <v>#REF!</v>
      </c>
      <c r="AV24" s="80">
        <f>IF($B24="","",(((((Converted_feedstuff!X5/100)*Converted_feedstuff!H5)/100)*Converted_feedstuff!AJ5)*$I24)/1000)</f>
        <v>0</v>
      </c>
      <c r="AW24" s="80">
        <f>IF($B24="","",(((((Converted_feedstuff!Y5/100)*Converted_feedstuff!H5)/100)*Converted_feedstuff!AJ5)*$I24)/1000)</f>
        <v>0</v>
      </c>
      <c r="AX24" s="80">
        <f>IF($B24="","",(((((Converted_feedstuff!Z5/100)*Converted_feedstuff!H5)/100)*Converted_feedstuff!AJ5)*$I24)/1000)</f>
        <v>0</v>
      </c>
      <c r="AY24" s="80">
        <f>IF($B24="","",(((((Converted_feedstuff!AA5/100)*Converted_feedstuff!H5)/100)*Converted_feedstuff!AJ5)*$I24)/1000)</f>
        <v>0</v>
      </c>
      <c r="AZ24" s="80">
        <f>IF($B24="","",(((((Converted_feedstuff!AB5/100)*Converted_feedstuff!H5)/100)*Converted_feedstuff!AJ5)*$I24)/1000)</f>
        <v>0</v>
      </c>
      <c r="BA24" s="80" t="e">
        <f>IF($B24="","",(((((Converted_feedstuff!#REF!/100)*Converted_feedstuff!I5)/100)*Converted_feedstuff!AK5)*$I24)/1000)</f>
        <v>#REF!</v>
      </c>
      <c r="BB24" s="80">
        <f>IF($B24="","",(((((Converted_feedstuff!AC5/100)*Converted_feedstuff!I5)/100)*Converted_feedstuff!AK5)*$I24)/1000)</f>
        <v>0</v>
      </c>
      <c r="BC24" s="80">
        <f>IF($B24="","",(((((Converted_feedstuff!AD5/100)*Converted_feedstuff!I5)/100)*Converted_feedstuff!AK5)*$I24)/1000)</f>
        <v>0</v>
      </c>
      <c r="BD24" s="80" t="e">
        <f>IF($B24="","",(((((Converted_feedstuff!#REF!/100)*Converted_feedstuff!J5)/100)*Converted_feedstuff!AL5)*$I24)/1000)</f>
        <v>#REF!</v>
      </c>
      <c r="BE24" s="80">
        <f>IF($B24="","",(((((Converted_feedstuff!AE5/100)*Converted_feedstuff!J5)/100)*Converted_feedstuff!AL5)*$I24)/1000)</f>
        <v>0</v>
      </c>
      <c r="BF24" s="80">
        <f>IF($B24="","",(((((Converted_feedstuff!AF5/100)*Converted_feedstuff!J5)/100)*Converted_feedstuff!AL5)*$I24)/1000)</f>
        <v>0</v>
      </c>
      <c r="BG24" s="80" t="e">
        <f>IF($B24="","",((((Converted_feedstuff!#REF!/100)*Converted_feedstuff!K5)/100)*Converted_feedstuff!AM5)*$I24)</f>
        <v>#REF!</v>
      </c>
      <c r="BH24" s="80" t="e">
        <f>IF($B24="","",((((Converted_feedstuff!#REF!/100)*Converted_feedstuff!K5)/100)*Converted_feedstuff!AM5)*$I24)</f>
        <v>#REF!</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t="s">
        <v>131</v>
      </c>
      <c r="C27" s="28" t="s">
        <v>43</v>
      </c>
      <c r="D27" s="6">
        <v>1951</v>
      </c>
      <c r="E27" s="126" t="s">
        <v>133</v>
      </c>
      <c r="F27" s="5"/>
      <c r="G27" s="126"/>
      <c r="H27" s="30" t="str">
        <f>IF(B27="","",VLOOKUP(B27,Converted_feedstuff!$C$5:$E$54,3,FALSE))</f>
        <v>Grass_and_grass_clover_conv</v>
      </c>
      <c r="I27" s="80">
        <f>D27/((100-VLOOKUP(B27,Converted_feedstuff!$C$5:$F$54,4,FALSE))/100)</f>
        <v>2297.9976442873967</v>
      </c>
      <c r="K27" s="30">
        <f>IF(B27="",0,VLOOKUP(B27,Converted_feedstuff!$C$5:$D$54,2,FALSE))</f>
        <v>359</v>
      </c>
      <c r="L27" s="80">
        <f>IF($B27="","",((VLOOKUP($B27,Converted_feedstuff!$C$5:$AM$54,33,FALSE))*((100-VLOOKUP($B27,Converted_feedstuff!$C$5:$K$54,5,FALSE))/100))/((100-VLOOKUP($B27,Converted_feedstuff!$C$5:$K$54,4,FALSE))/100))</f>
        <v>450.00000233204008</v>
      </c>
      <c r="M27" s="81">
        <f>IF($B27="","",((VLOOKUP($B27,Converted_feedstuff!$C$5:$AM$54,34,FALSE))*((100-VLOOKUP($B27,Converted_feedstuff!$C$5:$K$54,6,FALSE))/100))/((100-VLOOKUP($B27,Converted_feedstuff!$C$5:$K$54,4,FALSE))/100))</f>
        <v>30.5848414522913</v>
      </c>
      <c r="N27" s="81">
        <f>IF($B27="","",((VLOOKUP($B27,Converted_feedstuff!$C$5:$AM$54,35,FALSE))*((100-VLOOKUP($B27,Converted_feedstuff!$C$5:$K$54,7,FALSE))/100))/((100-VLOOKUP($B27,Converted_feedstuff!$C$5:$K$54,4,FALSE))/100))</f>
        <v>4.3164742615101881</v>
      </c>
      <c r="O27" s="81">
        <f>IF($B27="","",((VLOOKUP($B27,Converted_feedstuff!$C$5:$AM$54,36,FALSE))*((100-VLOOKUP($B27,Converted_feedstuff!$C$5:$K$54,8,FALSE))/100))/((100-VLOOKUP($B27,Converted_feedstuff!$C$5:$K$54,4,FALSE))/100))</f>
        <v>33.088873768162301</v>
      </c>
      <c r="P27" s="81">
        <f>IF($B27="","",((VLOOKUP($B27,Converted_feedstuff!$C$5:$AM$49,37,FALSE))*((100-VLOOKUP($B27,Converted_feedstuff!$C$5:$K$54,9,FALSE))/100))/((100-VLOOKUP($B27,Converted_feedstuff!$C$5:$K$54,4,FALSE))/100))</f>
        <v>16.549135894677399</v>
      </c>
      <c r="R27" s="51">
        <f t="shared" si="6"/>
        <v>359</v>
      </c>
      <c r="S27" s="44"/>
      <c r="T27" s="34">
        <f t="shared" si="5"/>
        <v>877.95000454981016</v>
      </c>
      <c r="U27" s="34">
        <f t="shared" si="5"/>
        <v>59.671025673420324</v>
      </c>
      <c r="V27" s="34">
        <f t="shared" si="5"/>
        <v>8.4214412842063773</v>
      </c>
      <c r="W27" s="34">
        <f t="shared" si="5"/>
        <v>64.556392721684645</v>
      </c>
      <c r="X27" s="34">
        <f t="shared" si="7"/>
        <v>32287.364130515605</v>
      </c>
      <c r="Y27" s="81">
        <f t="shared" si="8"/>
        <v>372.94391045887704</v>
      </c>
      <c r="AB27" s="114">
        <f>IF(B27="",0,(VLOOKUP(B27,Converted_feedstuff!$C$5:$BH$54,58,FALSE)*$I27))</f>
        <v>18.978540228967645</v>
      </c>
      <c r="AC27" s="30"/>
      <c r="AD27" s="30"/>
      <c r="AF27" s="144" t="str">
        <f t="shared" si="9"/>
        <v>Ensilage_graes_conv</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t="s">
        <v>133</v>
      </c>
      <c r="C28" s="28" t="s">
        <v>43</v>
      </c>
      <c r="D28" s="6">
        <v>1251</v>
      </c>
      <c r="E28" s="5" t="s">
        <v>131</v>
      </c>
      <c r="F28" s="5"/>
      <c r="G28" s="126"/>
      <c r="H28" s="30" t="str">
        <f>IF(B28="","",VLOOKUP(B28,Converted_feedstuff!$C$5:$E$54,3,FALSE))</f>
        <v>Maize_whole_crop_fresh_conv</v>
      </c>
      <c r="I28" s="80">
        <f>D28/((100-VLOOKUP(B28,Converted_feedstuff!$C$5:$F$54,4,FALSE))/100)</f>
        <v>1473.4982332155475</v>
      </c>
      <c r="K28" s="30">
        <f>IF(B28="",0,VLOOKUP(B28,Converted_feedstuff!$C$5:$D$54,2,FALSE))</f>
        <v>349</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13.220824499411071</v>
      </c>
      <c r="N28" s="81">
        <f>IF($B28="","",((VLOOKUP($B28,Converted_feedstuff!$C$5:$AM$54,35,FALSE))*((100-VLOOKUP($B28,Converted_feedstuff!$C$5:$K$54,7,FALSE))/100))/((100-VLOOKUP($B28,Converted_feedstuff!$C$5:$K$54,4,FALSE))/100))</f>
        <v>2.5912838633686688</v>
      </c>
      <c r="O28" s="81">
        <f>IF($B28="","",((VLOOKUP($B28,Converted_feedstuff!$C$5:$AM$54,36,FALSE))*((100-VLOOKUP($B28,Converted_feedstuff!$C$5:$K$54,8,FALSE))/100))/((100-VLOOKUP($B28,Converted_feedstuff!$C$5:$K$54,4,FALSE))/100))</f>
        <v>13.309776207302708</v>
      </c>
      <c r="P28" s="81">
        <f>IF($B28="","",((VLOOKUP($B28,Converted_feedstuff!$C$5:$AM$49,37,FALSE))*((100-VLOOKUP($B28,Converted_feedstuff!$C$5:$K$54,9,FALSE))/100))/((100-VLOOKUP($B28,Converted_feedstuff!$C$5:$K$54,4,FALSE))/100))</f>
        <v>17.7</v>
      </c>
      <c r="R28" s="51">
        <f t="shared" si="6"/>
        <v>349</v>
      </c>
      <c r="S28" s="44"/>
      <c r="T28" s="34">
        <f t="shared" si="5"/>
        <v>562.94999999999993</v>
      </c>
      <c r="U28" s="34">
        <f t="shared" si="5"/>
        <v>16.539251448763249</v>
      </c>
      <c r="V28" s="34">
        <f t="shared" si="5"/>
        <v>3.2416961130742048</v>
      </c>
      <c r="W28" s="34">
        <f t="shared" si="5"/>
        <v>16.650530035335688</v>
      </c>
      <c r="X28" s="34">
        <f t="shared" si="7"/>
        <v>22142.7</v>
      </c>
      <c r="Y28" s="81">
        <f t="shared" si="8"/>
        <v>103.3703215547703</v>
      </c>
      <c r="AB28" s="114">
        <f>IF(B28="",0,(VLOOKUP(B28,Converted_feedstuff!$C$5:$BH$54,58,FALSE)*$I28))</f>
        <v>6.9504633642242819</v>
      </c>
      <c r="AC28" s="30"/>
      <c r="AD28" s="30"/>
      <c r="AF28" s="144" t="str">
        <f t="shared" si="9"/>
        <v>Ensilage_majs_conv</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100.12422089051141</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1.5242374696558758</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5202</v>
      </c>
      <c r="E31" s="24"/>
      <c r="K31" t="s">
        <v>175</v>
      </c>
      <c r="L31" s="24"/>
      <c r="M31" s="24"/>
      <c r="N31" s="24"/>
      <c r="O31" s="24"/>
      <c r="P31" s="24"/>
      <c r="Q31" s="25"/>
      <c r="R31" s="82">
        <f>(D24*R24+D25*R25+D26*R26+D27*R27+D28*R28+D29*R29+D30*R30)/D31</f>
        <v>287.77547097270281</v>
      </c>
      <c r="S31" s="45"/>
      <c r="T31" s="116">
        <f t="shared" ref="T31:Y31" si="10">SUM(T24:T30)</f>
        <v>2340.9000092138899</v>
      </c>
      <c r="U31" s="116">
        <f t="shared" si="10"/>
        <v>130.25092310136216</v>
      </c>
      <c r="V31" s="116">
        <f t="shared" si="10"/>
        <v>18.992510693324881</v>
      </c>
      <c r="W31" s="116">
        <f t="shared" si="10"/>
        <v>137.39183041535992</v>
      </c>
      <c r="X31" s="116">
        <f>SUM(X24:X30)</f>
        <v>87528.335919870398</v>
      </c>
      <c r="Y31" s="116">
        <f t="shared" si="10"/>
        <v>814.06826938351355</v>
      </c>
      <c r="AA31" s="113" t="s">
        <v>61</v>
      </c>
      <c r="AB31" s="115">
        <f>SUM(AB24:AB30)</f>
        <v>-0.98833599688781781</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100.12422089051141</v>
      </c>
      <c r="AS31" s="92">
        <f t="shared" si="11"/>
        <v>0</v>
      </c>
      <c r="AT31" s="92">
        <f t="shared" si="11"/>
        <v>0</v>
      </c>
      <c r="AU31" s="92" t="e">
        <f t="shared" si="11"/>
        <v>#REF!</v>
      </c>
      <c r="AV31" s="92">
        <f t="shared" si="11"/>
        <v>1.5242374696558758</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8227</v>
      </c>
      <c r="E32" s="24"/>
      <c r="I32" s="24"/>
      <c r="J32" s="24"/>
      <c r="K32" s="24"/>
      <c r="L32" s="24"/>
      <c r="M32" s="24"/>
      <c r="N32" s="24"/>
      <c r="P32" s="25"/>
      <c r="Q32" s="25"/>
      <c r="R32" s="84">
        <f>(D20*R20+D31*R31)/D32</f>
        <v>501.89424730570147</v>
      </c>
      <c r="S32" s="85"/>
      <c r="T32" s="117">
        <f>T20+T31</f>
        <v>3702.1500092138899</v>
      </c>
      <c r="U32" s="117">
        <f t="shared" ref="U32:Y32" si="12">U20+U31</f>
        <v>243.8703115916455</v>
      </c>
      <c r="V32" s="117">
        <f t="shared" si="12"/>
        <v>44.941327940150003</v>
      </c>
      <c r="W32" s="117">
        <f t="shared" si="12"/>
        <v>175.5178649679649</v>
      </c>
      <c r="X32" s="117">
        <f t="shared" si="12"/>
        <v>150547.12981746387</v>
      </c>
      <c r="Y32" s="117">
        <f t="shared" si="12"/>
        <v>1524.1894474477845</v>
      </c>
      <c r="AF32" s="144" t="str">
        <f t="shared" ref="AF32:AF37" si="13">IF(E25="","",E25)</f>
        <v/>
      </c>
      <c r="BL32" t="str">
        <f>A4</f>
        <v>ID-nummer</v>
      </c>
      <c r="BM32">
        <f>B4</f>
        <v>101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Dairy_cow1_conv</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Ensilage_majs_conv</v>
      </c>
      <c r="AM34" s="29"/>
      <c r="AN34" s="29"/>
      <c r="BJ34">
        <f t="shared" ref="BI34:BJ62" si="14">$BM$32</f>
        <v>101</v>
      </c>
      <c r="BK34" t="str">
        <f t="shared" ref="BJ34:BK62" si="15">$BM$33</f>
        <v>Dairy_cow1_conv</v>
      </c>
      <c r="BL34" t="s">
        <v>69</v>
      </c>
      <c r="BM34" t="str">
        <f>$B$24</f>
        <v>Afgraesning_1_grazed_conv</v>
      </c>
      <c r="BN34" t="str">
        <f t="shared" ref="BN34:BO40" si="16">C24</f>
        <v>Kg</v>
      </c>
      <c r="BO34">
        <f t="shared" si="16"/>
        <v>2000</v>
      </c>
    </row>
    <row r="35" spans="1:67" ht="15.6" x14ac:dyDescent="0.3">
      <c r="A35" s="18" t="s">
        <v>631</v>
      </c>
      <c r="B35" s="19" t="s">
        <v>422</v>
      </c>
      <c r="C35" s="28" t="s">
        <v>43</v>
      </c>
      <c r="D35" s="34">
        <f>H35*(R35/1000)</f>
        <v>1.9004999999999999</v>
      </c>
      <c r="E35" s="30" t="str">
        <f>IF(B35="","",VLOOKUP(B35,'Processed products'!$B$5:$E$104,2,FALSE))</f>
        <v>Dead_meat_conv</v>
      </c>
      <c r="F35" s="30" t="str">
        <f>IF(B35="","",VLOOKUP(B35,'Processed products'!$B$5:$E$104,3,FALSE))</f>
        <v>Dead_meat</v>
      </c>
      <c r="G35" s="30" t="str">
        <f>IF(B35="","",VLOOKUP(B35,'Processed products'!$B$5:$E$104,4,FALSE))</f>
        <v>Exit_model</v>
      </c>
      <c r="H35" s="5">
        <v>5.43</v>
      </c>
      <c r="I35" s="4"/>
      <c r="K35" s="97" t="s">
        <v>654</v>
      </c>
      <c r="L35" s="132" t="s">
        <v>489</v>
      </c>
      <c r="M35" s="132" t="s">
        <v>640</v>
      </c>
      <c r="N35" s="272">
        <v>2.08</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Ensilage_graes_conv</v>
      </c>
      <c r="AJ35" s="32"/>
      <c r="BJ35">
        <f t="shared" si="14"/>
        <v>101</v>
      </c>
      <c r="BK35" t="str">
        <f t="shared" si="15"/>
        <v>Dairy_cow1_conv</v>
      </c>
      <c r="BL35" t="s">
        <v>69</v>
      </c>
      <c r="BM35">
        <f>$B$25</f>
        <v>0</v>
      </c>
      <c r="BN35" t="str">
        <f t="shared" si="16"/>
        <v>Kg</v>
      </c>
      <c r="BO35">
        <f t="shared" si="16"/>
        <v>0</v>
      </c>
    </row>
    <row r="36" spans="1:67" ht="15.6" x14ac:dyDescent="0.3">
      <c r="A36" s="18" t="s">
        <v>632</v>
      </c>
      <c r="B36" s="19" t="s">
        <v>214</v>
      </c>
      <c r="C36" s="28" t="s">
        <v>43</v>
      </c>
      <c r="D36" s="34">
        <f t="shared" ref="D36" si="17">H36*(R36/1000)</f>
        <v>14</v>
      </c>
      <c r="E36" s="30" t="str">
        <f>IF(B36="","",VLOOKUP(B36,'Processed products'!$B$5:$E$104,2,FALSE))</f>
        <v>Beef_meat_conv</v>
      </c>
      <c r="F36" s="30" t="str">
        <f>IF(B36="","",VLOOKUP(B36,'Processed products'!$B$5:$E$104,3,FALSE))</f>
        <v>Meat</v>
      </c>
      <c r="G36" s="30" t="str">
        <f>IF(B36="","",VLOOKUP(B36,'Processed products'!$B$5:$E$104,4,FALSE))</f>
        <v>Exit_model</v>
      </c>
      <c r="H36" s="5">
        <v>40</v>
      </c>
      <c r="I36" s="4"/>
      <c r="K36" s="97" t="s">
        <v>655</v>
      </c>
      <c r="L36" s="132" t="s">
        <v>644</v>
      </c>
      <c r="M36" s="132" t="s">
        <v>650</v>
      </c>
      <c r="N36" s="272">
        <v>26.16</v>
      </c>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
      </c>
      <c r="BJ36">
        <f t="shared" si="14"/>
        <v>101</v>
      </c>
      <c r="BK36" t="str">
        <f t="shared" si="15"/>
        <v>Dairy_cow1_conv</v>
      </c>
      <c r="BL36" t="s">
        <v>69</v>
      </c>
      <c r="BM36">
        <f>$B$26</f>
        <v>0</v>
      </c>
      <c r="BN36" t="str">
        <f t="shared" si="16"/>
        <v>Kg</v>
      </c>
      <c r="BO36">
        <f t="shared" si="16"/>
        <v>0</v>
      </c>
    </row>
    <row r="37" spans="1:67" ht="16.2" thickBot="1" x14ac:dyDescent="0.35">
      <c r="A37" s="18" t="s">
        <v>647</v>
      </c>
      <c r="B37" s="19" t="s">
        <v>489</v>
      </c>
      <c r="C37" s="28" t="s">
        <v>43</v>
      </c>
      <c r="D37" s="34">
        <f>H37*(R37/1000)</f>
        <v>7.9554999999999998</v>
      </c>
      <c r="E37" s="30" t="str">
        <f>IF(B37="","",VLOOKUP(B37,'Processed products'!$B$5:$E$104,2,FALSE))</f>
        <v>Calf_dairy_heavy_live_conv</v>
      </c>
      <c r="F37" s="30" t="str">
        <f>IF(B37="","",VLOOKUP(B37,'Processed products'!$B$5:$E$104,3,FALSE))</f>
        <v>Cattle_heavy_live_conv</v>
      </c>
      <c r="G37" s="30" t="str">
        <f>IF(B37="","",VLOOKUP(B37,'Processed products'!$B$5:$E$104,4,FALSE))</f>
        <v>Livestock_balance</v>
      </c>
      <c r="H37" s="5">
        <v>22.73</v>
      </c>
      <c r="I37" s="5">
        <v>0.56999999999999995</v>
      </c>
      <c r="K37" s="273" t="s">
        <v>656</v>
      </c>
      <c r="L37" s="260"/>
      <c r="M37" s="260"/>
      <c r="N37" s="261"/>
      <c r="Q37" s="25"/>
      <c r="R37" s="51">
        <f>(IF($B37="",0,VLOOKUP($B37,'Processed products'!$B$5:$O$104,5,FALSE)))</f>
        <v>350</v>
      </c>
      <c r="S37" s="44"/>
      <c r="T37" s="28">
        <f>(IF($B37="","",VLOOKUP($B37,'Processed products'!$B$5:$O$104,9,FALSE)))</f>
        <v>680</v>
      </c>
      <c r="U37" s="34">
        <f>(IF($B37="","",VLOOKUP($B37,'Processed products'!$B$5:$O$104,10,FALSE)))</f>
        <v>84.569919999999996</v>
      </c>
      <c r="V37" s="28">
        <f>(IF($B37="","",VLOOKUP($B37,'Processed products'!$B$5:$O$104,11,FALSE)))</f>
        <v>29.14</v>
      </c>
      <c r="W37" s="28">
        <f>(IF($B37="","",VLOOKUP($B37,'Processed products'!$B$5:$O$104,12,FALSE)))</f>
        <v>6</v>
      </c>
      <c r="X37" s="28">
        <f>(IF($B37="","",VLOOKUP($B37,'Processed products'!$B$5:$O$104,13,FALSE)))</f>
        <v>19.63</v>
      </c>
      <c r="Z37" s="53"/>
      <c r="AA37" s="53"/>
      <c r="AB37" s="53"/>
      <c r="AC37" s="53"/>
      <c r="AD37" s="53"/>
      <c r="AF37" s="144" t="str">
        <f t="shared" si="13"/>
        <v/>
      </c>
      <c r="BJ37">
        <f t="shared" si="14"/>
        <v>101</v>
      </c>
      <c r="BK37" t="str">
        <f t="shared" si="15"/>
        <v>Dairy_cow1_conv</v>
      </c>
      <c r="BL37" t="s">
        <v>69</v>
      </c>
      <c r="BM37" t="str">
        <f>$B$27</f>
        <v>Ensilage_graes_conv</v>
      </c>
      <c r="BN37" t="str">
        <f t="shared" si="16"/>
        <v>Kg</v>
      </c>
      <c r="BO37">
        <f t="shared" si="16"/>
        <v>1951</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101</v>
      </c>
      <c r="BK38" t="str">
        <f t="shared" si="15"/>
        <v>Dairy_cow1_conv</v>
      </c>
      <c r="BL38" t="s">
        <v>69</v>
      </c>
      <c r="BM38" t="str">
        <f>$B$28</f>
        <v>Ensilage_majs_conv</v>
      </c>
      <c r="BN38" t="str">
        <f t="shared" si="16"/>
        <v>Kg</v>
      </c>
      <c r="BO38">
        <f t="shared" si="16"/>
        <v>1251</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36"/>
      <c r="J39" s="123"/>
      <c r="K39" s="53"/>
      <c r="L39" s="123"/>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101</v>
      </c>
      <c r="BK39" t="str">
        <f t="shared" si="15"/>
        <v>Dairy_cow1_conv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K40" s="136">
        <f>40*0.052</f>
        <v>2.08</v>
      </c>
      <c r="L40" s="123"/>
      <c r="M40" s="123"/>
      <c r="N40" s="136">
        <f>503*0.052</f>
        <v>26.155999999999999</v>
      </c>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101</v>
      </c>
      <c r="BK40" t="str">
        <f t="shared" si="15"/>
        <v>Dairy_cow1_conv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101</v>
      </c>
      <c r="BK41" t="str">
        <f t="shared" si="15"/>
        <v>Dairy_cow1_conv</v>
      </c>
      <c r="BL41" t="s">
        <v>126</v>
      </c>
      <c r="BM41" t="str">
        <f>$B$35</f>
        <v>Kvaeg_affald_conv</v>
      </c>
      <c r="BN41" t="str">
        <f>C35</f>
        <v>Kg</v>
      </c>
      <c r="BO41" s="64">
        <f>P35</f>
        <v>0</v>
      </c>
    </row>
    <row r="42" spans="1:67" x14ac:dyDescent="0.3">
      <c r="A42" s="33" t="s">
        <v>61</v>
      </c>
      <c r="B42" s="39"/>
      <c r="C42" s="28" t="s">
        <v>43</v>
      </c>
      <c r="D42" s="34">
        <f>SUM(D35:D41)</f>
        <v>23.855999999999998</v>
      </c>
      <c r="E42" s="24"/>
      <c r="I42" s="124"/>
      <c r="J42" s="246" t="s">
        <v>649</v>
      </c>
      <c r="K42" s="123"/>
      <c r="L42" s="123"/>
      <c r="M42" s="136">
        <f>80*0.052+0.053*40*0.6</f>
        <v>5.4320000000000004</v>
      </c>
      <c r="N42" s="124"/>
      <c r="P42" s="93"/>
      <c r="Q42" s="25"/>
      <c r="Z42" s="53"/>
      <c r="AA42" s="53"/>
      <c r="AB42" s="53"/>
      <c r="AC42" s="53"/>
      <c r="AD42" s="53"/>
      <c r="AF42" s="144" t="str">
        <f t="shared" si="18"/>
        <v/>
      </c>
      <c r="BJ42">
        <f t="shared" si="14"/>
        <v>101</v>
      </c>
      <c r="BK42" t="str">
        <f t="shared" si="15"/>
        <v>Dairy_cow1_conv</v>
      </c>
      <c r="BL42" t="s">
        <v>126</v>
      </c>
      <c r="BM42" t="str">
        <f>$B$36</f>
        <v>Tilvaekst_kvaeg_conv</v>
      </c>
      <c r="BN42" t="str">
        <f t="shared" ref="BN42:BN47" si="19">C35</f>
        <v>Kg</v>
      </c>
      <c r="BO42" s="64">
        <f t="shared" ref="BO42:BO47" si="20">P35</f>
        <v>0</v>
      </c>
    </row>
    <row r="43" spans="1:67" x14ac:dyDescent="0.3">
      <c r="J43" s="123" t="s">
        <v>651</v>
      </c>
      <c r="K43" s="136">
        <f>24*0.947</f>
        <v>22.727999999999998</v>
      </c>
      <c r="L43" s="136">
        <f>K43/40</f>
        <v>0.56819999999999993</v>
      </c>
      <c r="M43" s="123"/>
      <c r="Z43" s="53"/>
      <c r="AA43" s="53"/>
      <c r="AB43" s="53"/>
      <c r="AC43" s="53"/>
      <c r="AD43" s="53"/>
      <c r="AF43" s="144" t="str">
        <f t="shared" si="18"/>
        <v/>
      </c>
      <c r="BJ43">
        <f t="shared" si="14"/>
        <v>101</v>
      </c>
      <c r="BK43" t="str">
        <f t="shared" si="15"/>
        <v>Dairy_cow1_conv</v>
      </c>
      <c r="BL43" t="s">
        <v>126</v>
      </c>
      <c r="BM43" t="str">
        <f>$B$37</f>
        <v>Foster_kvaeg_dairy_heavy_conv</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101</v>
      </c>
      <c r="BK44" t="str">
        <f t="shared" si="15"/>
        <v>Dairy_cow1_conv</v>
      </c>
      <c r="BL44" t="s">
        <v>126</v>
      </c>
      <c r="BM44">
        <f>$B$38</f>
        <v>0</v>
      </c>
      <c r="BN44" t="str">
        <f t="shared" si="19"/>
        <v>Kg</v>
      </c>
      <c r="BO44" s="64">
        <f t="shared" si="20"/>
        <v>0</v>
      </c>
    </row>
    <row r="45" spans="1:67" x14ac:dyDescent="0.3">
      <c r="A45" s="18" t="s">
        <v>163</v>
      </c>
      <c r="B45" s="19" t="s">
        <v>410</v>
      </c>
      <c r="C45" s="28" t="s">
        <v>43</v>
      </c>
      <c r="D45" s="51">
        <f>H45*(I45/1000)</f>
        <v>1482.7050000000002</v>
      </c>
      <c r="E45" s="28" t="str">
        <f>IF(B45="","",VLOOKUP(B45,'Processed products'!$AJ$5:$AO$250,2,FALSE))</f>
        <v>Maelk_EKM_conv</v>
      </c>
      <c r="F45" s="28" t="str">
        <f>IF(B45="","",VLOOKUP(B45,'Processed products'!$AJ$5:$AO$250,3,FALSE))</f>
        <v>Maelk_EKM</v>
      </c>
      <c r="G45" s="28" t="str">
        <f>IF(B45="","",VLOOKUP(B45,'Processed products'!$AJ$5:$AO$250,4,FALSE))</f>
        <v>Exit_model</v>
      </c>
      <c r="H45" s="51">
        <f>J8</f>
        <v>11273.594789808918</v>
      </c>
      <c r="I45" s="51">
        <f>((IF(B45="","",VLOOKUP(B45,'Processed products'!$AJ$5:$AO$250,5,FALSE)))*J5)/J8</f>
        <v>131.52016083994192</v>
      </c>
      <c r="J45" s="132">
        <v>450</v>
      </c>
      <c r="K45" s="34">
        <f>IF(H45=0,0,(((J5*(J7/100))/L8)/D45)*1000)</f>
        <v>40.984558225937533</v>
      </c>
      <c r="L45" s="34">
        <f>IF(H45=0,0,(J5*L11)/D45)</f>
        <v>7.1111111111111107</v>
      </c>
      <c r="M45" s="34">
        <f>IF(H45=0,0,(J5*L12)/D45)</f>
        <v>11.703703703703702</v>
      </c>
      <c r="N45" s="34">
        <f>IF(H45=0,0,(L5*J8)/D45)</f>
        <v>23.874666666666666</v>
      </c>
      <c r="O45" s="81">
        <f>K45*6.38</f>
        <v>261.48148148148147</v>
      </c>
      <c r="P45" s="93"/>
      <c r="Q45" s="47"/>
      <c r="R45" s="123"/>
      <c r="Z45" s="53"/>
      <c r="AA45" s="53"/>
      <c r="AB45" s="53"/>
      <c r="AC45" s="53"/>
      <c r="AD45" s="53"/>
      <c r="AF45" s="144" t="str">
        <f>IF(G24="","",G24)</f>
        <v/>
      </c>
      <c r="AG45" s="136"/>
      <c r="AH45" s="136"/>
      <c r="AI45" s="136"/>
      <c r="AJ45" s="136"/>
      <c r="BJ45">
        <f t="shared" si="14"/>
        <v>101</v>
      </c>
      <c r="BK45" t="str">
        <f t="shared" si="15"/>
        <v>Dairy_cow1_conv</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101</v>
      </c>
      <c r="BK46" t="str">
        <f t="shared" si="15"/>
        <v>Dairy_cow1_conv</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101</v>
      </c>
      <c r="BK47" t="str">
        <f t="shared" si="15"/>
        <v>Dairy_cow1_conv</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101</v>
      </c>
      <c r="BK48" t="str">
        <f t="shared" si="15"/>
        <v>Dairy_cow1_conv</v>
      </c>
      <c r="BL48" t="s">
        <v>127</v>
      </c>
      <c r="BM48" t="str">
        <f t="shared" ref="BM48:BM52" si="22">$B$45</f>
        <v>Soedmaelk_tung_EKM_conv</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101</v>
      </c>
      <c r="BK49" t="str">
        <f t="shared" si="15"/>
        <v>Dairy_cow1_conv</v>
      </c>
      <c r="BL49" t="s">
        <v>127</v>
      </c>
      <c r="BM49" t="str">
        <f t="shared" si="22"/>
        <v>Soedmaelk_tung_EKM_conv</v>
      </c>
      <c r="BN49" t="str">
        <f>$AF$34</f>
        <v>Ensilage_majs_conv</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101</v>
      </c>
      <c r="BK50" t="str">
        <f t="shared" si="15"/>
        <v>Dairy_cow1_conv</v>
      </c>
      <c r="BL50" t="s">
        <v>127</v>
      </c>
      <c r="BM50" t="str">
        <f t="shared" si="22"/>
        <v>Soedmaelk_tung_EKM_conv</v>
      </c>
      <c r="BN50" s="32">
        <f>$AH$34</f>
        <v>0</v>
      </c>
      <c r="BO50" s="32">
        <f>AH45</f>
        <v>0</v>
      </c>
    </row>
    <row r="51" spans="1:67" ht="15" thickBot="1" x14ac:dyDescent="0.35">
      <c r="A51" s="18" t="s">
        <v>56</v>
      </c>
      <c r="B51" s="9"/>
      <c r="C51" s="28" t="s">
        <v>43</v>
      </c>
      <c r="D51" s="51">
        <f>SUM(D42,D45:D50)</f>
        <v>1506.5610000000001</v>
      </c>
      <c r="I51" s="93"/>
      <c r="J51" s="93"/>
      <c r="K51" s="93"/>
      <c r="L51" s="93"/>
      <c r="M51" s="93"/>
      <c r="N51" s="93"/>
      <c r="O51" s="135"/>
      <c r="P51" s="93"/>
      <c r="Q51" s="47"/>
      <c r="Z51" s="53"/>
      <c r="AA51" s="53"/>
      <c r="AB51" s="53"/>
      <c r="AC51" s="53"/>
      <c r="AD51" s="53"/>
      <c r="AF51" s="145" t="str">
        <f t="shared" si="21"/>
        <v/>
      </c>
      <c r="BJ51">
        <f t="shared" si="14"/>
        <v>101</v>
      </c>
      <c r="BK51" t="str">
        <f t="shared" si="15"/>
        <v>Dairy_cow1_conv</v>
      </c>
      <c r="BL51" t="s">
        <v>127</v>
      </c>
      <c r="BM51" t="str">
        <f t="shared" si="22"/>
        <v>Soedmaelk_tung_EKM_conv</v>
      </c>
      <c r="BN51">
        <f>$AI$34</f>
        <v>0</v>
      </c>
      <c r="BO51" s="32">
        <f>AI45</f>
        <v>0</v>
      </c>
    </row>
    <row r="52" spans="1:67" x14ac:dyDescent="0.3">
      <c r="C52" s="25"/>
      <c r="H52" s="137"/>
      <c r="I52" s="137"/>
      <c r="Y52" s="29"/>
      <c r="Z52" s="136"/>
      <c r="AA52" s="136"/>
      <c r="AB52" s="136"/>
      <c r="AC52" s="136"/>
      <c r="AD52" s="136"/>
      <c r="AF52" s="32"/>
      <c r="BJ52">
        <f t="shared" si="14"/>
        <v>101</v>
      </c>
      <c r="BK52" t="str">
        <f t="shared" si="15"/>
        <v>Dairy_cow1_conv</v>
      </c>
      <c r="BL52" t="s">
        <v>127</v>
      </c>
      <c r="BM52" t="str">
        <f t="shared" si="22"/>
        <v>Soedmaelk_tung_EKM_conv</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101</v>
      </c>
      <c r="BK53" t="str">
        <f t="shared" si="15"/>
        <v>Dairy_cow1_conv</v>
      </c>
      <c r="BL53" t="s">
        <v>127</v>
      </c>
      <c r="BM53">
        <f t="shared" ref="BM53:BM58" si="23">$B$46</f>
        <v>0</v>
      </c>
      <c r="BN53" t="str">
        <f>C46</f>
        <v>Kg</v>
      </c>
      <c r="BO53" s="64">
        <f>P46</f>
        <v>0</v>
      </c>
    </row>
    <row r="54" spans="1:67" x14ac:dyDescent="0.3">
      <c r="A54" s="18" t="s">
        <v>220</v>
      </c>
      <c r="B54" s="50" t="s">
        <v>233</v>
      </c>
      <c r="C54" s="50" t="s">
        <v>43</v>
      </c>
      <c r="D54" s="138"/>
      <c r="E54" s="53"/>
      <c r="F54" s="138"/>
      <c r="G54" s="53"/>
      <c r="H54" s="138"/>
      <c r="I54" s="138"/>
      <c r="AF54" s="32"/>
      <c r="BJ54">
        <f t="shared" si="14"/>
        <v>101</v>
      </c>
      <c r="BK54" t="str">
        <f t="shared" si="15"/>
        <v>Dairy_cow1_conv</v>
      </c>
      <c r="BL54" t="s">
        <v>127</v>
      </c>
      <c r="BM54">
        <f t="shared" si="23"/>
        <v>0</v>
      </c>
      <c r="BN54" t="str">
        <f>$AF$34</f>
        <v>Ensilage_majs_conv</v>
      </c>
      <c r="BO54" s="32" t="str">
        <f>AF$46</f>
        <v/>
      </c>
    </row>
    <row r="55" spans="1:67" x14ac:dyDescent="0.3">
      <c r="A55" s="18" t="s">
        <v>254</v>
      </c>
      <c r="B55" s="50" t="s">
        <v>233</v>
      </c>
      <c r="C55" s="50" t="s">
        <v>43</v>
      </c>
      <c r="D55" s="138"/>
      <c r="E55" s="53"/>
      <c r="F55" s="138"/>
      <c r="G55" s="53"/>
      <c r="H55" s="138"/>
      <c r="I55" s="138"/>
      <c r="BJ55">
        <f t="shared" si="14"/>
        <v>101</v>
      </c>
      <c r="BK55" t="str">
        <f t="shared" si="15"/>
        <v>Dairy_cow1_conv</v>
      </c>
      <c r="BL55" t="s">
        <v>127</v>
      </c>
      <c r="BM55">
        <f t="shared" si="23"/>
        <v>0</v>
      </c>
      <c r="BN55">
        <f>$AG$34</f>
        <v>0</v>
      </c>
      <c r="BO55" s="32">
        <f>AG$46</f>
        <v>0</v>
      </c>
    </row>
    <row r="56" spans="1:67" x14ac:dyDescent="0.3">
      <c r="A56" s="18" t="s">
        <v>35</v>
      </c>
      <c r="B56" s="50"/>
      <c r="C56" s="50"/>
      <c r="D56" s="138"/>
      <c r="E56" s="53"/>
      <c r="F56" s="138"/>
      <c r="G56" s="53"/>
      <c r="H56" s="138"/>
      <c r="I56" s="138"/>
      <c r="BJ56">
        <f t="shared" si="14"/>
        <v>101</v>
      </c>
      <c r="BK56" t="str">
        <f t="shared" si="15"/>
        <v>Dairy_cow1_conv</v>
      </c>
      <c r="BL56" t="s">
        <v>127</v>
      </c>
      <c r="BM56">
        <f t="shared" si="23"/>
        <v>0</v>
      </c>
      <c r="BN56" s="32">
        <f>$AH$34</f>
        <v>0</v>
      </c>
      <c r="BO56" s="32">
        <f>AH$46</f>
        <v>0</v>
      </c>
    </row>
    <row r="57" spans="1:67" x14ac:dyDescent="0.3">
      <c r="A57" s="18" t="s">
        <v>36</v>
      </c>
      <c r="B57" s="50"/>
      <c r="C57" s="50"/>
      <c r="D57" s="138"/>
      <c r="E57" s="53"/>
      <c r="F57" s="138"/>
      <c r="G57" s="53"/>
      <c r="H57" s="138"/>
      <c r="I57" s="138"/>
      <c r="BJ57">
        <f t="shared" si="14"/>
        <v>101</v>
      </c>
      <c r="BK57" t="str">
        <f t="shared" si="15"/>
        <v>Dairy_cow1_conv</v>
      </c>
      <c r="BL57" t="s">
        <v>127</v>
      </c>
      <c r="BM57">
        <f t="shared" si="23"/>
        <v>0</v>
      </c>
      <c r="BN57">
        <f>$AI$34</f>
        <v>0</v>
      </c>
      <c r="BO57" s="32">
        <f>AI$46</f>
        <v>0</v>
      </c>
    </row>
    <row r="58" spans="1:67" x14ac:dyDescent="0.3">
      <c r="A58" s="18" t="s">
        <v>37</v>
      </c>
      <c r="B58" s="50"/>
      <c r="C58" s="50"/>
      <c r="D58" s="138"/>
      <c r="E58" s="53"/>
      <c r="F58" s="138"/>
      <c r="G58" s="53"/>
      <c r="H58" s="138"/>
      <c r="I58" s="138"/>
      <c r="BJ58">
        <f t="shared" si="14"/>
        <v>101</v>
      </c>
      <c r="BK58" t="str">
        <f t="shared" si="15"/>
        <v>Dairy_cow1_conv</v>
      </c>
      <c r="BL58" t="s">
        <v>127</v>
      </c>
      <c r="BM58">
        <f t="shared" si="23"/>
        <v>0</v>
      </c>
      <c r="BN58">
        <f>$AJ$34</f>
        <v>0</v>
      </c>
      <c r="BO58" s="32">
        <f>AJ$46</f>
        <v>0</v>
      </c>
    </row>
    <row r="59" spans="1:67" x14ac:dyDescent="0.3">
      <c r="A59" s="18" t="s">
        <v>56</v>
      </c>
      <c r="B59" s="24"/>
      <c r="D59" s="32"/>
      <c r="F59" s="32"/>
      <c r="H59" s="138"/>
      <c r="I59" s="138"/>
      <c r="BJ59">
        <f t="shared" si="14"/>
        <v>101</v>
      </c>
      <c r="BK59" t="str">
        <f t="shared" si="15"/>
        <v>Dairy_cow1_conv</v>
      </c>
      <c r="BL59" t="s">
        <v>127</v>
      </c>
      <c r="BM59">
        <f t="shared" ref="BL59:BM62" si="24">$B$47</f>
        <v>0</v>
      </c>
      <c r="BN59">
        <f>$AG$34</f>
        <v>0</v>
      </c>
      <c r="BO59" s="32">
        <f>AG$47</f>
        <v>0</v>
      </c>
    </row>
    <row r="60" spans="1:67" x14ac:dyDescent="0.3">
      <c r="BJ60">
        <f t="shared" si="14"/>
        <v>101</v>
      </c>
      <c r="BK60" t="str">
        <f t="shared" si="15"/>
        <v>Dairy_cow1_conv</v>
      </c>
      <c r="BL60" t="s">
        <v>127</v>
      </c>
      <c r="BM60">
        <f t="shared" si="24"/>
        <v>0</v>
      </c>
      <c r="BN60" s="32">
        <f>$AH$34</f>
        <v>0</v>
      </c>
      <c r="BO60" s="32">
        <f>AH$47</f>
        <v>0</v>
      </c>
    </row>
    <row r="61" spans="1:67" ht="17.399999999999999" x14ac:dyDescent="0.3">
      <c r="A61" s="31" t="s">
        <v>104</v>
      </c>
      <c r="BJ61">
        <f t="shared" si="14"/>
        <v>101</v>
      </c>
      <c r="BK61" t="str">
        <f t="shared" si="15"/>
        <v>Dairy_cow1_conv</v>
      </c>
      <c r="BL61" t="s">
        <v>127</v>
      </c>
      <c r="BM61">
        <f t="shared" si="24"/>
        <v>0</v>
      </c>
      <c r="BN61">
        <f>$AI$34</f>
        <v>0</v>
      </c>
      <c r="BO61" s="32">
        <f>AI$47</f>
        <v>0</v>
      </c>
    </row>
    <row r="62" spans="1:67" x14ac:dyDescent="0.3">
      <c r="A62" s="21" t="s">
        <v>280</v>
      </c>
      <c r="B62" s="10" t="s">
        <v>101</v>
      </c>
      <c r="C62" s="10" t="s">
        <v>102</v>
      </c>
      <c r="D62" s="10" t="s">
        <v>103</v>
      </c>
      <c r="BI62">
        <f t="shared" si="14"/>
        <v>101</v>
      </c>
      <c r="BJ62" t="str">
        <f t="shared" si="15"/>
        <v>Dairy_cow1_conv</v>
      </c>
      <c r="BK62" t="s">
        <v>127</v>
      </c>
      <c r="BL62">
        <f t="shared" si="24"/>
        <v>0</v>
      </c>
      <c r="BM62">
        <f>$AJ$34</f>
        <v>0</v>
      </c>
      <c r="BN62" s="32">
        <f>AJ$47</f>
        <v>0</v>
      </c>
    </row>
    <row r="63" spans="1:67" x14ac:dyDescent="0.3">
      <c r="A63" s="18" t="s">
        <v>86</v>
      </c>
      <c r="B63" s="19"/>
      <c r="C63" s="11">
        <v>600</v>
      </c>
      <c r="D63" s="11">
        <v>8</v>
      </c>
      <c r="E63" t="s">
        <v>278</v>
      </c>
      <c r="BI63">
        <f t="shared" ref="BI63:BJ91" si="25">$BM$32</f>
        <v>101</v>
      </c>
      <c r="BJ63" t="str">
        <f t="shared" ref="BJ63:BK91" si="26">$BM$33</f>
        <v>Dairy_cow1_conv</v>
      </c>
      <c r="BK63" t="s">
        <v>127</v>
      </c>
      <c r="BL63">
        <f t="shared" ref="BL63:BM68" si="27">$B$48</f>
        <v>0</v>
      </c>
      <c r="BM63" s="64" t="str">
        <f>C48</f>
        <v>Kg</v>
      </c>
      <c r="BN63" s="32">
        <f>P48</f>
        <v>0</v>
      </c>
    </row>
    <row r="64" spans="1:67" x14ac:dyDescent="0.3">
      <c r="A64" s="18" t="s">
        <v>87</v>
      </c>
      <c r="B64" s="19"/>
      <c r="C64" s="11"/>
      <c r="D64" s="11"/>
      <c r="BI64">
        <f t="shared" si="25"/>
        <v>101</v>
      </c>
      <c r="BJ64" t="str">
        <f t="shared" si="26"/>
        <v>Dairy_cow1_conv</v>
      </c>
      <c r="BK64" t="s">
        <v>127</v>
      </c>
      <c r="BL64">
        <f t="shared" si="27"/>
        <v>0</v>
      </c>
      <c r="BM64" t="str">
        <f>$AF$34</f>
        <v>Ensilage_majs_conv</v>
      </c>
      <c r="BN64" s="32" t="str">
        <f>AF$48</f>
        <v/>
      </c>
    </row>
    <row r="65" spans="1:67" x14ac:dyDescent="0.3">
      <c r="A65" s="156" t="s">
        <v>56</v>
      </c>
      <c r="B65" s="159">
        <f>SUM(B63:B64)</f>
        <v>0</v>
      </c>
      <c r="C65" s="159">
        <f>SUM(C63:C64)</f>
        <v>600</v>
      </c>
      <c r="D65" s="159">
        <f>SUM(D63:D64)</f>
        <v>8</v>
      </c>
      <c r="BJ65">
        <f t="shared" si="25"/>
        <v>101</v>
      </c>
      <c r="BK65" t="str">
        <f t="shared" si="26"/>
        <v>Dairy_cow1_conv</v>
      </c>
      <c r="BL65" t="s">
        <v>127</v>
      </c>
      <c r="BM65">
        <f t="shared" si="27"/>
        <v>0</v>
      </c>
      <c r="BN65">
        <f>$AG$34</f>
        <v>0</v>
      </c>
      <c r="BO65" s="32">
        <f>AG$48</f>
        <v>0</v>
      </c>
    </row>
    <row r="66" spans="1:67" ht="17.399999999999999" x14ac:dyDescent="0.3">
      <c r="P66" s="31" t="s">
        <v>266</v>
      </c>
      <c r="Q66" s="31"/>
      <c r="BJ66">
        <f t="shared" si="25"/>
        <v>101</v>
      </c>
      <c r="BK66" t="str">
        <f t="shared" si="26"/>
        <v>Dairy_cow1_conv</v>
      </c>
      <c r="BL66" t="s">
        <v>127</v>
      </c>
      <c r="BM66">
        <f t="shared" si="27"/>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5"/>
        <v>101</v>
      </c>
      <c r="BK67" t="str">
        <f t="shared" si="26"/>
        <v>Dairy_cow1_conv</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f t="shared" ref="R68:R76" si="29">SUMPRODUCT(($D$68:$D$81=P68)*$L$68:$L$81)</f>
        <v>0.33539982596189405</v>
      </c>
      <c r="S68" s="49">
        <f t="shared" ref="S68:S76" si="30">IF(P68="","0",SUMPRODUCT(($D$68:$D$81=P68)*$K$68:$K$81))</f>
        <v>1.6769991298094702</v>
      </c>
      <c r="T68" s="49">
        <f>IF(R68&gt;0,0,(S68*VLOOKUP(P68,Other_tables!$L$5:$O$13,2,FALSE))/1000)</f>
        <v>0</v>
      </c>
      <c r="U68" s="95"/>
      <c r="BJ68">
        <f t="shared" si="25"/>
        <v>101</v>
      </c>
      <c r="BK68" t="str">
        <f t="shared" si="26"/>
        <v>Dairy_cow1_conv</v>
      </c>
      <c r="BL68" t="s">
        <v>127</v>
      </c>
      <c r="BM68">
        <f t="shared" si="27"/>
        <v>0</v>
      </c>
      <c r="BN68">
        <f>$AJ$34</f>
        <v>0</v>
      </c>
      <c r="BO68" s="32">
        <f>AJ$48</f>
        <v>0</v>
      </c>
    </row>
    <row r="69" spans="1:67" x14ac:dyDescent="0.3">
      <c r="A69" s="18" t="s">
        <v>45</v>
      </c>
      <c r="B69" s="38" t="s">
        <v>285</v>
      </c>
      <c r="C69" s="19">
        <v>168</v>
      </c>
      <c r="D69" s="11" t="s">
        <v>225</v>
      </c>
      <c r="E69" s="11" t="s">
        <v>81</v>
      </c>
      <c r="F69" s="5">
        <v>100</v>
      </c>
      <c r="G69" t="s">
        <v>230</v>
      </c>
      <c r="K69" s="49">
        <f t="shared" si="28"/>
        <v>392.59339431525729</v>
      </c>
      <c r="L69" s="49">
        <f>IF(E69="Diesel",VLOOKUP(D69,Other_tables!$L$5:$O$13,2,FALSE)*K69,0)</f>
        <v>0</v>
      </c>
      <c r="P69" s="30" t="str">
        <f>Other_tables!L6</f>
        <v>Lastbil &gt; 20 T</v>
      </c>
      <c r="Q69" s="44"/>
      <c r="R69" s="159">
        <f t="shared" si="29"/>
        <v>0</v>
      </c>
      <c r="S69" s="49">
        <f t="shared" si="30"/>
        <v>392.59339431525729</v>
      </c>
      <c r="T69" s="49">
        <f>IF(R69&gt;0,0,(S69*VLOOKUP(P69,Other_tables!$L$5:$O$13,2,FALSE))/1000)</f>
        <v>39.259339431525731</v>
      </c>
      <c r="U69" s="95"/>
      <c r="BJ69">
        <f t="shared" si="25"/>
        <v>101</v>
      </c>
      <c r="BK69" t="str">
        <f t="shared" si="26"/>
        <v>Dairy_cow1_conv</v>
      </c>
      <c r="BL69" t="s">
        <v>127</v>
      </c>
      <c r="BM69">
        <f t="shared" ref="BM69:BM74" si="31">$B$49</f>
        <v>0</v>
      </c>
      <c r="BN69" s="64" t="str">
        <f>C49</f>
        <v>Kg</v>
      </c>
      <c r="BO69" s="32">
        <f>P49</f>
        <v>0</v>
      </c>
    </row>
    <row r="70" spans="1:67" x14ac:dyDescent="0.3">
      <c r="A70" s="18" t="s">
        <v>46</v>
      </c>
      <c r="B70" s="38" t="s">
        <v>408</v>
      </c>
      <c r="C70" s="19">
        <v>133</v>
      </c>
      <c r="D70" s="11" t="s">
        <v>226</v>
      </c>
      <c r="E70" s="11" t="s">
        <v>81</v>
      </c>
      <c r="F70" s="5">
        <v>80</v>
      </c>
      <c r="G70" t="s">
        <v>683</v>
      </c>
      <c r="K70" s="49">
        <f t="shared" si="28"/>
        <v>107.08666790135149</v>
      </c>
      <c r="L70" s="49">
        <f>IF(E70="Diesel",VLOOKUP(D70,Other_tables!$L$5:$O$13,2,FALSE)*K70,0)</f>
        <v>0</v>
      </c>
      <c r="P70" s="30" t="str">
        <f>Other_tables!L7</f>
        <v>Lastbil 10-20 T</v>
      </c>
      <c r="Q70" s="44"/>
      <c r="R70" s="159">
        <f t="shared" si="29"/>
        <v>0</v>
      </c>
      <c r="S70" s="49">
        <f t="shared" si="30"/>
        <v>107.08666790135149</v>
      </c>
      <c r="T70" s="49">
        <f>IF(R70&gt;0,0,(S70*VLOOKUP(P70,Other_tables!$L$5:$O$13,2,FALSE))/1000)</f>
        <v>27.20001364694328</v>
      </c>
      <c r="BJ70">
        <f t="shared" si="25"/>
        <v>101</v>
      </c>
      <c r="BK70" t="str">
        <f t="shared" si="26"/>
        <v>Dairy_cow1_conv</v>
      </c>
      <c r="BL70" t="s">
        <v>127</v>
      </c>
      <c r="BM70">
        <f t="shared" si="31"/>
        <v>0</v>
      </c>
      <c r="BN70" t="str">
        <f>$AF$34</f>
        <v>Ensilage_majs_conv</v>
      </c>
      <c r="BO70" s="32" t="str">
        <f>AF$49</f>
        <v/>
      </c>
    </row>
    <row r="71" spans="1:67" x14ac:dyDescent="0.3">
      <c r="A71" s="18" t="s">
        <v>47</v>
      </c>
      <c r="B71" s="38" t="s">
        <v>408</v>
      </c>
      <c r="C71" s="19">
        <v>5</v>
      </c>
      <c r="D71" s="11" t="s">
        <v>229</v>
      </c>
      <c r="E71" s="11" t="s">
        <v>17</v>
      </c>
      <c r="F71" s="5">
        <v>20</v>
      </c>
      <c r="K71" s="49">
        <f t="shared" si="28"/>
        <v>1.0064536456893938</v>
      </c>
      <c r="L71" s="49">
        <f>IF(E71="Diesel",VLOOKUP(D71,Other_tables!$L$5:$O$13,2,FALSE)*K71,0)</f>
        <v>0.20129072913787877</v>
      </c>
      <c r="P71" s="30" t="str">
        <f>Other_tables!L8</f>
        <v>Lastbil &lt; 10 T</v>
      </c>
      <c r="Q71" s="44"/>
      <c r="R71" s="159">
        <f t="shared" si="29"/>
        <v>0</v>
      </c>
      <c r="S71" s="49">
        <f t="shared" si="30"/>
        <v>0</v>
      </c>
      <c r="T71" s="49">
        <f>IF(R71&gt;0,0,(S71*VLOOKUP(P71,Other_tables!$L$5:$O$13,2,FALSE))/1000)</f>
        <v>0</v>
      </c>
      <c r="BJ71">
        <f t="shared" si="25"/>
        <v>101</v>
      </c>
      <c r="BK71" t="str">
        <f t="shared" si="26"/>
        <v>Dairy_cow1_conv</v>
      </c>
      <c r="BL71" t="s">
        <v>127</v>
      </c>
      <c r="BM71">
        <f t="shared" si="31"/>
        <v>0</v>
      </c>
      <c r="BN71">
        <f>$AG$34</f>
        <v>0</v>
      </c>
      <c r="BO71" s="32">
        <f>AG$49</f>
        <v>0</v>
      </c>
    </row>
    <row r="72" spans="1:67" x14ac:dyDescent="0.3">
      <c r="A72" s="18" t="s">
        <v>67</v>
      </c>
      <c r="B72" s="38" t="s">
        <v>409</v>
      </c>
      <c r="C72" s="19">
        <v>5</v>
      </c>
      <c r="D72" s="11" t="s">
        <v>229</v>
      </c>
      <c r="E72" s="11" t="s">
        <v>17</v>
      </c>
      <c r="F72" s="5">
        <v>100</v>
      </c>
      <c r="K72" s="49">
        <f t="shared" si="28"/>
        <v>0.67054548412007642</v>
      </c>
      <c r="L72" s="49">
        <f>IF(E72="Diesel",VLOOKUP(D72,Other_tables!$L$5:$O$13,2,FALSE)*K72,0)</f>
        <v>0.13410909682401528</v>
      </c>
      <c r="P72" s="30" t="str">
        <f>Other_tables!L9</f>
        <v>Fragttog Europa</v>
      </c>
      <c r="Q72" s="44"/>
      <c r="R72" s="159">
        <f t="shared" si="29"/>
        <v>0</v>
      </c>
      <c r="S72" s="49">
        <f t="shared" si="30"/>
        <v>0</v>
      </c>
      <c r="T72" s="49">
        <f>IF(R72&gt;0,0,(S72*VLOOKUP(P72,Other_tables!$L$5:$O$13,2,FALSE))/1000)</f>
        <v>0</v>
      </c>
      <c r="BJ72">
        <f t="shared" si="25"/>
        <v>101</v>
      </c>
      <c r="BK72" t="str">
        <f t="shared" si="26"/>
        <v>Dairy_cow1_conv</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101</v>
      </c>
      <c r="BK73" t="str">
        <f t="shared" si="26"/>
        <v>Dairy_cow1_conv</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101</v>
      </c>
      <c r="BK74" t="str">
        <f t="shared" si="26"/>
        <v>Dairy_cow1_conv</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101</v>
      </c>
      <c r="BK75" t="str">
        <f t="shared" si="26"/>
        <v>Dairy_cow1_conv</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101</v>
      </c>
      <c r="BK76" t="str">
        <f t="shared" si="26"/>
        <v>Dairy_cow1_conv</v>
      </c>
      <c r="BL76" t="s">
        <v>127</v>
      </c>
      <c r="BM76" t="str">
        <f t="shared" si="33"/>
        <v>Loss</v>
      </c>
      <c r="BN76" t="str">
        <f>$AF$34</f>
        <v>Ensilage_majs_conv</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0.33539982596189405</v>
      </c>
      <c r="S77" s="57"/>
      <c r="T77" s="58">
        <f>SUM(T68:T76)</f>
        <v>66.459353078469007</v>
      </c>
      <c r="BJ77">
        <f t="shared" si="25"/>
        <v>101</v>
      </c>
      <c r="BK77" t="str">
        <f t="shared" si="26"/>
        <v>Dairy_cow1_conv</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101</v>
      </c>
      <c r="BK78" t="str">
        <f t="shared" si="26"/>
        <v>Dairy_cow1_conv</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101</v>
      </c>
      <c r="BK79" t="str">
        <f t="shared" si="26"/>
        <v>Dairy_cow1_conv</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101</v>
      </c>
      <c r="BK80" t="str">
        <f t="shared" si="26"/>
        <v>Dairy_cow1_conv</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101</v>
      </c>
      <c r="BK81" t="str">
        <f t="shared" si="26"/>
        <v>Dairy_cow1_conv</v>
      </c>
      <c r="BL81" t="s">
        <v>118</v>
      </c>
      <c r="BM81" t="s">
        <v>118</v>
      </c>
      <c r="BN81">
        <f>I53</f>
        <v>0</v>
      </c>
      <c r="BO81" s="47">
        <f>I59</f>
        <v>0</v>
      </c>
    </row>
    <row r="82" spans="1:67" ht="17.399999999999999" x14ac:dyDescent="0.3">
      <c r="A82" s="25"/>
      <c r="B82" s="25"/>
      <c r="C82" s="24"/>
      <c r="D82" s="24"/>
      <c r="P82" s="31" t="s">
        <v>95</v>
      </c>
      <c r="Q82" s="55"/>
      <c r="BJ82">
        <f t="shared" si="25"/>
        <v>101</v>
      </c>
      <c r="BK82" t="str">
        <f t="shared" si="26"/>
        <v>Dairy_cow1_conv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101</v>
      </c>
      <c r="BK83" t="str">
        <f t="shared" si="26"/>
        <v>Dairy_cow1_conv</v>
      </c>
      <c r="BL83" t="str">
        <f>$A$67</f>
        <v>Transport</v>
      </c>
      <c r="BM83" t="str">
        <f>BL83</f>
        <v>Transport</v>
      </c>
      <c r="BN83" t="str">
        <f>R67</f>
        <v>Diesel (L)</v>
      </c>
      <c r="BO83" s="47">
        <f>R77</f>
        <v>0.33539982596189405</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18.388148148148147</v>
      </c>
      <c r="S84" s="49">
        <f>IF(E84="",0,VLOOKUP(P84,$B$12:$D$18,3,FALSE)*E84)</f>
        <v>2.430617283950617</v>
      </c>
      <c r="BJ84">
        <f t="shared" si="25"/>
        <v>101</v>
      </c>
      <c r="BK84" t="str">
        <f t="shared" si="26"/>
        <v>Dairy_cow1_conv</v>
      </c>
      <c r="BL84" t="str">
        <f>$A$67</f>
        <v>Transport</v>
      </c>
      <c r="BM84" t="str">
        <f>BL84</f>
        <v>Transport</v>
      </c>
      <c r="BN84" t="str">
        <f>T67</f>
        <v>kg CO₂eq for T/km</v>
      </c>
      <c r="BO84" s="47">
        <f>T77</f>
        <v>66.459353078469007</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101</v>
      </c>
      <c r="BK85" t="str">
        <f t="shared" si="26"/>
        <v>Dairy_cow1_conv</v>
      </c>
      <c r="BL85" t="s">
        <v>120</v>
      </c>
      <c r="BM85" t="s">
        <v>120</v>
      </c>
      <c r="BN85" t="str">
        <f>R83</f>
        <v>EL (KWh)</v>
      </c>
      <c r="BO85" s="47">
        <f>R93</f>
        <v>18.388148148148147</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101</v>
      </c>
      <c r="BK86" t="str">
        <f t="shared" si="26"/>
        <v>Dairy_cow1_conv</v>
      </c>
      <c r="BL86" t="s">
        <v>120</v>
      </c>
      <c r="BM86" t="s">
        <v>120</v>
      </c>
      <c r="BN86" t="str">
        <f>S83</f>
        <v>Diesel (L)</v>
      </c>
      <c r="BO86" s="47">
        <f>S93</f>
        <v>2.430617283950617</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101</v>
      </c>
      <c r="BK87" t="str">
        <f t="shared" si="26"/>
        <v>Dairy_cow1_conv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101</v>
      </c>
      <c r="BK88" t="str">
        <f t="shared" si="26"/>
        <v>Dairy_cow1_conv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101</v>
      </c>
      <c r="BK89" t="str">
        <f t="shared" si="26"/>
        <v>Dairy_cow1_conv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101</v>
      </c>
      <c r="BK90" t="str">
        <f t="shared" si="26"/>
        <v>Dairy_cow1_conv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101</v>
      </c>
      <c r="BK91" t="str">
        <f t="shared" si="26"/>
        <v>Dairy_cow1_conv</v>
      </c>
      <c r="BL91" t="s">
        <v>125</v>
      </c>
      <c r="BM91" t="s">
        <v>125</v>
      </c>
      <c r="BN91" t="str">
        <f>T96</f>
        <v>Diesel (L)</v>
      </c>
      <c r="BO91">
        <f>E118</f>
        <v>0.40514358150535018</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18.388148148148147</v>
      </c>
      <c r="S93" s="58">
        <f>SUM(S84:S92)</f>
        <v>2.430617283950617</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409</v>
      </c>
      <c r="C109" s="19" t="s">
        <v>169</v>
      </c>
      <c r="D109" s="11"/>
      <c r="E109" s="206">
        <f>IF(C109="","",IF(VLOOKUP(C109,'Diesel consumption for field op'!$B$4:$E$78,3,FALSE)="L / ton",((VLOOKUP(C109,'Diesel consumption for field op'!$B$4:$E$78,2,FALSE)*1.007)*(VLOOKUP(B109,$B$12:$D$30,3,FALSE)/1000)/(VLOOKUP(B109,$B$12:$R$30,17,FALSE)/1000)),0))</f>
        <v>6.7523930250891692E-2</v>
      </c>
    </row>
    <row r="110" spans="1:20" x14ac:dyDescent="0.3">
      <c r="A110" s="18" t="s">
        <v>87</v>
      </c>
      <c r="B110" s="38" t="s">
        <v>409</v>
      </c>
      <c r="C110" s="19" t="s">
        <v>219</v>
      </c>
      <c r="D110" s="11"/>
      <c r="E110" s="206">
        <f>IF(C110="","",IF(VLOOKUP(C110,'Diesel consumption for field op'!$B$4:$E$78,3,FALSE)="L / ton",((VLOOKUP(C110,'Diesel consumption for field op'!$B$4:$E$78,2,FALSE)*1.007)*(VLOOKUP(B110,$B$12:$D$30,3,FALSE)/1000)/(VLOOKUP(B110,$B$12:$R$30,17,FALSE)/1000)),0))</f>
        <v>0.27009572100356677</v>
      </c>
    </row>
    <row r="111" spans="1:20" x14ac:dyDescent="0.3">
      <c r="A111" s="18" t="s">
        <v>88</v>
      </c>
      <c r="B111" s="38" t="s">
        <v>409</v>
      </c>
      <c r="C111" s="19" t="s">
        <v>173</v>
      </c>
      <c r="D111" s="11"/>
      <c r="E111" s="206">
        <f>IF(C111="","",IF(VLOOKUP(C111,'Diesel consumption for field op'!$B$4:$E$78,3,FALSE)="L / ton",((VLOOKUP(C111,'Diesel consumption for field op'!$B$4:$E$78,2,FALSE)*1.007)*(VLOOKUP(B111,$B$12:$D$30,3,FALSE)/1000)/(VLOOKUP(B111,$B$12:$R$30,17,FALSE)/1000)),0))</f>
        <v>6.7523930250891692E-2</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0.40514358150535018</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239</v>
      </c>
      <c r="B122" s="158"/>
      <c r="C122" s="248">
        <v>1.56050540224525</v>
      </c>
      <c r="D122" s="6" t="s">
        <v>409</v>
      </c>
      <c r="E122" s="165">
        <v>372.3</v>
      </c>
      <c r="F122" s="164">
        <f>VLOOKUP(A122,'Stable systems'!$A$4:$AK$105,35,FALSE)</f>
        <v>372.3</v>
      </c>
      <c r="G122" s="164">
        <f>VLOOKUP(A122,'Stable systems'!$A$4:$AK$105,36,FALSE)</f>
        <v>310.25</v>
      </c>
      <c r="H122" s="164">
        <f>VLOOKUP(A122,'Stable systems'!$A$4:$AK$105,37,FALSE)</f>
        <v>0</v>
      </c>
      <c r="M122" s="173">
        <f>(C122/100)*E122</f>
        <v>5.8097616125590656</v>
      </c>
    </row>
    <row r="123" spans="1:13" x14ac:dyDescent="0.3">
      <c r="A123" s="158" t="s">
        <v>240</v>
      </c>
      <c r="B123" s="158"/>
      <c r="C123" s="248">
        <v>2.3263292367225334</v>
      </c>
      <c r="D123" s="6" t="s">
        <v>409</v>
      </c>
      <c r="E123" s="165">
        <v>372.3</v>
      </c>
      <c r="F123" s="164">
        <f>VLOOKUP(A123,'Stable systems'!$A$4:$AK$105,35,FALSE)</f>
        <v>372.3</v>
      </c>
      <c r="G123" s="164">
        <f>VLOOKUP(A123,'Stable systems'!$A$4:$AK$105,36,FALSE)</f>
        <v>310.25</v>
      </c>
      <c r="H123" s="164">
        <f>VLOOKUP(A123,'Stable systems'!$A$4:$AK$105,37,FALSE)</f>
        <v>0</v>
      </c>
      <c r="M123" s="173">
        <f t="shared" ref="M123:M131" si="41">(C123/100)*E123</f>
        <v>8.6609237483179928</v>
      </c>
    </row>
    <row r="124" spans="1:13" x14ac:dyDescent="0.3">
      <c r="A124" s="158" t="s">
        <v>241</v>
      </c>
      <c r="B124" s="158"/>
      <c r="C124" s="248">
        <v>15.885185247205827</v>
      </c>
      <c r="D124" s="6" t="s">
        <v>409</v>
      </c>
      <c r="E124" s="165">
        <v>124.1</v>
      </c>
      <c r="F124" s="164">
        <f>VLOOKUP(A124,'Stable systems'!$A$4:$AK$105,35,FALSE)</f>
        <v>124.1</v>
      </c>
      <c r="G124" s="164">
        <f>VLOOKUP(A124,'Stable systems'!$A$4:$AK$105,36,FALSE)</f>
        <v>93.075000000000003</v>
      </c>
      <c r="H124" s="164">
        <f>VLOOKUP(A124,'Stable systems'!$A$4:$AK$105,37,FALSE)</f>
        <v>0</v>
      </c>
      <c r="M124" s="173">
        <f t="shared" si="41"/>
        <v>19.713514891782431</v>
      </c>
    </row>
    <row r="125" spans="1:13" x14ac:dyDescent="0.3">
      <c r="A125" s="158" t="s">
        <v>242</v>
      </c>
      <c r="B125" s="158"/>
      <c r="C125" s="248">
        <v>22.056750088954949</v>
      </c>
      <c r="D125" s="6" t="s">
        <v>409</v>
      </c>
      <c r="E125" s="165">
        <v>124.1</v>
      </c>
      <c r="F125" s="164">
        <f>VLOOKUP(A125,'Stable systems'!$A$4:$AK$105,35,FALSE)</f>
        <v>124.1</v>
      </c>
      <c r="G125" s="164">
        <f>VLOOKUP(A125,'Stable systems'!$A$4:$AK$105,36,FALSE)</f>
        <v>93.075000000000003</v>
      </c>
      <c r="H125" s="164">
        <f>VLOOKUP(A125,'Stable systems'!$A$4:$AK$105,37,FALSE)</f>
        <v>0</v>
      </c>
      <c r="M125" s="173">
        <f t="shared" si="41"/>
        <v>27.372426860393091</v>
      </c>
    </row>
    <row r="126" spans="1:13" x14ac:dyDescent="0.3">
      <c r="A126" s="158" t="s">
        <v>243</v>
      </c>
      <c r="B126" s="158"/>
      <c r="C126" s="248">
        <v>44.53855630633123</v>
      </c>
      <c r="D126" s="6" t="s">
        <v>409</v>
      </c>
      <c r="E126" s="165">
        <v>124.1</v>
      </c>
      <c r="F126" s="164">
        <f>VLOOKUP(A126,'Stable systems'!$A$4:$AK$105,35,FALSE)</f>
        <v>124.1</v>
      </c>
      <c r="G126" s="164">
        <f>VLOOKUP(A126,'Stable systems'!$A$4:$AK$105,36,FALSE)</f>
        <v>93.075000000000003</v>
      </c>
      <c r="H126" s="164">
        <f>VLOOKUP(A126,'Stable systems'!$A$4:$AK$105,37,FALSE)</f>
        <v>0</v>
      </c>
      <c r="M126" s="173">
        <f t="shared" si="41"/>
        <v>55.272348376157055</v>
      </c>
    </row>
    <row r="127" spans="1:13" x14ac:dyDescent="0.3">
      <c r="A127" s="158" t="s">
        <v>244</v>
      </c>
      <c r="B127" s="158"/>
      <c r="C127" s="248">
        <v>5.9050902477654352</v>
      </c>
      <c r="D127" s="6" t="s">
        <v>409</v>
      </c>
      <c r="E127" s="165">
        <v>124.1</v>
      </c>
      <c r="F127" s="164">
        <f>VLOOKUP(A127,'Stable systems'!$A$4:$AK$105,35,FALSE)</f>
        <v>124.1</v>
      </c>
      <c r="G127" s="164">
        <f>VLOOKUP(A127,'Stable systems'!$A$4:$AK$105,36,FALSE)</f>
        <v>93.075000000000003</v>
      </c>
      <c r="H127" s="164">
        <f>VLOOKUP(A127,'Stable systems'!$A$4:$AK$105,37,FALSE)</f>
        <v>0</v>
      </c>
      <c r="M127" s="173">
        <f t="shared" si="41"/>
        <v>7.328216997476904</v>
      </c>
    </row>
    <row r="128" spans="1:13" x14ac:dyDescent="0.3">
      <c r="A128" s="158" t="s">
        <v>245</v>
      </c>
      <c r="B128" s="158"/>
      <c r="C128" s="248">
        <v>5.5803561925559393</v>
      </c>
      <c r="D128" s="6" t="s">
        <v>409</v>
      </c>
      <c r="E128" s="165">
        <v>3723</v>
      </c>
      <c r="F128" s="164">
        <f>VLOOKUP(A128,'Stable systems'!$A$4:$AK$105,35,FALSE)</f>
        <v>3723</v>
      </c>
      <c r="G128" s="164">
        <f>VLOOKUP(A128,'Stable systems'!$A$4:$AK$105,36,FALSE)</f>
        <v>3102.5</v>
      </c>
      <c r="H128" s="164">
        <f>VLOOKUP(A128,'Stable systems'!$A$4:$AK$105,37,FALSE)</f>
        <v>0</v>
      </c>
      <c r="M128" s="173">
        <f t="shared" si="41"/>
        <v>207.75666104885764</v>
      </c>
    </row>
    <row r="129" spans="1:16" x14ac:dyDescent="0.3">
      <c r="A129" s="158" t="s">
        <v>246</v>
      </c>
      <c r="B129" s="158"/>
      <c r="C129" s="248">
        <v>0.46185145313268539</v>
      </c>
      <c r="D129" s="6" t="s">
        <v>409</v>
      </c>
      <c r="E129" s="165">
        <v>3102.5</v>
      </c>
      <c r="F129" s="164">
        <f>VLOOKUP(A129,'Stable systems'!$A$4:$AK$105,35,FALSE)</f>
        <v>3102.5</v>
      </c>
      <c r="G129" s="164">
        <f>VLOOKUP(A129,'Stable systems'!$A$4:$AK$105,36,FALSE)</f>
        <v>2482</v>
      </c>
      <c r="H129" s="164">
        <f>VLOOKUP(A129,'Stable systems'!$A$4:$AK$105,37,FALSE)</f>
        <v>0</v>
      </c>
      <c r="M129" s="173">
        <f t="shared" si="41"/>
        <v>14.328941333441565</v>
      </c>
    </row>
    <row r="130" spans="1:16" x14ac:dyDescent="0.3">
      <c r="A130" s="158" t="s">
        <v>247</v>
      </c>
      <c r="B130" s="158"/>
      <c r="C130" s="248">
        <v>0.59262303526873383</v>
      </c>
      <c r="D130" s="6" t="s">
        <v>409</v>
      </c>
      <c r="E130" s="165">
        <v>3102.5</v>
      </c>
      <c r="F130" s="164">
        <f>VLOOKUP(A130,'Stable systems'!$A$4:$AK$105,35,FALSE)</f>
        <v>3102.5</v>
      </c>
      <c r="G130" s="164">
        <f>VLOOKUP(A130,'Stable systems'!$A$4:$AK$105,36,FALSE)</f>
        <v>2482</v>
      </c>
      <c r="H130" s="164">
        <f>VLOOKUP(A130,'Stable systems'!$A$4:$AK$105,37,FALSE)</f>
        <v>0</v>
      </c>
      <c r="M130" s="173">
        <f t="shared" si="41"/>
        <v>18.386129669212469</v>
      </c>
    </row>
    <row r="131" spans="1:16" x14ac:dyDescent="0.3">
      <c r="A131" s="158" t="s">
        <v>248</v>
      </c>
      <c r="B131" s="158"/>
      <c r="C131" s="248">
        <v>1.0369081917741008</v>
      </c>
      <c r="D131" s="6" t="s">
        <v>409</v>
      </c>
      <c r="E131" s="165">
        <v>3102.5</v>
      </c>
      <c r="F131" s="164">
        <f>VLOOKUP(A131,'Stable systems'!$A$4:$AK$105,35,FALSE)</f>
        <v>3102.5</v>
      </c>
      <c r="G131" s="164">
        <f>VLOOKUP(A131,'Stable systems'!$A$4:$AK$105,36,FALSE)</f>
        <v>2482</v>
      </c>
      <c r="H131" s="164">
        <f>VLOOKUP(A131,'Stable systems'!$A$4:$AK$105,37,FALSE)</f>
        <v>0</v>
      </c>
      <c r="M131" s="173">
        <f t="shared" si="41"/>
        <v>32.170076649791476</v>
      </c>
    </row>
    <row r="132" spans="1:16" x14ac:dyDescent="0.3">
      <c r="A132" s="158" t="s">
        <v>249</v>
      </c>
      <c r="B132" s="158"/>
      <c r="C132" s="248">
        <v>5.5844598043303301E-2</v>
      </c>
      <c r="D132" s="6" t="s">
        <v>409</v>
      </c>
      <c r="E132" s="165">
        <v>3102.5</v>
      </c>
      <c r="F132" s="164">
        <f>VLOOKUP(A132,'Stable systems'!$A$4:$AK$105,35,FALSE)</f>
        <v>3102.5</v>
      </c>
      <c r="G132" s="164">
        <f>VLOOKUP(A132,'Stable systems'!$A$4:$AK$105,36,FALSE)</f>
        <v>2482</v>
      </c>
      <c r="H132" s="164">
        <f>VLOOKUP(A132,'Stable systems'!$A$4:$AK$105,37,FALSE)</f>
        <v>0</v>
      </c>
      <c r="M132" s="173">
        <f>(C132/100)*E132</f>
        <v>1.7325786542934849</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t="s">
        <v>329</v>
      </c>
      <c r="B136" s="158"/>
      <c r="C136" s="205">
        <f>((SUM(D24:D25)/D32)*100)</f>
        <v>24.310198128114742</v>
      </c>
      <c r="D136" s="12"/>
      <c r="M136" s="154"/>
    </row>
    <row r="137" spans="1:16" x14ac:dyDescent="0.3">
      <c r="B137" s="156" t="s">
        <v>56</v>
      </c>
      <c r="C137" s="245">
        <f>SUM(C122:C134)</f>
        <v>99.999999999999972</v>
      </c>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301.64776317951839</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1.7742854859205994</v>
      </c>
      <c r="L146" s="49">
        <f>IF(E146="Diesel",VLOOKUP(D146,Other_tables!$L$5:$O$13,2,FALSE)*K146,0)</f>
        <v>0.3548570971841199</v>
      </c>
      <c r="P146" s="30" t="str">
        <f>Other_tables!L5</f>
        <v>Traktor</v>
      </c>
      <c r="Q146" s="44"/>
      <c r="R146" s="103">
        <f t="shared" ref="R146:R154" si="44">SUMPRODUCT(($D$146:$D$149=P146)*$L$146:$L$149)</f>
        <v>0.3548570971841199</v>
      </c>
      <c r="S146" s="114">
        <f t="shared" ref="S146:S154" si="45">IF(P146="","0",SUMPRODUCT(($D$146:$D$149=P146)*$K$146:$K$149))</f>
        <v>1.7742854859205994</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0.3548570971841199</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0.17867054843220431</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0.71468219372881725</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0.17867054843220431</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1.0720232905932259</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0.69025692314601395</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39.259339431525731</v>
      </c>
    </row>
    <row r="173" spans="1:20" x14ac:dyDescent="0.3">
      <c r="A173" s="25"/>
      <c r="B173" s="138"/>
      <c r="C173" s="138"/>
      <c r="P173" s="30" t="s">
        <v>226</v>
      </c>
      <c r="Q173" s="44"/>
      <c r="R173" s="103">
        <f t="shared" si="46"/>
        <v>0</v>
      </c>
      <c r="S173" s="179"/>
      <c r="T173" s="103">
        <f t="shared" si="47"/>
        <v>27.20001364694328</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6:20" x14ac:dyDescent="0.3">
      <c r="F177" s="183" t="s">
        <v>279</v>
      </c>
      <c r="G177" s="81">
        <f>B65+R106+C156</f>
        <v>0</v>
      </c>
      <c r="H177" s="81">
        <f>AC31+C65+R93+S106+D118+D156+D168</f>
        <v>618.38814814814816</v>
      </c>
      <c r="I177" s="81">
        <f>AB31+R77+D65+S93+T106+E118+R155+E156+E168</f>
        <v>11.609705082307388</v>
      </c>
      <c r="J177" s="114">
        <f>AD31+T77+T155</f>
        <v>66.459353078469007</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0.69025692314601395</v>
      </c>
      <c r="S180" s="47"/>
      <c r="T180" s="178">
        <f>SUM(T171:T179)</f>
        <v>66.459353078469007</v>
      </c>
    </row>
    <row r="223" spans="1:1" x14ac:dyDescent="0.3">
      <c r="A223" s="207" t="s">
        <v>232</v>
      </c>
    </row>
  </sheetData>
  <scenarios current="0">
    <scenario name="Test1" count="1" user="Author" comment="Created by Author on 1/17/2022">
      <inputCells r="D15" val="261.747273174708" numFmtId="164"/>
    </scenario>
  </scenarios>
  <dataConsolidate link="1"/>
  <mergeCells count="23">
    <mergeCell ref="T34:X34"/>
    <mergeCell ref="I4:J4"/>
    <mergeCell ref="B3:C3"/>
    <mergeCell ref="B4:C4"/>
    <mergeCell ref="B5:C5"/>
    <mergeCell ref="B6:C6"/>
    <mergeCell ref="F3:G3"/>
    <mergeCell ref="A7:A9"/>
    <mergeCell ref="B7:C9"/>
    <mergeCell ref="S10:Y10"/>
    <mergeCell ref="S22:Y22"/>
    <mergeCell ref="AO21:BH21"/>
    <mergeCell ref="AO22:AP22"/>
    <mergeCell ref="AQ22:AT22"/>
    <mergeCell ref="AU22:AZ22"/>
    <mergeCell ref="BA22:BC22"/>
    <mergeCell ref="BD22:BF22"/>
    <mergeCell ref="BG22:BH22"/>
    <mergeCell ref="AB22:AD22"/>
    <mergeCell ref="K22:P22"/>
    <mergeCell ref="E10:F10"/>
    <mergeCell ref="H22:I22"/>
    <mergeCell ref="E22:G22"/>
  </mergeCells>
  <dataValidations count="3">
    <dataValidation type="list" allowBlank="1" showInputMessage="1" showErrorMessage="1" sqref="B97:B105 B82 B144:B145" xr:uid="{00000000-0002-0000-0400-000000000000}">
      <formula1>$B$24:$B$30</formula1>
    </dataValidation>
    <dataValidation type="list" allowBlank="1" showInputMessage="1" showErrorMessage="1" sqref="B109:B117 B84:B92 B68:B81" xr:uid="{00000000-0002-0000-0400-000001000000}">
      <formula1>$AF$3:$AF$51</formula1>
    </dataValidation>
    <dataValidation type="list" allowBlank="1" showInputMessage="1" showErrorMessage="1" sqref="B146:B149 B152:B155 B159:B167" xr:uid="{00000000-0002-0000-0400-000002000000}">
      <formula1>$B$140:$B$143</formula1>
    </dataValidation>
  </dataValidations>
  <hyperlinks>
    <hyperlink ref="A223" r:id="rId1" xr:uid="{00000000-0004-0000-0400-000000000000}"/>
  </hyperlinks>
  <pageMargins left="0.7" right="0.7" top="0.75" bottom="0.75" header="0.3" footer="0.3"/>
  <pageSetup paperSize="9" orientation="portrait" horizontalDpi="1200" verticalDpi="1200" r:id="rId2"/>
  <drawing r:id="rId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400-000003000000}">
          <x14:formula1>
            <xm:f>Other_tables!$Q$5:$Q$6</xm:f>
          </x14:formula1>
          <xm:sqref>E146:E149 E68:E82</xm:sqref>
        </x14:dataValidation>
        <x14:dataValidation type="list" allowBlank="1" showInputMessage="1" showErrorMessage="1" xr:uid="{00000000-0002-0000-0400-000004000000}">
          <x14:formula1>
            <xm:f>Other_tables!$L$5:$L$13</xm:f>
          </x14:formula1>
          <xm:sqref>D146:D149 D68:D82</xm:sqref>
        </x14:dataValidation>
        <x14:dataValidation type="list" allowBlank="1" showInputMessage="1" showErrorMessage="1" xr:uid="{00000000-0002-0000-0400-000006000000}">
          <x14:formula1>
            <xm:f>Biomass_pool_output_Tech1_modul!$A$3:$A$100</xm:f>
          </x14:formula1>
          <xm:sqref>B12:B16 E12:E18 D122:D135 B140:B143 F24:F30</xm:sqref>
        </x14:dataValidation>
        <x14:dataValidation type="list" allowBlank="1" showInputMessage="1" showErrorMessage="1" xr:uid="{00000000-0002-0000-0400-000007000000}">
          <x14:formula1>
            <xm:f>Other_tables!$A$5:$A$50</xm:f>
          </x14:formula1>
          <xm:sqref>C19 C33</xm:sqref>
        </x14:dataValidation>
        <x14:dataValidation type="list" allowBlank="1" showInputMessage="1" showErrorMessage="1" xr:uid="{00000000-0002-0000-0400-000008000000}">
          <x14:formula1>
            <xm:f>'Processed products'!$B$5:$B$104</xm:f>
          </x14:formula1>
          <xm:sqref>B35:B42 L35:M37</xm:sqref>
        </x14:dataValidation>
        <x14:dataValidation type="list" allowBlank="1" showInputMessage="1" showErrorMessage="1" xr:uid="{00000000-0002-0000-0400-000009000000}">
          <x14:formula1>
            <xm:f>Other_tables!$S$5:$S$22</xm:f>
          </x14:formula1>
          <xm:sqref>C84:C92</xm:sqref>
        </x14:dataValidation>
        <x14:dataValidation type="list" allowBlank="1" showInputMessage="1" showErrorMessage="1" xr:uid="{00000000-0002-0000-0400-00000A000000}">
          <x14:formula1>
            <xm:f>'Diesel consumption for field op'!$B$4:$B$78</xm:f>
          </x14:formula1>
          <xm:sqref>C109:C117 C159:C167</xm:sqref>
        </x14:dataValidation>
        <x14:dataValidation type="list" allowBlank="1" showInputMessage="1" showErrorMessage="1" xr:uid="{00000000-0002-0000-0400-00000B000000}">
          <x14:formula1>
            <xm:f>Other_tables!$G$5:$G$12</xm:f>
          </x14:formula1>
          <xm:sqref>C54:C58 C172:C174</xm:sqref>
        </x14:dataValidation>
        <x14:dataValidation type="list" allowBlank="1" showInputMessage="1" showErrorMessage="1" xr:uid="{00000000-0002-0000-0400-00000C000000}">
          <x14:formula1>
            <xm:f>Converted_feedstuff!$C$5:$C$54</xm:f>
          </x14:formula1>
          <xm:sqref>B24:B30 E24:E30</xm:sqref>
        </x14:dataValidation>
        <x14:dataValidation type="list" allowBlank="1" showInputMessage="1" showErrorMessage="1" xr:uid="{00000000-0002-0000-0400-00000D000000}">
          <x14:formula1>
            <xm:f>'Imported products'!$B$5:$B$54</xm:f>
          </x14:formula1>
          <xm:sqref>F12:F18 B17:B18 G24:G30</xm:sqref>
        </x14:dataValidation>
        <x14:dataValidation type="list" allowBlank="1" showInputMessage="1" showErrorMessage="1" xr:uid="{00000000-0002-0000-0400-00000F000000}">
          <x14:formula1>
            <xm:f>'Respiration and enteric gas los'!$M$4:$M$35</xm:f>
          </x14:formula1>
          <xm:sqref>B55</xm:sqref>
        </x14:dataValidation>
        <x14:dataValidation type="list" allowBlank="1" showInputMessage="1" showErrorMessage="1" xr:uid="{00000000-0002-0000-0400-000010000000}">
          <x14:formula1>
            <xm:f>'Respiration and enteric gas los'!$A$4:$A$35</xm:f>
          </x14:formula1>
          <xm:sqref>B54</xm:sqref>
        </x14:dataValidation>
        <x14:dataValidation type="list" allowBlank="1" showInputMessage="1" showErrorMessage="1" xr:uid="{00000000-0002-0000-0400-000011000000}">
          <x14:formula1>
            <xm:f>'Processed products'!$C$5:$C$104</xm:f>
          </x14:formula1>
          <xm:sqref>D4</xm:sqref>
        </x14:dataValidation>
        <x14:dataValidation type="list" allowBlank="1" showInputMessage="1" showErrorMessage="1" xr:uid="{00000000-0002-0000-0400-000012000000}">
          <x14:formula1>
            <xm:f>'Processed products'!$AJ$5:$AJ$104</xm:f>
          </x14:formula1>
          <xm:sqref>A136</xm:sqref>
        </x14:dataValidation>
        <x14:dataValidation type="list" allowBlank="1" showInputMessage="1" showErrorMessage="1" xr:uid="{8D6DFD5F-0AFB-4047-AE21-2BEDD10F9C99}">
          <x14:formula1>
            <xm:f>'Processed products'!$AJ$5:$AJ$250</xm:f>
          </x14:formula1>
          <xm:sqref>B45:B49</xm:sqref>
        </x14:dataValidation>
        <x14:dataValidation type="list" allowBlank="1" showInputMessage="1" showErrorMessage="1" xr:uid="{00000000-0002-0000-0400-00000E000000}">
          <x14:formula1>
            <xm:f>'Stable systems'!$A$4:$A$105</xm:f>
          </x14:formula1>
          <xm:sqref>A122:A134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BO223"/>
  <sheetViews>
    <sheetView workbookViewId="0">
      <selection activeCell="G100" sqref="G100"/>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2" bestFit="1" customWidth="1"/>
    <col min="13" max="13" width="33.441406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Protein_2_conv</v>
      </c>
    </row>
    <row r="4" spans="1:36" x14ac:dyDescent="0.3">
      <c r="A4" s="15" t="s">
        <v>31</v>
      </c>
      <c r="B4" s="299">
        <v>102</v>
      </c>
      <c r="C4" s="299"/>
      <c r="D4" s="5" t="s">
        <v>660</v>
      </c>
      <c r="F4" s="150" t="s">
        <v>223</v>
      </c>
      <c r="G4" s="149">
        <v>17</v>
      </c>
      <c r="I4" s="302" t="s">
        <v>158</v>
      </c>
      <c r="J4" s="303"/>
      <c r="K4" s="128"/>
      <c r="L4" s="134" t="s">
        <v>207</v>
      </c>
      <c r="AF4" s="144" t="str">
        <f t="shared" ref="AF4:AF9" si="0">IF(B13="","",B13)</f>
        <v/>
      </c>
    </row>
    <row r="5" spans="1:36" x14ac:dyDescent="0.3">
      <c r="A5" s="15" t="s">
        <v>32</v>
      </c>
      <c r="B5" s="299" t="s">
        <v>216</v>
      </c>
      <c r="C5" s="299"/>
      <c r="D5" s="17" t="s">
        <v>627</v>
      </c>
      <c r="E5" t="s">
        <v>186</v>
      </c>
      <c r="F5" s="150" t="s">
        <v>224</v>
      </c>
      <c r="G5" s="149">
        <v>18</v>
      </c>
      <c r="I5" s="86" t="s">
        <v>159</v>
      </c>
      <c r="J5" s="5">
        <v>10983</v>
      </c>
      <c r="L5" s="90">
        <v>3.14</v>
      </c>
      <c r="AF5" s="144" t="str">
        <f t="shared" si="0"/>
        <v/>
      </c>
    </row>
    <row r="6" spans="1:36" x14ac:dyDescent="0.3">
      <c r="A6" s="15" t="s">
        <v>3</v>
      </c>
      <c r="B6" s="299" t="s">
        <v>293</v>
      </c>
      <c r="C6" s="299"/>
      <c r="D6" s="5">
        <v>0.3</v>
      </c>
      <c r="F6" s="151" t="s">
        <v>147</v>
      </c>
      <c r="G6" s="88">
        <f>(Y32/D32)*100</f>
        <v>17.287432055325542</v>
      </c>
      <c r="I6" s="86" t="s">
        <v>160</v>
      </c>
      <c r="J6" s="5">
        <v>4.1399999999999997</v>
      </c>
      <c r="L6" s="129"/>
      <c r="AF6" s="144" t="str">
        <f t="shared" si="0"/>
        <v>Grain_conv</v>
      </c>
    </row>
    <row r="7" spans="1:36" ht="14.7" customHeight="1" x14ac:dyDescent="0.3">
      <c r="A7" s="295" t="s">
        <v>55</v>
      </c>
      <c r="B7" s="296" t="s">
        <v>211</v>
      </c>
      <c r="C7" s="296"/>
      <c r="D7" s="42"/>
      <c r="F7" s="152" t="s">
        <v>187</v>
      </c>
      <c r="G7" s="209">
        <v>2911</v>
      </c>
      <c r="I7" s="86" t="s">
        <v>161</v>
      </c>
      <c r="J7" s="5">
        <v>3.53</v>
      </c>
      <c r="L7" s="131" t="s">
        <v>198</v>
      </c>
      <c r="AF7" s="144" t="str">
        <f t="shared" si="0"/>
        <v>Straw_conv</v>
      </c>
    </row>
    <row r="8" spans="1:36" ht="15" thickBot="1" x14ac:dyDescent="0.35">
      <c r="A8" s="295"/>
      <c r="B8" s="296"/>
      <c r="C8" s="296"/>
      <c r="D8" s="47"/>
      <c r="F8" s="153" t="s">
        <v>197</v>
      </c>
      <c r="G8" s="102">
        <v>8227</v>
      </c>
      <c r="I8" s="86" t="s">
        <v>162</v>
      </c>
      <c r="J8" s="80">
        <f>(383 *J6 + 242 *J7 + 783.2) *J5 / 3140</f>
        <v>11273.594789808918</v>
      </c>
      <c r="L8" s="90">
        <v>6.38</v>
      </c>
      <c r="AF8" s="144" t="str">
        <f t="shared" si="0"/>
        <v/>
      </c>
    </row>
    <row r="9" spans="1:36" ht="30" customHeight="1" x14ac:dyDescent="0.3">
      <c r="A9" s="295"/>
      <c r="B9" s="296"/>
      <c r="C9" s="296"/>
      <c r="I9" s="130"/>
      <c r="L9" s="129"/>
      <c r="AF9" s="144" t="str">
        <f t="shared" si="0"/>
        <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285</v>
      </c>
      <c r="C12" s="217" t="s">
        <v>43</v>
      </c>
      <c r="D12" s="227">
        <v>2055</v>
      </c>
      <c r="E12" s="218"/>
      <c r="F12" s="218" t="s">
        <v>209</v>
      </c>
      <c r="G12" s="219">
        <v>1100</v>
      </c>
      <c r="I12" s="87" t="s">
        <v>201</v>
      </c>
      <c r="J12" s="107">
        <v>1.54</v>
      </c>
      <c r="K12" s="107">
        <v>1.58</v>
      </c>
      <c r="L12" s="102">
        <v>1.58</v>
      </c>
      <c r="R12" s="51">
        <f>(IF($T12=0,"0",VLOOKUP($B12,Biomass_pool_output_Tech1_modul!$A$3:$G$100,7,FALSE)))</f>
        <v>879.383109851227</v>
      </c>
      <c r="S12" s="44"/>
      <c r="T12" s="34">
        <f>IF($B12="","0",(VLOOKUP($B12,Biomass_pool_output_Tech1_modul!$A$3:$F$100,2,FALSE)*($D12)/1000))</f>
        <v>924.75</v>
      </c>
      <c r="U12" s="34">
        <f>IF($B12="","0",(VLOOKUP($B12,Biomass_pool_output_Tech1_modul!$A$3:$F$100,3,FALSE)*($D12)/1000))</f>
        <v>98.526825284659282</v>
      </c>
      <c r="V12" s="34">
        <f>IF($B12="","0",(VLOOKUP($B12,Biomass_pool_output_Tech1_modul!$A$3:$F$100,4,FALSE)*($D12)/1000))</f>
        <v>23.189768760391743</v>
      </c>
      <c r="W12" s="34">
        <f>IF($B12="","0",(VLOOKUP($B12,Biomass_pool_output_Tech1_modul!$A$3:$F$100,5,FALSE)*($D12)/1000))</f>
        <v>32.093808035277469</v>
      </c>
      <c r="X12" s="34">
        <f>IF($B12="","0",(VLOOKUP($B12,Biomass_pool_output_Tech1_modul!$A$3:$F$100,6,FALSE)*$D12))</f>
        <v>44474.633931272838</v>
      </c>
      <c r="Y12" s="34">
        <f>U12*6.25</f>
        <v>615.7926580291205</v>
      </c>
      <c r="AA12" s="53"/>
      <c r="AB12" s="53"/>
      <c r="AC12" s="53"/>
      <c r="AD12" s="53"/>
      <c r="AF12" s="144" t="str">
        <f t="shared" si="1"/>
        <v/>
      </c>
      <c r="AG12" s="53"/>
      <c r="AH12" s="53"/>
      <c r="AI12" s="53"/>
      <c r="AJ12" s="53"/>
    </row>
    <row r="13" spans="1:36" x14ac:dyDescent="0.3">
      <c r="A13" s="211" t="s">
        <v>318</v>
      </c>
      <c r="B13" s="212"/>
      <c r="C13" s="213" t="s">
        <v>43</v>
      </c>
      <c r="D13" s="228"/>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27">
        <v>856</v>
      </c>
      <c r="E15" s="218"/>
      <c r="F15" s="226" t="s">
        <v>344</v>
      </c>
      <c r="G15" s="219"/>
      <c r="H15" s="154"/>
      <c r="R15" s="51">
        <f>(IF($T15=0,"0",VLOOKUP($B15,Biomass_pool_output_Tech1_modul!$A$3:$G$100,7,FALSE)))</f>
        <v>850.51110268835396</v>
      </c>
      <c r="S15" s="44"/>
      <c r="T15" s="34">
        <f>IF($B15="","0",(VLOOKUP($B15,Biomass_pool_output_Tech1_modul!$A$3:$F$100,2,FALSE)*($D15)/1000))</f>
        <v>385.2</v>
      </c>
      <c r="U15" s="34">
        <f>IF($B15="","0",(VLOOKUP($B15,Biomass_pool_output_Tech1_modul!$A$3:$F$100,3,FALSE)*($D15)/1000))</f>
        <v>14.349604627842997</v>
      </c>
      <c r="V15" s="34">
        <f>IF($B15="","0",(VLOOKUP($B15,Biomass_pool_output_Tech1_modul!$A$3:$F$100,4,FALSE)*($D15)/1000))</f>
        <v>2.6564322336808668</v>
      </c>
      <c r="W15" s="34">
        <f>IF($B15="","0",(VLOOKUP($B15,Biomass_pool_output_Tech1_modul!$A$3:$F$100,5,FALSE)*($D15)/1000))</f>
        <v>4.1735293948356782</v>
      </c>
      <c r="X15" s="34">
        <f>IF($B15="","0",(VLOOKUP($B15,Biomass_pool_output_Tech1_modul!$A$3:$F$100,6,FALSE)*$D15))</f>
        <v>16465.066758955549</v>
      </c>
      <c r="Y15" s="34">
        <f t="shared" si="2"/>
        <v>89.685028924018724</v>
      </c>
      <c r="AA15" s="53"/>
      <c r="AB15" s="53"/>
      <c r="AC15" s="53"/>
      <c r="AD15" s="53"/>
      <c r="AF15" s="144" t="str">
        <f t="shared" si="1"/>
        <v/>
      </c>
      <c r="AG15" s="53"/>
      <c r="AH15" s="53"/>
      <c r="AI15" s="53"/>
      <c r="AJ15" s="53"/>
    </row>
    <row r="16" spans="1:36" x14ac:dyDescent="0.3">
      <c r="A16" s="211" t="s">
        <v>107</v>
      </c>
      <c r="B16" s="212" t="s">
        <v>409</v>
      </c>
      <c r="C16" s="213" t="s">
        <v>43</v>
      </c>
      <c r="D16" s="228">
        <v>114</v>
      </c>
      <c r="E16" s="214"/>
      <c r="F16" s="225"/>
      <c r="R16" s="51">
        <f>(IF($T16=0,"0",VLOOKUP($B16,Biomass_pool_output_Tech1_modul!$A$3:$G$100,7,FALSE)))</f>
        <v>850.05419244301197</v>
      </c>
      <c r="S16" s="44"/>
      <c r="T16" s="34">
        <f>IF($B16="","0",(VLOOKUP($B16,Biomass_pool_output_Tech1_modul!$A$3:$F$100,2,FALSE)*($D16)/1000))</f>
        <v>51.3</v>
      </c>
      <c r="U16" s="34">
        <f>IF($B16="","0",(VLOOKUP($B16,Biomass_pool_output_Tech1_modul!$A$3:$F$100,3,FALSE)*($D16)/1000))</f>
        <v>0.74295857778106411</v>
      </c>
      <c r="V16" s="34">
        <f>IF($B16="","0",(VLOOKUP($B16,Biomass_pool_output_Tech1_modul!$A$3:$F$100,4,FALSE)*($D16)/1000))</f>
        <v>0.10261625275250902</v>
      </c>
      <c r="W16" s="34">
        <f>IF($B16="","0",(VLOOKUP($B16,Biomass_pool_output_Tech1_modul!$A$3:$F$100,5,FALSE)*($D16)/1000))</f>
        <v>1.8586971224918478</v>
      </c>
      <c r="X16" s="34">
        <f>IF($B16="","0",(VLOOKUP($B16,Biomass_pool_output_Tech1_modul!$A$3:$F$100,6,FALSE)*$D16))</f>
        <v>2079.0932073650833</v>
      </c>
      <c r="Y16" s="34">
        <f t="shared" si="2"/>
        <v>4.6434911111316506</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Rapskage_imp_conv</v>
      </c>
      <c r="AH17" s="110"/>
    </row>
    <row r="18" spans="1:65" x14ac:dyDescent="0.3">
      <c r="A18" s="18" t="s">
        <v>414</v>
      </c>
      <c r="B18" s="19"/>
      <c r="C18" s="28" t="s">
        <v>43</v>
      </c>
      <c r="D18" s="230"/>
      <c r="E18" s="5"/>
      <c r="F18" s="126"/>
      <c r="I18" s="47"/>
      <c r="R18" s="51">
        <f>(IF(B18="",0,VLOOKUP($B18,'Imported products'!$B$5:$O$54,5,FALSE)))</f>
        <v>0</v>
      </c>
      <c r="S18" s="44"/>
      <c r="T18" s="34" t="str">
        <f>IF($B18="","0",(VLOOKUP($B18,'Imported products'!$B$5:$O$54,9,FALSE)*($D18)/1000))</f>
        <v>0</v>
      </c>
      <c r="U18" s="34" t="str">
        <f>IF($B18="","0",(VLOOKUP($B18,'Imported products'!$B$5:$O$54,10,FALSE)*($D18)/1000))</f>
        <v>0</v>
      </c>
      <c r="V18" s="34" t="str">
        <f>IF($B18="","0",(VLOOKUP($B18,'Imported products'!$B$5:$O$54,11,FALSE)*($D18)/1000))</f>
        <v>0</v>
      </c>
      <c r="W18" s="34" t="str">
        <f>IF($B18="","0",(VLOOKUP($B18,'Imported products'!$B$5:$O$54,12,FALSE)*($D18)/1000))</f>
        <v>0</v>
      </c>
      <c r="X18" s="34" t="str">
        <f>IF($B18="","0",(VLOOKUP($B18,'Imported products'!$B$5:$O$54,13,FALSE)*($D18)/1000))</f>
        <v>0</v>
      </c>
      <c r="Y18" s="34" t="str">
        <f>IF($B18="","0",(VLOOKUP($B18,'Imported products'!$B$5:$O$54,14,FALSE)*($D18)/1000))</f>
        <v>0</v>
      </c>
      <c r="AA18" s="110"/>
      <c r="AF18" s="144" t="str">
        <f t="shared" ref="AF18:AF23" si="3">IF(F13="","",F13)</f>
        <v/>
      </c>
      <c r="AH18" s="110"/>
    </row>
    <row r="19" spans="1:65" x14ac:dyDescent="0.3">
      <c r="A19" s="25"/>
      <c r="B19" s="25"/>
      <c r="C19" s="24"/>
      <c r="D19" s="24"/>
      <c r="R19" s="52"/>
      <c r="AA19" s="110"/>
      <c r="AF19" s="144" t="str">
        <f t="shared" si="3"/>
        <v/>
      </c>
    </row>
    <row r="20" spans="1:65" x14ac:dyDescent="0.3">
      <c r="A20" s="18" t="s">
        <v>113</v>
      </c>
      <c r="B20" s="40"/>
      <c r="C20" s="28" t="s">
        <v>43</v>
      </c>
      <c r="D20" s="28">
        <f>SUM(D12:D18)</f>
        <v>3025</v>
      </c>
      <c r="R20" s="82">
        <f>(D12*R12+D13*R13+D14*R14+D15*R15+D16*R16+D17*R17+D18*R18)/D20</f>
        <v>870.10775953190273</v>
      </c>
      <c r="S20" s="45"/>
      <c r="T20" s="116">
        <f t="shared" ref="T20:X20" si="4">SUM(T12:T18)</f>
        <v>1361.25</v>
      </c>
      <c r="U20" s="116">
        <f t="shared" si="4"/>
        <v>113.61938849028334</v>
      </c>
      <c r="V20" s="116">
        <f t="shared" si="4"/>
        <v>25.948817246825119</v>
      </c>
      <c r="W20" s="116">
        <f t="shared" si="4"/>
        <v>38.126034552604992</v>
      </c>
      <c r="X20" s="116">
        <f t="shared" si="4"/>
        <v>63018.793897593474</v>
      </c>
      <c r="Y20" s="116">
        <f>SUM(Y12:Y18)</f>
        <v>710.12117806427091</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t="s">
        <v>131</v>
      </c>
      <c r="C27" s="28" t="s">
        <v>43</v>
      </c>
      <c r="D27" s="6">
        <v>2601</v>
      </c>
      <c r="E27" s="126" t="s">
        <v>133</v>
      </c>
      <c r="F27" s="5"/>
      <c r="G27" s="126"/>
      <c r="H27" s="30" t="str">
        <f>IF(B27="","",VLOOKUP(B27,Converted_feedstuff!$C$5:$E$54,3,FALSE))</f>
        <v>Grass_and_grass_clover_conv</v>
      </c>
      <c r="I27" s="80">
        <f>D27/((100-VLOOKUP(B27,Converted_feedstuff!$C$5:$F$54,4,FALSE))/100)</f>
        <v>3063.6042402826852</v>
      </c>
      <c r="K27" s="30">
        <f>IF(B27="",0,VLOOKUP(B27,Converted_feedstuff!$C$5:$D$54,2,FALSE))</f>
        <v>359</v>
      </c>
      <c r="L27" s="80">
        <f>IF($B27="","",((VLOOKUP($B27,Converted_feedstuff!$C$5:$AM$54,33,FALSE))*((100-VLOOKUP($B27,Converted_feedstuff!$C$5:$K$54,5,FALSE))/100))/((100-VLOOKUP($B27,Converted_feedstuff!$C$5:$K$54,4,FALSE))/100))</f>
        <v>450.00000233204008</v>
      </c>
      <c r="M27" s="81">
        <f>IF($B27="","",((VLOOKUP($B27,Converted_feedstuff!$C$5:$AM$54,34,FALSE))*((100-VLOOKUP($B27,Converted_feedstuff!$C$5:$K$54,6,FALSE))/100))/((100-VLOOKUP($B27,Converted_feedstuff!$C$5:$K$54,4,FALSE))/100))</f>
        <v>30.5848414522913</v>
      </c>
      <c r="N27" s="81">
        <f>IF($B27="","",((VLOOKUP($B27,Converted_feedstuff!$C$5:$AM$54,35,FALSE))*((100-VLOOKUP($B27,Converted_feedstuff!$C$5:$K$54,7,FALSE))/100))/((100-VLOOKUP($B27,Converted_feedstuff!$C$5:$K$54,4,FALSE))/100))</f>
        <v>4.3164742615101881</v>
      </c>
      <c r="O27" s="81">
        <f>IF($B27="","",((VLOOKUP($B27,Converted_feedstuff!$C$5:$AM$54,36,FALSE))*((100-VLOOKUP($B27,Converted_feedstuff!$C$5:$K$54,8,FALSE))/100))/((100-VLOOKUP($B27,Converted_feedstuff!$C$5:$K$54,4,FALSE))/100))</f>
        <v>33.088873768162301</v>
      </c>
      <c r="P27" s="81">
        <f>IF($B27="","",((VLOOKUP($B27,Converted_feedstuff!$C$5:$AM$49,37,FALSE))*((100-VLOOKUP($B27,Converted_feedstuff!$C$5:$K$54,9,FALSE))/100))/((100-VLOOKUP($B27,Converted_feedstuff!$C$5:$K$54,4,FALSE))/100))</f>
        <v>16.549135894677399</v>
      </c>
      <c r="R27" s="51">
        <f t="shared" si="6"/>
        <v>359</v>
      </c>
      <c r="S27" s="44"/>
      <c r="T27" s="34">
        <f t="shared" si="5"/>
        <v>1170.4500060656362</v>
      </c>
      <c r="U27" s="34">
        <f t="shared" si="5"/>
        <v>79.551172617409676</v>
      </c>
      <c r="V27" s="34">
        <f t="shared" si="5"/>
        <v>11.227149554187999</v>
      </c>
      <c r="W27" s="34">
        <f t="shared" si="5"/>
        <v>86.064160670990148</v>
      </c>
      <c r="X27" s="34">
        <f t="shared" si="7"/>
        <v>43044.302462055915</v>
      </c>
      <c r="Y27" s="81">
        <f t="shared" si="8"/>
        <v>497.19482885881047</v>
      </c>
      <c r="AB27" s="114">
        <f>IF(B27="",0,(VLOOKUP(B27,Converted_feedstuff!$C$5:$BH$54,58,FALSE)*$I27))</f>
        <v>25.30147777321622</v>
      </c>
      <c r="AC27" s="30"/>
      <c r="AD27" s="30"/>
      <c r="AF27" s="144" t="str">
        <f t="shared" si="9"/>
        <v>Ensilage_graes_conv</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t="s">
        <v>133</v>
      </c>
      <c r="C28" s="28" t="s">
        <v>43</v>
      </c>
      <c r="D28" s="6">
        <v>2601</v>
      </c>
      <c r="E28" s="5" t="s">
        <v>131</v>
      </c>
      <c r="F28" s="5"/>
      <c r="G28" s="126"/>
      <c r="H28" s="30" t="str">
        <f>IF(B28="","",VLOOKUP(B28,Converted_feedstuff!$C$5:$E$54,3,FALSE))</f>
        <v>Maize_whole_crop_fresh_conv</v>
      </c>
      <c r="I28" s="80">
        <f>D28/((100-VLOOKUP(B28,Converted_feedstuff!$C$5:$F$54,4,FALSE))/100)</f>
        <v>3063.6042402826852</v>
      </c>
      <c r="K28" s="30">
        <f>IF(B28="",0,VLOOKUP(B28,Converted_feedstuff!$C$5:$D$54,2,FALSE))</f>
        <v>349</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13.220824499411071</v>
      </c>
      <c r="N28" s="81">
        <f>IF($B28="","",((VLOOKUP($B28,Converted_feedstuff!$C$5:$AM$54,35,FALSE))*((100-VLOOKUP($B28,Converted_feedstuff!$C$5:$K$54,7,FALSE))/100))/((100-VLOOKUP($B28,Converted_feedstuff!$C$5:$K$54,4,FALSE))/100))</f>
        <v>2.5912838633686688</v>
      </c>
      <c r="O28" s="81">
        <f>IF($B28="","",((VLOOKUP($B28,Converted_feedstuff!$C$5:$AM$54,36,FALSE))*((100-VLOOKUP($B28,Converted_feedstuff!$C$5:$K$54,8,FALSE))/100))/((100-VLOOKUP($B28,Converted_feedstuff!$C$5:$K$54,4,FALSE))/100))</f>
        <v>13.309776207302708</v>
      </c>
      <c r="P28" s="81">
        <f>IF($B28="","",((VLOOKUP($B28,Converted_feedstuff!$C$5:$AM$49,37,FALSE))*((100-VLOOKUP($B28,Converted_feedstuff!$C$5:$K$54,9,FALSE))/100))/((100-VLOOKUP($B28,Converted_feedstuff!$C$5:$K$54,4,FALSE))/100))</f>
        <v>17.7</v>
      </c>
      <c r="R28" s="51">
        <f t="shared" si="6"/>
        <v>349</v>
      </c>
      <c r="S28" s="44"/>
      <c r="T28" s="34">
        <f t="shared" si="5"/>
        <v>1170.4499999999998</v>
      </c>
      <c r="U28" s="34">
        <f t="shared" si="5"/>
        <v>34.387364522968191</v>
      </c>
      <c r="V28" s="34">
        <f t="shared" si="5"/>
        <v>6.7399293286219075</v>
      </c>
      <c r="W28" s="34">
        <f t="shared" si="5"/>
        <v>34.618727915194349</v>
      </c>
      <c r="X28" s="34">
        <f t="shared" si="7"/>
        <v>46037.7</v>
      </c>
      <c r="Y28" s="81">
        <f t="shared" si="8"/>
        <v>214.9210282685512</v>
      </c>
      <c r="AB28" s="114">
        <f>IF(B28="",0,(VLOOKUP(B28,Converted_feedstuff!$C$5:$BH$54,58,FALSE)*$I28))</f>
        <v>14.450963397559837</v>
      </c>
      <c r="AC28" s="30"/>
      <c r="AD28" s="30"/>
      <c r="AF28" s="144" t="str">
        <f t="shared" si="9"/>
        <v>Ensilage_majs_conv</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208.17194127595539</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3.1690980484212092</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5202</v>
      </c>
      <c r="E31" s="24"/>
      <c r="K31" t="s">
        <v>175</v>
      </c>
      <c r="L31" s="24"/>
      <c r="M31" s="24"/>
      <c r="N31" s="24"/>
      <c r="O31" s="24"/>
      <c r="P31" s="24"/>
      <c r="Q31" s="25"/>
      <c r="R31" s="82">
        <f>(D24*R24+D25*R25+D26*R26+D27*R27+D28*R28+D29*R29+D30*R30)/D31</f>
        <v>354</v>
      </c>
      <c r="S31" s="45"/>
      <c r="T31" s="116">
        <f t="shared" ref="T31:Y31" si="10">SUM(T24:T30)</f>
        <v>2340.9000060656363</v>
      </c>
      <c r="U31" s="116">
        <f t="shared" si="10"/>
        <v>113.93853714037786</v>
      </c>
      <c r="V31" s="116">
        <f t="shared" si="10"/>
        <v>17.967078882809908</v>
      </c>
      <c r="W31" s="116">
        <f t="shared" si="10"/>
        <v>120.6828885861845</v>
      </c>
      <c r="X31" s="116">
        <f>SUM(X24:X30)</f>
        <v>89082.002462055912</v>
      </c>
      <c r="Y31" s="116">
        <f t="shared" si="10"/>
        <v>712.11585712736166</v>
      </c>
      <c r="AA31" s="113" t="s">
        <v>61</v>
      </c>
      <c r="AB31" s="115">
        <f>SUM(AB24:AB30)</f>
        <v>39.752441170776059</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208.17194127595539</v>
      </c>
      <c r="AS31" s="92">
        <f t="shared" si="11"/>
        <v>0</v>
      </c>
      <c r="AT31" s="92">
        <f t="shared" si="11"/>
        <v>0</v>
      </c>
      <c r="AU31" s="92" t="e">
        <f t="shared" si="11"/>
        <v>#REF!</v>
      </c>
      <c r="AV31" s="92">
        <f t="shared" si="11"/>
        <v>3.1690980484212092</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8227</v>
      </c>
      <c r="E32" s="24"/>
      <c r="I32" s="24"/>
      <c r="J32" s="24"/>
      <c r="K32" s="24"/>
      <c r="L32" s="24"/>
      <c r="M32" s="24"/>
      <c r="N32" s="24"/>
      <c r="P32" s="25"/>
      <c r="Q32" s="25"/>
      <c r="R32" s="84">
        <f>(D20*R20+D31*R31)/D32</f>
        <v>543.768563581379</v>
      </c>
      <c r="S32" s="85"/>
      <c r="T32" s="117">
        <f>T20+T31</f>
        <v>3702.1500060656363</v>
      </c>
      <c r="U32" s="117">
        <f t="shared" ref="U32:Y32" si="12">U20+U31</f>
        <v>227.5579256306612</v>
      </c>
      <c r="V32" s="117">
        <f t="shared" si="12"/>
        <v>43.91589612963503</v>
      </c>
      <c r="W32" s="117">
        <f t="shared" si="12"/>
        <v>158.80892313878951</v>
      </c>
      <c r="X32" s="117">
        <f t="shared" si="12"/>
        <v>152100.79635964939</v>
      </c>
      <c r="Y32" s="117">
        <f t="shared" si="12"/>
        <v>1422.2370351916325</v>
      </c>
      <c r="AF32" s="144" t="str">
        <f t="shared" ref="AF32:AF37" si="13">IF(E25="","",E25)</f>
        <v/>
      </c>
      <c r="BL32" t="str">
        <f>A4</f>
        <v>ID-nummer</v>
      </c>
      <c r="BM32">
        <f>B4</f>
        <v>102</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Dairy_cow2_conv</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Ensilage_majs_conv</v>
      </c>
      <c r="AM34" s="29"/>
      <c r="AN34" s="29"/>
      <c r="BJ34">
        <f t="shared" ref="BI34:BJ62" si="14">$BM$32</f>
        <v>102</v>
      </c>
      <c r="BK34" t="str">
        <f t="shared" ref="BJ34:BK62" si="15">$BM$33</f>
        <v>Dairy_cow2_conv</v>
      </c>
      <c r="BL34" t="s">
        <v>69</v>
      </c>
      <c r="BM34">
        <f>$B$24</f>
        <v>0</v>
      </c>
      <c r="BN34" t="str">
        <f t="shared" ref="BN34:BO40" si="16">C24</f>
        <v>Kg</v>
      </c>
      <c r="BO34">
        <f t="shared" si="16"/>
        <v>0</v>
      </c>
    </row>
    <row r="35" spans="1:67" ht="15.6" x14ac:dyDescent="0.3">
      <c r="A35" s="18" t="s">
        <v>631</v>
      </c>
      <c r="B35" s="19" t="s">
        <v>422</v>
      </c>
      <c r="C35" s="28" t="s">
        <v>43</v>
      </c>
      <c r="D35" s="34">
        <f>H35*(R35/1000)</f>
        <v>1.9004999999999999</v>
      </c>
      <c r="E35" s="30" t="str">
        <f>IF(B35="","",VLOOKUP(B35,'Processed products'!$B$5:$E$104,2,FALSE))</f>
        <v>Dead_meat_conv</v>
      </c>
      <c r="F35" s="30" t="str">
        <f>IF(B35="","",VLOOKUP(B35,'Processed products'!$B$5:$E$104,3,FALSE))</f>
        <v>Dead_meat</v>
      </c>
      <c r="G35" s="30" t="str">
        <f>IF(B35="","",VLOOKUP(B35,'Processed products'!$B$5:$E$104,4,FALSE))</f>
        <v>Exit_model</v>
      </c>
      <c r="H35" s="5">
        <v>5.43</v>
      </c>
      <c r="I35" s="4"/>
      <c r="K35" s="97" t="s">
        <v>654</v>
      </c>
      <c r="L35" s="132" t="s">
        <v>489</v>
      </c>
      <c r="M35" s="132" t="s">
        <v>640</v>
      </c>
      <c r="N35" s="272">
        <v>2.08</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Ensilage_graes_conv</v>
      </c>
      <c r="AJ35" s="32"/>
      <c r="BJ35">
        <f t="shared" si="14"/>
        <v>102</v>
      </c>
      <c r="BK35" t="str">
        <f t="shared" si="15"/>
        <v>Dairy_cow2_conv</v>
      </c>
      <c r="BL35" t="s">
        <v>69</v>
      </c>
      <c r="BM35">
        <f>$B$25</f>
        <v>0</v>
      </c>
      <c r="BN35" t="str">
        <f t="shared" si="16"/>
        <v>Kg</v>
      </c>
      <c r="BO35">
        <f t="shared" si="16"/>
        <v>0</v>
      </c>
    </row>
    <row r="36" spans="1:67" ht="15.6" x14ac:dyDescent="0.3">
      <c r="A36" s="18" t="s">
        <v>632</v>
      </c>
      <c r="B36" s="19" t="s">
        <v>214</v>
      </c>
      <c r="C36" s="28" t="s">
        <v>43</v>
      </c>
      <c r="D36" s="34">
        <f t="shared" ref="D36" si="17">H36*(R36/1000)</f>
        <v>14</v>
      </c>
      <c r="E36" s="30" t="str">
        <f>IF(B36="","",VLOOKUP(B36,'Processed products'!$B$5:$E$104,2,FALSE))</f>
        <v>Beef_meat_conv</v>
      </c>
      <c r="F36" s="30" t="str">
        <f>IF(B36="","",VLOOKUP(B36,'Processed products'!$B$5:$E$104,3,FALSE))</f>
        <v>Meat</v>
      </c>
      <c r="G36" s="30" t="str">
        <f>IF(B36="","",VLOOKUP(B36,'Processed products'!$B$5:$E$104,4,FALSE))</f>
        <v>Exit_model</v>
      </c>
      <c r="H36" s="5">
        <v>40</v>
      </c>
      <c r="I36" s="4"/>
      <c r="K36" s="97" t="s">
        <v>655</v>
      </c>
      <c r="L36" s="132" t="s">
        <v>644</v>
      </c>
      <c r="M36" s="132" t="s">
        <v>650</v>
      </c>
      <c r="N36" s="272">
        <v>26.16</v>
      </c>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
      </c>
      <c r="BJ36">
        <f t="shared" si="14"/>
        <v>102</v>
      </c>
      <c r="BK36" t="str">
        <f t="shared" si="15"/>
        <v>Dairy_cow2_conv</v>
      </c>
      <c r="BL36" t="s">
        <v>69</v>
      </c>
      <c r="BM36">
        <f>$B$26</f>
        <v>0</v>
      </c>
      <c r="BN36" t="str">
        <f t="shared" si="16"/>
        <v>Kg</v>
      </c>
      <c r="BO36">
        <f t="shared" si="16"/>
        <v>0</v>
      </c>
    </row>
    <row r="37" spans="1:67" ht="16.2" thickBot="1" x14ac:dyDescent="0.35">
      <c r="A37" s="18" t="s">
        <v>647</v>
      </c>
      <c r="B37" s="19" t="s">
        <v>489</v>
      </c>
      <c r="C37" s="28" t="s">
        <v>43</v>
      </c>
      <c r="D37" s="34">
        <f>H37*(R37/1000)</f>
        <v>7.9554999999999998</v>
      </c>
      <c r="E37" s="30" t="str">
        <f>IF(B37="","",VLOOKUP(B37,'Processed products'!$B$5:$E$104,2,FALSE))</f>
        <v>Calf_dairy_heavy_live_conv</v>
      </c>
      <c r="F37" s="30" t="str">
        <f>IF(B37="","",VLOOKUP(B37,'Processed products'!$B$5:$E$104,3,FALSE))</f>
        <v>Cattle_heavy_live_conv</v>
      </c>
      <c r="G37" s="30" t="str">
        <f>IF(B37="","",VLOOKUP(B37,'Processed products'!$B$5:$E$104,4,FALSE))</f>
        <v>Livestock_balance</v>
      </c>
      <c r="H37" s="5">
        <v>22.73</v>
      </c>
      <c r="I37" s="5">
        <v>0.56999999999999995</v>
      </c>
      <c r="K37" s="273" t="s">
        <v>656</v>
      </c>
      <c r="L37" s="260"/>
      <c r="M37" s="260"/>
      <c r="N37" s="261"/>
      <c r="Q37" s="25"/>
      <c r="R37" s="51">
        <f>(IF($B37="",0,VLOOKUP($B37,'Processed products'!$B$5:$O$104,5,FALSE)))</f>
        <v>350</v>
      </c>
      <c r="S37" s="44"/>
      <c r="T37" s="28">
        <f>(IF($B37="","",VLOOKUP($B37,'Processed products'!$B$5:$O$104,9,FALSE)))</f>
        <v>680</v>
      </c>
      <c r="U37" s="34">
        <f>(IF($B37="","",VLOOKUP($B37,'Processed products'!$B$5:$O$104,10,FALSE)))</f>
        <v>84.569919999999996</v>
      </c>
      <c r="V37" s="28">
        <f>(IF($B37="","",VLOOKUP($B37,'Processed products'!$B$5:$O$104,11,FALSE)))</f>
        <v>29.14</v>
      </c>
      <c r="W37" s="28">
        <f>(IF($B37="","",VLOOKUP($B37,'Processed products'!$B$5:$O$104,12,FALSE)))</f>
        <v>6</v>
      </c>
      <c r="X37" s="28">
        <f>(IF($B37="","",VLOOKUP($B37,'Processed products'!$B$5:$O$104,13,FALSE)))</f>
        <v>19.63</v>
      </c>
      <c r="Z37" s="53"/>
      <c r="AA37" s="53"/>
      <c r="AB37" s="53"/>
      <c r="AC37" s="53"/>
      <c r="AD37" s="53"/>
      <c r="AF37" s="144" t="str">
        <f t="shared" si="13"/>
        <v/>
      </c>
      <c r="BJ37">
        <f t="shared" si="14"/>
        <v>102</v>
      </c>
      <c r="BK37" t="str">
        <f t="shared" si="15"/>
        <v>Dairy_cow2_conv</v>
      </c>
      <c r="BL37" t="s">
        <v>69</v>
      </c>
      <c r="BM37" t="str">
        <f>$B$27</f>
        <v>Ensilage_graes_conv</v>
      </c>
      <c r="BN37" t="str">
        <f t="shared" si="16"/>
        <v>Kg</v>
      </c>
      <c r="BO37">
        <f t="shared" si="16"/>
        <v>2601</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102</v>
      </c>
      <c r="BK38" t="str">
        <f t="shared" si="15"/>
        <v>Dairy_cow2_conv</v>
      </c>
      <c r="BL38" t="s">
        <v>69</v>
      </c>
      <c r="BM38" t="str">
        <f>$B$28</f>
        <v>Ensilage_majs_conv</v>
      </c>
      <c r="BN38" t="str">
        <f t="shared" si="16"/>
        <v>Kg</v>
      </c>
      <c r="BO38">
        <f t="shared" si="16"/>
        <v>2601</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36"/>
      <c r="J39" s="123"/>
      <c r="K39" s="53"/>
      <c r="L39" s="123"/>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102</v>
      </c>
      <c r="BK39" t="str">
        <f t="shared" si="15"/>
        <v>Dairy_cow2_conv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K40" s="32">
        <f>40*0.052</f>
        <v>2.08</v>
      </c>
      <c r="L40" s="110"/>
      <c r="M40" s="110"/>
      <c r="N40" s="32">
        <f>503*0.052</f>
        <v>26.155999999999999</v>
      </c>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102</v>
      </c>
      <c r="BK40" t="str">
        <f t="shared" si="15"/>
        <v>Dairy_cow2_conv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102</v>
      </c>
      <c r="BK41" t="str">
        <f t="shared" si="15"/>
        <v>Dairy_cow2_conv</v>
      </c>
      <c r="BL41" t="s">
        <v>126</v>
      </c>
      <c r="BM41" t="str">
        <f>$B$35</f>
        <v>Kvaeg_affald_conv</v>
      </c>
      <c r="BN41" t="str">
        <f>C35</f>
        <v>Kg</v>
      </c>
      <c r="BO41" s="64">
        <f>P35</f>
        <v>0</v>
      </c>
    </row>
    <row r="42" spans="1:67" x14ac:dyDescent="0.3">
      <c r="A42" s="33" t="s">
        <v>61</v>
      </c>
      <c r="B42" s="39"/>
      <c r="C42" s="28" t="s">
        <v>43</v>
      </c>
      <c r="D42" s="34">
        <f>SUM(D35:D41)</f>
        <v>23.855999999999998</v>
      </c>
      <c r="E42" s="24"/>
      <c r="I42" s="124"/>
      <c r="J42" s="246" t="s">
        <v>649</v>
      </c>
      <c r="K42" s="123"/>
      <c r="L42" s="123"/>
      <c r="M42" s="136">
        <f>80*0.052+0.053*40*0.6</f>
        <v>5.4320000000000004</v>
      </c>
      <c r="N42" s="124"/>
      <c r="P42" s="93"/>
      <c r="Q42" s="25"/>
      <c r="Z42" s="53"/>
      <c r="AA42" s="53"/>
      <c r="AB42" s="53"/>
      <c r="AC42" s="53"/>
      <c r="AD42" s="53"/>
      <c r="AF42" s="144" t="str">
        <f t="shared" si="18"/>
        <v/>
      </c>
      <c r="BJ42">
        <f t="shared" si="14"/>
        <v>102</v>
      </c>
      <c r="BK42" t="str">
        <f t="shared" si="15"/>
        <v>Dairy_cow2_conv</v>
      </c>
      <c r="BL42" t="s">
        <v>126</v>
      </c>
      <c r="BM42" t="str">
        <f>$B$36</f>
        <v>Tilvaekst_kvaeg_conv</v>
      </c>
      <c r="BN42" t="str">
        <f t="shared" ref="BN42:BN47" si="19">C35</f>
        <v>Kg</v>
      </c>
      <c r="BO42" s="64">
        <f t="shared" ref="BO42:BO47" si="20">P35</f>
        <v>0</v>
      </c>
    </row>
    <row r="43" spans="1:67" x14ac:dyDescent="0.3">
      <c r="J43" s="123" t="s">
        <v>651</v>
      </c>
      <c r="K43" s="136">
        <f>24*0.947</f>
        <v>22.727999999999998</v>
      </c>
      <c r="L43" s="136">
        <f>K43/40</f>
        <v>0.56819999999999993</v>
      </c>
      <c r="M43" s="123"/>
      <c r="Z43" s="53"/>
      <c r="AA43" s="53"/>
      <c r="AB43" s="53"/>
      <c r="AC43" s="53"/>
      <c r="AD43" s="53"/>
      <c r="AF43" s="144" t="str">
        <f t="shared" si="18"/>
        <v/>
      </c>
      <c r="BJ43">
        <f t="shared" si="14"/>
        <v>102</v>
      </c>
      <c r="BK43" t="str">
        <f t="shared" si="15"/>
        <v>Dairy_cow2_conv</v>
      </c>
      <c r="BL43" t="s">
        <v>126</v>
      </c>
      <c r="BM43" t="str">
        <f>$B$37</f>
        <v>Foster_kvaeg_dairy_heavy_conv</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102</v>
      </c>
      <c r="BK44" t="str">
        <f t="shared" si="15"/>
        <v>Dairy_cow2_conv</v>
      </c>
      <c r="BL44" t="s">
        <v>126</v>
      </c>
      <c r="BM44">
        <f>$B$38</f>
        <v>0</v>
      </c>
      <c r="BN44" t="str">
        <f t="shared" si="19"/>
        <v>Kg</v>
      </c>
      <c r="BO44" s="64">
        <f t="shared" si="20"/>
        <v>0</v>
      </c>
    </row>
    <row r="45" spans="1:67" x14ac:dyDescent="0.3">
      <c r="A45" s="18" t="s">
        <v>163</v>
      </c>
      <c r="B45" s="19" t="s">
        <v>410</v>
      </c>
      <c r="C45" s="28" t="s">
        <v>43</v>
      </c>
      <c r="D45" s="51">
        <f>H45*(I45/1000)</f>
        <v>1482.7050000000002</v>
      </c>
      <c r="E45" s="28" t="str">
        <f>IF(B45="","",VLOOKUP(B45,'Processed products'!$AJ$5:$AO$250,2,FALSE))</f>
        <v>Maelk_EKM_conv</v>
      </c>
      <c r="F45" s="28" t="str">
        <f>IF(B45="","",VLOOKUP(B45,'Processed products'!$AJ$5:$AO$250,3,FALSE))</f>
        <v>Maelk_EKM</v>
      </c>
      <c r="G45" s="28" t="str">
        <f>IF(B45="","",VLOOKUP(B45,'Processed products'!$AJ$5:$AO$250,4,FALSE))</f>
        <v>Exit_model</v>
      </c>
      <c r="H45" s="51">
        <f>J8</f>
        <v>11273.594789808918</v>
      </c>
      <c r="I45" s="51">
        <f>((IF(B45="","",VLOOKUP(B45,'Processed products'!$AJ$5:$AO$250,5,FALSE)))*J5)/J8</f>
        <v>131.52016083994192</v>
      </c>
      <c r="J45" s="132">
        <v>450</v>
      </c>
      <c r="K45" s="34">
        <f>IF(H45=0,0,(((J5*(J7/100))/L8)/D45)*1000)</f>
        <v>40.984558225937533</v>
      </c>
      <c r="L45" s="34">
        <f>IF(H45=0,0,(J5*L11)/D45)</f>
        <v>7.1111111111111107</v>
      </c>
      <c r="M45" s="34">
        <f>IF(H45=0,0,(J5*L12)/D45)</f>
        <v>11.703703703703702</v>
      </c>
      <c r="N45" s="34">
        <f>IF(H45=0,0,(L5*J8)/D45)</f>
        <v>23.874666666666666</v>
      </c>
      <c r="O45" s="81">
        <f>K45*6.38</f>
        <v>261.48148148148147</v>
      </c>
      <c r="P45" s="93"/>
      <c r="Q45" s="47"/>
      <c r="R45" s="123"/>
      <c r="Z45" s="53"/>
      <c r="AA45" s="53"/>
      <c r="AB45" s="53"/>
      <c r="AC45" s="53"/>
      <c r="AD45" s="53"/>
      <c r="AF45" s="144" t="str">
        <f>IF(G24="","",G24)</f>
        <v/>
      </c>
      <c r="AG45" s="136"/>
      <c r="AH45" s="136"/>
      <c r="AI45" s="136"/>
      <c r="AJ45" s="136"/>
      <c r="BJ45">
        <f t="shared" si="14"/>
        <v>102</v>
      </c>
      <c r="BK45" t="str">
        <f t="shared" si="15"/>
        <v>Dairy_cow2_conv</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102</v>
      </c>
      <c r="BK46" t="str">
        <f t="shared" si="15"/>
        <v>Dairy_cow2_conv</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102</v>
      </c>
      <c r="BK47" t="str">
        <f t="shared" si="15"/>
        <v>Dairy_cow2_conv</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102</v>
      </c>
      <c r="BK48" t="str">
        <f t="shared" si="15"/>
        <v>Dairy_cow2_conv</v>
      </c>
      <c r="BL48" t="s">
        <v>127</v>
      </c>
      <c r="BM48" t="str">
        <f t="shared" ref="BM48:BM52" si="22">$B$45</f>
        <v>Soedmaelk_tung_EKM_conv</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102</v>
      </c>
      <c r="BK49" t="str">
        <f t="shared" si="15"/>
        <v>Dairy_cow2_conv</v>
      </c>
      <c r="BL49" t="s">
        <v>127</v>
      </c>
      <c r="BM49" t="str">
        <f t="shared" si="22"/>
        <v>Soedmaelk_tung_EKM_conv</v>
      </c>
      <c r="BN49" t="str">
        <f>$AF$34</f>
        <v>Ensilage_majs_conv</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102</v>
      </c>
      <c r="BK50" t="str">
        <f t="shared" si="15"/>
        <v>Dairy_cow2_conv</v>
      </c>
      <c r="BL50" t="s">
        <v>127</v>
      </c>
      <c r="BM50" t="str">
        <f t="shared" si="22"/>
        <v>Soedmaelk_tung_EKM_conv</v>
      </c>
      <c r="BN50" s="32">
        <f>$AH$34</f>
        <v>0</v>
      </c>
      <c r="BO50" s="32">
        <f>AH45</f>
        <v>0</v>
      </c>
    </row>
    <row r="51" spans="1:67" ht="15" thickBot="1" x14ac:dyDescent="0.35">
      <c r="A51" s="18" t="s">
        <v>56</v>
      </c>
      <c r="B51" s="9"/>
      <c r="C51" s="28" t="s">
        <v>43</v>
      </c>
      <c r="D51" s="51">
        <f>SUM(D42,D45:D50)</f>
        <v>1506.5610000000001</v>
      </c>
      <c r="I51" s="93"/>
      <c r="J51" s="93"/>
      <c r="K51" s="93"/>
      <c r="L51" s="93"/>
      <c r="M51" s="93"/>
      <c r="N51" s="93"/>
      <c r="O51" s="135"/>
      <c r="P51" s="93"/>
      <c r="Q51" s="47"/>
      <c r="Z51" s="53"/>
      <c r="AA51" s="53"/>
      <c r="AB51" s="53"/>
      <c r="AC51" s="53"/>
      <c r="AD51" s="53"/>
      <c r="AF51" s="145" t="str">
        <f t="shared" si="21"/>
        <v/>
      </c>
      <c r="BJ51">
        <f t="shared" si="14"/>
        <v>102</v>
      </c>
      <c r="BK51" t="str">
        <f t="shared" si="15"/>
        <v>Dairy_cow2_conv</v>
      </c>
      <c r="BL51" t="s">
        <v>127</v>
      </c>
      <c r="BM51" t="str">
        <f t="shared" si="22"/>
        <v>Soedmaelk_tung_EKM_conv</v>
      </c>
      <c r="BN51">
        <f>$AI$34</f>
        <v>0</v>
      </c>
      <c r="BO51" s="32">
        <f>AI45</f>
        <v>0</v>
      </c>
    </row>
    <row r="52" spans="1:67" x14ac:dyDescent="0.3">
      <c r="C52" s="25"/>
      <c r="H52" s="137"/>
      <c r="I52" s="137"/>
      <c r="Y52" s="29"/>
      <c r="Z52" s="136"/>
      <c r="AA52" s="136"/>
      <c r="AB52" s="136"/>
      <c r="AC52" s="136"/>
      <c r="AD52" s="136"/>
      <c r="AF52" s="32"/>
      <c r="BJ52">
        <f t="shared" si="14"/>
        <v>102</v>
      </c>
      <c r="BK52" t="str">
        <f t="shared" si="15"/>
        <v>Dairy_cow2_conv</v>
      </c>
      <c r="BL52" t="s">
        <v>127</v>
      </c>
      <c r="BM52" t="str">
        <f t="shared" si="22"/>
        <v>Soedmaelk_tung_EKM_conv</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102</v>
      </c>
      <c r="BK53" t="str">
        <f t="shared" si="15"/>
        <v>Dairy_cow2_conv</v>
      </c>
      <c r="BL53" t="s">
        <v>127</v>
      </c>
      <c r="BM53">
        <f t="shared" ref="BM53:BM58" si="23">$B$46</f>
        <v>0</v>
      </c>
      <c r="BN53" t="str">
        <f>C46</f>
        <v>Kg</v>
      </c>
      <c r="BO53" s="64">
        <f>P46</f>
        <v>0</v>
      </c>
    </row>
    <row r="54" spans="1:67" x14ac:dyDescent="0.3">
      <c r="A54" s="18" t="s">
        <v>220</v>
      </c>
      <c r="B54" s="50" t="s">
        <v>233</v>
      </c>
      <c r="C54" s="50" t="s">
        <v>43</v>
      </c>
      <c r="D54" s="138"/>
      <c r="E54" s="53"/>
      <c r="F54" s="138"/>
      <c r="G54" s="53"/>
      <c r="H54" s="138"/>
      <c r="I54" s="138"/>
      <c r="AF54" s="32"/>
      <c r="BJ54">
        <f t="shared" si="14"/>
        <v>102</v>
      </c>
      <c r="BK54" t="str">
        <f t="shared" si="15"/>
        <v>Dairy_cow2_conv</v>
      </c>
      <c r="BL54" t="s">
        <v>127</v>
      </c>
      <c r="BM54">
        <f t="shared" si="23"/>
        <v>0</v>
      </c>
      <c r="BN54" t="str">
        <f>$AF$34</f>
        <v>Ensilage_majs_conv</v>
      </c>
      <c r="BO54" s="32" t="str">
        <f>AF$46</f>
        <v/>
      </c>
    </row>
    <row r="55" spans="1:67" x14ac:dyDescent="0.3">
      <c r="A55" s="18" t="s">
        <v>254</v>
      </c>
      <c r="B55" s="50" t="s">
        <v>233</v>
      </c>
      <c r="C55" s="50" t="s">
        <v>43</v>
      </c>
      <c r="D55" s="138"/>
      <c r="E55" s="53"/>
      <c r="F55" s="138"/>
      <c r="G55" s="53"/>
      <c r="H55" s="138"/>
      <c r="I55" s="138"/>
      <c r="BJ55">
        <f t="shared" si="14"/>
        <v>102</v>
      </c>
      <c r="BK55" t="str">
        <f t="shared" si="15"/>
        <v>Dairy_cow2_conv</v>
      </c>
      <c r="BL55" t="s">
        <v>127</v>
      </c>
      <c r="BM55">
        <f t="shared" si="23"/>
        <v>0</v>
      </c>
      <c r="BN55">
        <f>$AG$34</f>
        <v>0</v>
      </c>
      <c r="BO55" s="32">
        <f>AG$46</f>
        <v>0</v>
      </c>
    </row>
    <row r="56" spans="1:67" x14ac:dyDescent="0.3">
      <c r="A56" s="18" t="s">
        <v>35</v>
      </c>
      <c r="B56" s="50"/>
      <c r="C56" s="50"/>
      <c r="D56" s="138"/>
      <c r="E56" s="53"/>
      <c r="F56" s="138"/>
      <c r="G56" s="53"/>
      <c r="H56" s="138"/>
      <c r="I56" s="138"/>
      <c r="BJ56">
        <f t="shared" si="14"/>
        <v>102</v>
      </c>
      <c r="BK56" t="str">
        <f t="shared" si="15"/>
        <v>Dairy_cow2_conv</v>
      </c>
      <c r="BL56" t="s">
        <v>127</v>
      </c>
      <c r="BM56">
        <f t="shared" si="23"/>
        <v>0</v>
      </c>
      <c r="BN56" s="32">
        <f>$AH$34</f>
        <v>0</v>
      </c>
      <c r="BO56" s="32">
        <f>AH$46</f>
        <v>0</v>
      </c>
    </row>
    <row r="57" spans="1:67" x14ac:dyDescent="0.3">
      <c r="A57" s="18" t="s">
        <v>36</v>
      </c>
      <c r="B57" s="50"/>
      <c r="C57" s="50"/>
      <c r="D57" s="138"/>
      <c r="E57" s="53"/>
      <c r="F57" s="138"/>
      <c r="G57" s="53"/>
      <c r="H57" s="138"/>
      <c r="I57" s="138"/>
      <c r="BJ57">
        <f t="shared" si="14"/>
        <v>102</v>
      </c>
      <c r="BK57" t="str">
        <f t="shared" si="15"/>
        <v>Dairy_cow2_conv</v>
      </c>
      <c r="BL57" t="s">
        <v>127</v>
      </c>
      <c r="BM57">
        <f t="shared" si="23"/>
        <v>0</v>
      </c>
      <c r="BN57">
        <f>$AI$34</f>
        <v>0</v>
      </c>
      <c r="BO57" s="32">
        <f>AI$46</f>
        <v>0</v>
      </c>
    </row>
    <row r="58" spans="1:67" x14ac:dyDescent="0.3">
      <c r="A58" s="18" t="s">
        <v>37</v>
      </c>
      <c r="B58" s="50"/>
      <c r="C58" s="50"/>
      <c r="D58" s="138"/>
      <c r="E58" s="53"/>
      <c r="F58" s="138"/>
      <c r="G58" s="53"/>
      <c r="H58" s="138"/>
      <c r="I58" s="138"/>
      <c r="BJ58">
        <f t="shared" si="14"/>
        <v>102</v>
      </c>
      <c r="BK58" t="str">
        <f t="shared" si="15"/>
        <v>Dairy_cow2_conv</v>
      </c>
      <c r="BL58" t="s">
        <v>127</v>
      </c>
      <c r="BM58">
        <f t="shared" si="23"/>
        <v>0</v>
      </c>
      <c r="BN58">
        <f>$AJ$34</f>
        <v>0</v>
      </c>
      <c r="BO58" s="32">
        <f>AJ$46</f>
        <v>0</v>
      </c>
    </row>
    <row r="59" spans="1:67" x14ac:dyDescent="0.3">
      <c r="A59" s="18" t="s">
        <v>56</v>
      </c>
      <c r="B59" s="24"/>
      <c r="D59" s="32"/>
      <c r="F59" s="32"/>
      <c r="H59" s="138"/>
      <c r="I59" s="138"/>
      <c r="BJ59">
        <f t="shared" si="14"/>
        <v>102</v>
      </c>
      <c r="BK59" t="str">
        <f t="shared" si="15"/>
        <v>Dairy_cow2_conv</v>
      </c>
      <c r="BL59" t="s">
        <v>127</v>
      </c>
      <c r="BM59">
        <f t="shared" ref="BL59:BM62" si="24">$B$47</f>
        <v>0</v>
      </c>
      <c r="BN59">
        <f>$AG$34</f>
        <v>0</v>
      </c>
      <c r="BO59" s="32">
        <f>AG$47</f>
        <v>0</v>
      </c>
    </row>
    <row r="60" spans="1:67" x14ac:dyDescent="0.3">
      <c r="BJ60">
        <f t="shared" si="14"/>
        <v>102</v>
      </c>
      <c r="BK60" t="str">
        <f t="shared" si="15"/>
        <v>Dairy_cow2_conv</v>
      </c>
      <c r="BL60" t="s">
        <v>127</v>
      </c>
      <c r="BM60">
        <f t="shared" si="24"/>
        <v>0</v>
      </c>
      <c r="BN60" s="32">
        <f>$AH$34</f>
        <v>0</v>
      </c>
      <c r="BO60" s="32">
        <f>AH$47</f>
        <v>0</v>
      </c>
    </row>
    <row r="61" spans="1:67" ht="17.399999999999999" x14ac:dyDescent="0.3">
      <c r="A61" s="31" t="s">
        <v>104</v>
      </c>
      <c r="BJ61">
        <f t="shared" si="14"/>
        <v>102</v>
      </c>
      <c r="BK61" t="str">
        <f t="shared" si="15"/>
        <v>Dairy_cow2_conv</v>
      </c>
      <c r="BL61" t="s">
        <v>127</v>
      </c>
      <c r="BM61">
        <f t="shared" si="24"/>
        <v>0</v>
      </c>
      <c r="BN61">
        <f>$AI$34</f>
        <v>0</v>
      </c>
      <c r="BO61" s="32">
        <f>AI$47</f>
        <v>0</v>
      </c>
    </row>
    <row r="62" spans="1:67" x14ac:dyDescent="0.3">
      <c r="A62" s="21" t="s">
        <v>280</v>
      </c>
      <c r="B62" s="10" t="s">
        <v>101</v>
      </c>
      <c r="C62" s="10" t="s">
        <v>102</v>
      </c>
      <c r="D62" s="10" t="s">
        <v>103</v>
      </c>
      <c r="BI62">
        <f t="shared" si="14"/>
        <v>102</v>
      </c>
      <c r="BJ62" t="str">
        <f t="shared" si="15"/>
        <v>Dairy_cow2_conv</v>
      </c>
      <c r="BK62" t="s">
        <v>127</v>
      </c>
      <c r="BL62">
        <f t="shared" si="24"/>
        <v>0</v>
      </c>
      <c r="BM62">
        <f>$AJ$34</f>
        <v>0</v>
      </c>
      <c r="BN62" s="32">
        <f>AJ$47</f>
        <v>0</v>
      </c>
    </row>
    <row r="63" spans="1:67" x14ac:dyDescent="0.3">
      <c r="A63" s="18" t="s">
        <v>86</v>
      </c>
      <c r="B63" s="19"/>
      <c r="C63" s="11">
        <v>600</v>
      </c>
      <c r="D63" s="11">
        <v>8</v>
      </c>
      <c r="E63" t="s">
        <v>278</v>
      </c>
      <c r="BI63">
        <f t="shared" ref="BI63:BJ91" si="25">$BM$32</f>
        <v>102</v>
      </c>
      <c r="BJ63" t="str">
        <f t="shared" ref="BJ63:BK91" si="26">$BM$33</f>
        <v>Dairy_cow2_conv</v>
      </c>
      <c r="BK63" t="s">
        <v>127</v>
      </c>
      <c r="BL63">
        <f t="shared" ref="BL63:BM68" si="27">$B$48</f>
        <v>0</v>
      </c>
      <c r="BM63" s="64" t="str">
        <f>C48</f>
        <v>Kg</v>
      </c>
      <c r="BN63" s="32">
        <f>P48</f>
        <v>0</v>
      </c>
    </row>
    <row r="64" spans="1:67" x14ac:dyDescent="0.3">
      <c r="A64" s="18" t="s">
        <v>87</v>
      </c>
      <c r="B64" s="19"/>
      <c r="C64" s="11"/>
      <c r="D64" s="11"/>
      <c r="BI64">
        <f t="shared" si="25"/>
        <v>102</v>
      </c>
      <c r="BJ64" t="str">
        <f t="shared" si="26"/>
        <v>Dairy_cow2_conv</v>
      </c>
      <c r="BK64" t="s">
        <v>127</v>
      </c>
      <c r="BL64">
        <f t="shared" si="27"/>
        <v>0</v>
      </c>
      <c r="BM64" t="str">
        <f>$AF$34</f>
        <v>Ensilage_majs_conv</v>
      </c>
      <c r="BN64" s="32" t="str">
        <f>AF$48</f>
        <v/>
      </c>
    </row>
    <row r="65" spans="1:67" x14ac:dyDescent="0.3">
      <c r="A65" s="156" t="s">
        <v>56</v>
      </c>
      <c r="B65" s="159">
        <f>SUM(B63:B64)</f>
        <v>0</v>
      </c>
      <c r="C65" s="159">
        <f>SUM(C63:C64)</f>
        <v>600</v>
      </c>
      <c r="D65" s="159">
        <f>SUM(D63:D64)</f>
        <v>8</v>
      </c>
      <c r="BJ65">
        <f t="shared" si="25"/>
        <v>102</v>
      </c>
      <c r="BK65" t="str">
        <f t="shared" si="26"/>
        <v>Dairy_cow2_conv</v>
      </c>
      <c r="BL65" t="s">
        <v>127</v>
      </c>
      <c r="BM65">
        <f t="shared" si="27"/>
        <v>0</v>
      </c>
      <c r="BN65">
        <f>$AG$34</f>
        <v>0</v>
      </c>
      <c r="BO65" s="32">
        <f>AG$48</f>
        <v>0</v>
      </c>
    </row>
    <row r="66" spans="1:67" ht="17.399999999999999" x14ac:dyDescent="0.3">
      <c r="P66" s="31" t="s">
        <v>266</v>
      </c>
      <c r="Q66" s="31"/>
      <c r="BJ66">
        <f t="shared" si="25"/>
        <v>102</v>
      </c>
      <c r="BK66" t="str">
        <f t="shared" si="26"/>
        <v>Dairy_cow2_conv</v>
      </c>
      <c r="BL66" t="s">
        <v>127</v>
      </c>
      <c r="BM66">
        <f t="shared" si="27"/>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5"/>
        <v>102</v>
      </c>
      <c r="BK67" t="str">
        <f t="shared" si="26"/>
        <v>Dairy_cow2_conv</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f t="shared" ref="R68:R76" si="29">SUMPRODUCT(($D$68:$D$81=P68)*$L$68:$L$81)</f>
        <v>0.33539982596189405</v>
      </c>
      <c r="S68" s="49">
        <f t="shared" ref="S68:S76" si="30">IF(P68="","0",SUMPRODUCT(($D$68:$D$81=P68)*$K$68:$K$81))</f>
        <v>1.6769991298094702</v>
      </c>
      <c r="T68" s="49">
        <f>IF(R68&gt;0,0,(S68*VLOOKUP(P68,Other_tables!$L$5:$O$13,2,FALSE))/1000)</f>
        <v>0</v>
      </c>
      <c r="U68" s="95"/>
      <c r="BJ68">
        <f t="shared" si="25"/>
        <v>102</v>
      </c>
      <c r="BK68" t="str">
        <f t="shared" si="26"/>
        <v>Dairy_cow2_conv</v>
      </c>
      <c r="BL68" t="s">
        <v>127</v>
      </c>
      <c r="BM68">
        <f t="shared" si="27"/>
        <v>0</v>
      </c>
      <c r="BN68">
        <f>$AJ$34</f>
        <v>0</v>
      </c>
      <c r="BO68" s="32">
        <f>AJ$48</f>
        <v>0</v>
      </c>
    </row>
    <row r="69" spans="1:67" x14ac:dyDescent="0.3">
      <c r="A69" s="18" t="s">
        <v>45</v>
      </c>
      <c r="B69" s="38" t="s">
        <v>285</v>
      </c>
      <c r="C69" s="19">
        <v>168</v>
      </c>
      <c r="D69" s="11" t="s">
        <v>225</v>
      </c>
      <c r="E69" s="11" t="s">
        <v>81</v>
      </c>
      <c r="F69" s="5">
        <v>100</v>
      </c>
      <c r="G69" t="s">
        <v>230</v>
      </c>
      <c r="K69" s="49">
        <f t="shared" si="28"/>
        <v>392.59339431525729</v>
      </c>
      <c r="L69" s="49">
        <f>IF(E69="Diesel",VLOOKUP(D69,Other_tables!$L$5:$O$13,2,FALSE)*K69,0)</f>
        <v>0</v>
      </c>
      <c r="P69" s="30" t="str">
        <f>Other_tables!L6</f>
        <v>Lastbil &gt; 20 T</v>
      </c>
      <c r="Q69" s="44"/>
      <c r="R69" s="159">
        <f t="shared" si="29"/>
        <v>0</v>
      </c>
      <c r="S69" s="49">
        <f t="shared" si="30"/>
        <v>392.59339431525729</v>
      </c>
      <c r="T69" s="49">
        <f>IF(R69&gt;0,0,(S69*VLOOKUP(P69,Other_tables!$L$5:$O$13,2,FALSE))/1000)</f>
        <v>39.259339431525731</v>
      </c>
      <c r="U69" s="95"/>
      <c r="BJ69">
        <f t="shared" si="25"/>
        <v>102</v>
      </c>
      <c r="BK69" t="str">
        <f t="shared" si="26"/>
        <v>Dairy_cow2_conv</v>
      </c>
      <c r="BL69" t="s">
        <v>127</v>
      </c>
      <c r="BM69">
        <f t="shared" ref="BM69:BM74" si="31">$B$49</f>
        <v>0</v>
      </c>
      <c r="BN69" s="64" t="str">
        <f>C49</f>
        <v>Kg</v>
      </c>
      <c r="BO69" s="32">
        <f>P49</f>
        <v>0</v>
      </c>
    </row>
    <row r="70" spans="1:67" x14ac:dyDescent="0.3">
      <c r="A70" s="18" t="s">
        <v>46</v>
      </c>
      <c r="B70" s="38" t="s">
        <v>408</v>
      </c>
      <c r="C70" s="19">
        <v>133</v>
      </c>
      <c r="D70" s="11" t="s">
        <v>226</v>
      </c>
      <c r="E70" s="11" t="s">
        <v>81</v>
      </c>
      <c r="F70" s="5">
        <v>80</v>
      </c>
      <c r="G70" t="s">
        <v>683</v>
      </c>
      <c r="K70" s="49">
        <f t="shared" si="28"/>
        <v>107.08666790135149</v>
      </c>
      <c r="L70" s="49">
        <f>IF(E70="Diesel",VLOOKUP(D70,Other_tables!$L$5:$O$13,2,FALSE)*K70,0)</f>
        <v>0</v>
      </c>
      <c r="P70" s="30" t="str">
        <f>Other_tables!L7</f>
        <v>Lastbil 10-20 T</v>
      </c>
      <c r="Q70" s="44"/>
      <c r="R70" s="159">
        <f t="shared" si="29"/>
        <v>0</v>
      </c>
      <c r="S70" s="49">
        <f t="shared" si="30"/>
        <v>107.08666790135149</v>
      </c>
      <c r="T70" s="49">
        <f>IF(R70&gt;0,0,(S70*VLOOKUP(P70,Other_tables!$L$5:$O$13,2,FALSE))/1000)</f>
        <v>27.20001364694328</v>
      </c>
      <c r="BJ70">
        <f t="shared" si="25"/>
        <v>102</v>
      </c>
      <c r="BK70" t="str">
        <f t="shared" si="26"/>
        <v>Dairy_cow2_conv</v>
      </c>
      <c r="BL70" t="s">
        <v>127</v>
      </c>
      <c r="BM70">
        <f t="shared" si="31"/>
        <v>0</v>
      </c>
      <c r="BN70" t="str">
        <f>$AF$34</f>
        <v>Ensilage_majs_conv</v>
      </c>
      <c r="BO70" s="32" t="str">
        <f>AF$49</f>
        <v/>
      </c>
    </row>
    <row r="71" spans="1:67" x14ac:dyDescent="0.3">
      <c r="A71" s="18" t="s">
        <v>47</v>
      </c>
      <c r="B71" s="38" t="s">
        <v>408</v>
      </c>
      <c r="C71" s="19">
        <v>5</v>
      </c>
      <c r="D71" s="11" t="s">
        <v>229</v>
      </c>
      <c r="E71" s="11" t="s">
        <v>17</v>
      </c>
      <c r="F71" s="5">
        <v>20</v>
      </c>
      <c r="K71" s="49">
        <f t="shared" si="28"/>
        <v>1.0064536456893938</v>
      </c>
      <c r="L71" s="49">
        <f>IF(E71="Diesel",VLOOKUP(D71,Other_tables!$L$5:$O$13,2,FALSE)*K71,0)</f>
        <v>0.20129072913787877</v>
      </c>
      <c r="P71" s="30" t="str">
        <f>Other_tables!L8</f>
        <v>Lastbil &lt; 10 T</v>
      </c>
      <c r="Q71" s="44"/>
      <c r="R71" s="159">
        <f t="shared" si="29"/>
        <v>0</v>
      </c>
      <c r="S71" s="49">
        <f t="shared" si="30"/>
        <v>0</v>
      </c>
      <c r="T71" s="49">
        <f>IF(R71&gt;0,0,(S71*VLOOKUP(P71,Other_tables!$L$5:$O$13,2,FALSE))/1000)</f>
        <v>0</v>
      </c>
      <c r="BJ71">
        <f t="shared" si="25"/>
        <v>102</v>
      </c>
      <c r="BK71" t="str">
        <f t="shared" si="26"/>
        <v>Dairy_cow2_conv</v>
      </c>
      <c r="BL71" t="s">
        <v>127</v>
      </c>
      <c r="BM71">
        <f t="shared" si="31"/>
        <v>0</v>
      </c>
      <c r="BN71">
        <f>$AG$34</f>
        <v>0</v>
      </c>
      <c r="BO71" s="32">
        <f>AG$49</f>
        <v>0</v>
      </c>
    </row>
    <row r="72" spans="1:67" x14ac:dyDescent="0.3">
      <c r="A72" s="18" t="s">
        <v>67</v>
      </c>
      <c r="B72" s="38" t="s">
        <v>409</v>
      </c>
      <c r="C72" s="19">
        <v>5</v>
      </c>
      <c r="D72" s="11" t="s">
        <v>229</v>
      </c>
      <c r="E72" s="11" t="s">
        <v>17</v>
      </c>
      <c r="F72" s="5">
        <v>100</v>
      </c>
      <c r="K72" s="49">
        <f t="shared" si="28"/>
        <v>0.67054548412007642</v>
      </c>
      <c r="L72" s="49">
        <f>IF(E72="Diesel",VLOOKUP(D72,Other_tables!$L$5:$O$13,2,FALSE)*K72,0)</f>
        <v>0.13410909682401528</v>
      </c>
      <c r="P72" s="30" t="str">
        <f>Other_tables!L9</f>
        <v>Fragttog Europa</v>
      </c>
      <c r="Q72" s="44"/>
      <c r="R72" s="159">
        <f t="shared" si="29"/>
        <v>0</v>
      </c>
      <c r="S72" s="49">
        <f t="shared" si="30"/>
        <v>0</v>
      </c>
      <c r="T72" s="49">
        <f>IF(R72&gt;0,0,(S72*VLOOKUP(P72,Other_tables!$L$5:$O$13,2,FALSE))/1000)</f>
        <v>0</v>
      </c>
      <c r="BJ72">
        <f t="shared" si="25"/>
        <v>102</v>
      </c>
      <c r="BK72" t="str">
        <f t="shared" si="26"/>
        <v>Dairy_cow2_conv</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102</v>
      </c>
      <c r="BK73" t="str">
        <f t="shared" si="26"/>
        <v>Dairy_cow2_conv</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102</v>
      </c>
      <c r="BK74" t="str">
        <f t="shared" si="26"/>
        <v>Dairy_cow2_conv</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102</v>
      </c>
      <c r="BK75" t="str">
        <f t="shared" si="26"/>
        <v>Dairy_cow2_conv</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102</v>
      </c>
      <c r="BK76" t="str">
        <f t="shared" si="26"/>
        <v>Dairy_cow2_conv</v>
      </c>
      <c r="BL76" t="s">
        <v>127</v>
      </c>
      <c r="BM76" t="str">
        <f t="shared" si="33"/>
        <v>Loss</v>
      </c>
      <c r="BN76" t="str">
        <f>$AF$34</f>
        <v>Ensilage_majs_conv</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0.33539982596189405</v>
      </c>
      <c r="S77" s="57"/>
      <c r="T77" s="58">
        <f>SUM(T68:T76)</f>
        <v>66.459353078469007</v>
      </c>
      <c r="BJ77">
        <f t="shared" si="25"/>
        <v>102</v>
      </c>
      <c r="BK77" t="str">
        <f t="shared" si="26"/>
        <v>Dairy_cow2_conv</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102</v>
      </c>
      <c r="BK78" t="str">
        <f t="shared" si="26"/>
        <v>Dairy_cow2_conv</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102</v>
      </c>
      <c r="BK79" t="str">
        <f t="shared" si="26"/>
        <v>Dairy_cow2_conv</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102</v>
      </c>
      <c r="BK80" t="str">
        <f t="shared" si="26"/>
        <v>Dairy_cow2_conv</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102</v>
      </c>
      <c r="BK81" t="str">
        <f t="shared" si="26"/>
        <v>Dairy_cow2_conv</v>
      </c>
      <c r="BL81" t="s">
        <v>118</v>
      </c>
      <c r="BM81" t="s">
        <v>118</v>
      </c>
      <c r="BN81">
        <f>I53</f>
        <v>0</v>
      </c>
      <c r="BO81" s="47">
        <f>I59</f>
        <v>0</v>
      </c>
    </row>
    <row r="82" spans="1:67" ht="17.399999999999999" x14ac:dyDescent="0.3">
      <c r="A82" s="25"/>
      <c r="B82" s="25"/>
      <c r="C82" s="24"/>
      <c r="D82" s="24"/>
      <c r="P82" s="31" t="s">
        <v>95</v>
      </c>
      <c r="Q82" s="55"/>
      <c r="BJ82">
        <f t="shared" si="25"/>
        <v>102</v>
      </c>
      <c r="BK82" t="str">
        <f t="shared" si="26"/>
        <v>Dairy_cow2_conv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102</v>
      </c>
      <c r="BK83" t="str">
        <f t="shared" si="26"/>
        <v>Dairy_cow2_conv</v>
      </c>
      <c r="BL83" t="str">
        <f>$A$67</f>
        <v>Transport</v>
      </c>
      <c r="BM83" t="str">
        <f>BL83</f>
        <v>Transport</v>
      </c>
      <c r="BN83" t="str">
        <f>R67</f>
        <v>Diesel (L)</v>
      </c>
      <c r="BO83" s="47">
        <f>R77</f>
        <v>0.33539982596189405</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18.388148148148147</v>
      </c>
      <c r="S84" s="49">
        <f>IF(E84="",0,VLOOKUP(P84,$B$12:$D$18,3,FALSE)*E84)</f>
        <v>2.430617283950617</v>
      </c>
      <c r="BJ84">
        <f t="shared" si="25"/>
        <v>102</v>
      </c>
      <c r="BK84" t="str">
        <f t="shared" si="26"/>
        <v>Dairy_cow2_conv</v>
      </c>
      <c r="BL84" t="str">
        <f>$A$67</f>
        <v>Transport</v>
      </c>
      <c r="BM84" t="str">
        <f>BL84</f>
        <v>Transport</v>
      </c>
      <c r="BN84" t="str">
        <f>T67</f>
        <v>kg CO₂eq for T/km</v>
      </c>
      <c r="BO84" s="47">
        <f>T77</f>
        <v>66.459353078469007</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102</v>
      </c>
      <c r="BK85" t="str">
        <f t="shared" si="26"/>
        <v>Dairy_cow2_conv</v>
      </c>
      <c r="BL85" t="s">
        <v>120</v>
      </c>
      <c r="BM85" t="s">
        <v>120</v>
      </c>
      <c r="BN85" t="str">
        <f>R83</f>
        <v>EL (KWh)</v>
      </c>
      <c r="BO85" s="47">
        <f>R93</f>
        <v>18.388148148148147</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102</v>
      </c>
      <c r="BK86" t="str">
        <f t="shared" si="26"/>
        <v>Dairy_cow2_conv</v>
      </c>
      <c r="BL86" t="s">
        <v>120</v>
      </c>
      <c r="BM86" t="s">
        <v>120</v>
      </c>
      <c r="BN86" t="str">
        <f>S83</f>
        <v>Diesel (L)</v>
      </c>
      <c r="BO86" s="47">
        <f>S93</f>
        <v>2.430617283950617</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102</v>
      </c>
      <c r="BK87" t="str">
        <f t="shared" si="26"/>
        <v>Dairy_cow2_conv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102</v>
      </c>
      <c r="BK88" t="str">
        <f t="shared" si="26"/>
        <v>Dairy_cow2_conv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102</v>
      </c>
      <c r="BK89" t="str">
        <f t="shared" si="26"/>
        <v>Dairy_cow2_conv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102</v>
      </c>
      <c r="BK90" t="str">
        <f t="shared" si="26"/>
        <v>Dairy_cow2_conv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102</v>
      </c>
      <c r="BK91" t="str">
        <f t="shared" si="26"/>
        <v>Dairy_cow2_conv</v>
      </c>
      <c r="BL91" t="s">
        <v>125</v>
      </c>
      <c r="BM91" t="s">
        <v>125</v>
      </c>
      <c r="BN91" t="str">
        <f>T96</f>
        <v>Diesel (L)</v>
      </c>
      <c r="BO91">
        <f>E118</f>
        <v>0.40514358150535018</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18.388148148148147</v>
      </c>
      <c r="S93" s="58">
        <f>SUM(S84:S92)</f>
        <v>2.430617283950617</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409</v>
      </c>
      <c r="C109" s="19" t="s">
        <v>169</v>
      </c>
      <c r="D109" s="11"/>
      <c r="E109" s="206">
        <f>IF(C109="","",IF(VLOOKUP(C109,'Diesel consumption for field op'!$B$4:$E$78,3,FALSE)="L / ton",((VLOOKUP(C109,'Diesel consumption for field op'!$B$4:$E$78,2,FALSE)*1.007)*(VLOOKUP(B109,$B$12:$D$30,3,FALSE)/1000)/(VLOOKUP(B109,$B$12:$R$30,17,FALSE)/1000)),0))</f>
        <v>6.7523930250891692E-2</v>
      </c>
    </row>
    <row r="110" spans="1:20" x14ac:dyDescent="0.3">
      <c r="A110" s="18" t="s">
        <v>87</v>
      </c>
      <c r="B110" s="38" t="s">
        <v>409</v>
      </c>
      <c r="C110" s="19" t="s">
        <v>219</v>
      </c>
      <c r="D110" s="11"/>
      <c r="E110" s="206">
        <f>IF(C110="","",IF(VLOOKUP(C110,'Diesel consumption for field op'!$B$4:$E$78,3,FALSE)="L / ton",((VLOOKUP(C110,'Diesel consumption for field op'!$B$4:$E$78,2,FALSE)*1.007)*(VLOOKUP(B110,$B$12:$D$30,3,FALSE)/1000)/(VLOOKUP(B110,$B$12:$R$30,17,FALSE)/1000)),0))</f>
        <v>0.27009572100356677</v>
      </c>
    </row>
    <row r="111" spans="1:20" x14ac:dyDescent="0.3">
      <c r="A111" s="18" t="s">
        <v>88</v>
      </c>
      <c r="B111" s="38" t="s">
        <v>409</v>
      </c>
      <c r="C111" s="19" t="s">
        <v>173</v>
      </c>
      <c r="D111" s="11"/>
      <c r="E111" s="206">
        <f>IF(C111="","",IF(VLOOKUP(C111,'Diesel consumption for field op'!$B$4:$E$78,3,FALSE)="L / ton",((VLOOKUP(C111,'Diesel consumption for field op'!$B$4:$E$78,2,FALSE)*1.007)*(VLOOKUP(B111,$B$12:$D$30,3,FALSE)/1000)/(VLOOKUP(B111,$B$12:$R$30,17,FALSE)/1000)),0))</f>
        <v>6.7523930250891692E-2</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0.40514358150535018</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239</v>
      </c>
      <c r="B122" s="158"/>
      <c r="C122" s="248">
        <v>1.56050540224525</v>
      </c>
      <c r="D122" s="6" t="s">
        <v>409</v>
      </c>
      <c r="E122" s="165">
        <v>372.3</v>
      </c>
      <c r="F122" s="164">
        <f>VLOOKUP(A122,'Stable systems'!$A$4:$AK$105,35,FALSE)</f>
        <v>372.3</v>
      </c>
      <c r="G122" s="164">
        <f>VLOOKUP(A122,'Stable systems'!$A$4:$AK$105,36,FALSE)</f>
        <v>310.25</v>
      </c>
      <c r="H122" s="164">
        <f>VLOOKUP(A122,'Stable systems'!$A$4:$AK$105,37,FALSE)</f>
        <v>0</v>
      </c>
      <c r="M122" s="173">
        <f>(C122/100)*E122</f>
        <v>5.8097616125590656</v>
      </c>
    </row>
    <row r="123" spans="1:13" x14ac:dyDescent="0.3">
      <c r="A123" s="158" t="s">
        <v>240</v>
      </c>
      <c r="B123" s="158"/>
      <c r="C123" s="248">
        <v>2.3263292367225334</v>
      </c>
      <c r="D123" s="6" t="s">
        <v>409</v>
      </c>
      <c r="E123" s="165">
        <v>372.3</v>
      </c>
      <c r="F123" s="164">
        <f>VLOOKUP(A123,'Stable systems'!$A$4:$AK$105,35,FALSE)</f>
        <v>372.3</v>
      </c>
      <c r="G123" s="164">
        <f>VLOOKUP(A123,'Stable systems'!$A$4:$AK$105,36,FALSE)</f>
        <v>310.25</v>
      </c>
      <c r="H123" s="164">
        <f>VLOOKUP(A123,'Stable systems'!$A$4:$AK$105,37,FALSE)</f>
        <v>0</v>
      </c>
      <c r="M123" s="173">
        <f t="shared" ref="M123:M131" si="41">(C123/100)*E123</f>
        <v>8.6609237483179928</v>
      </c>
    </row>
    <row r="124" spans="1:13" x14ac:dyDescent="0.3">
      <c r="A124" s="158" t="s">
        <v>241</v>
      </c>
      <c r="B124" s="158"/>
      <c r="C124" s="248">
        <v>15.885185247205827</v>
      </c>
      <c r="D124" s="6" t="s">
        <v>409</v>
      </c>
      <c r="E124" s="165">
        <v>124.1</v>
      </c>
      <c r="F124" s="164">
        <f>VLOOKUP(A124,'Stable systems'!$A$4:$AK$105,35,FALSE)</f>
        <v>124.1</v>
      </c>
      <c r="G124" s="164">
        <f>VLOOKUP(A124,'Stable systems'!$A$4:$AK$105,36,FALSE)</f>
        <v>93.075000000000003</v>
      </c>
      <c r="H124" s="164">
        <f>VLOOKUP(A124,'Stable systems'!$A$4:$AK$105,37,FALSE)</f>
        <v>0</v>
      </c>
      <c r="M124" s="173">
        <f t="shared" si="41"/>
        <v>19.713514891782431</v>
      </c>
    </row>
    <row r="125" spans="1:13" x14ac:dyDescent="0.3">
      <c r="A125" s="158" t="s">
        <v>242</v>
      </c>
      <c r="B125" s="158"/>
      <c r="C125" s="248">
        <v>22.056750088954949</v>
      </c>
      <c r="D125" s="6" t="s">
        <v>409</v>
      </c>
      <c r="E125" s="165">
        <v>124.1</v>
      </c>
      <c r="F125" s="164">
        <f>VLOOKUP(A125,'Stable systems'!$A$4:$AK$105,35,FALSE)</f>
        <v>124.1</v>
      </c>
      <c r="G125" s="164">
        <f>VLOOKUP(A125,'Stable systems'!$A$4:$AK$105,36,FALSE)</f>
        <v>93.075000000000003</v>
      </c>
      <c r="H125" s="164">
        <f>VLOOKUP(A125,'Stable systems'!$A$4:$AK$105,37,FALSE)</f>
        <v>0</v>
      </c>
      <c r="M125" s="173">
        <f t="shared" si="41"/>
        <v>27.372426860393091</v>
      </c>
    </row>
    <row r="126" spans="1:13" x14ac:dyDescent="0.3">
      <c r="A126" s="158" t="s">
        <v>243</v>
      </c>
      <c r="B126" s="158"/>
      <c r="C126" s="248">
        <v>44.53855630633123</v>
      </c>
      <c r="D126" s="6" t="s">
        <v>409</v>
      </c>
      <c r="E126" s="165">
        <v>124.1</v>
      </c>
      <c r="F126" s="164">
        <f>VLOOKUP(A126,'Stable systems'!$A$4:$AK$105,35,FALSE)</f>
        <v>124.1</v>
      </c>
      <c r="G126" s="164">
        <f>VLOOKUP(A126,'Stable systems'!$A$4:$AK$105,36,FALSE)</f>
        <v>93.075000000000003</v>
      </c>
      <c r="H126" s="164">
        <f>VLOOKUP(A126,'Stable systems'!$A$4:$AK$105,37,FALSE)</f>
        <v>0</v>
      </c>
      <c r="M126" s="173">
        <f t="shared" si="41"/>
        <v>55.272348376157055</v>
      </c>
    </row>
    <row r="127" spans="1:13" x14ac:dyDescent="0.3">
      <c r="A127" s="158" t="s">
        <v>244</v>
      </c>
      <c r="B127" s="158"/>
      <c r="C127" s="248">
        <v>5.9050902477654352</v>
      </c>
      <c r="D127" s="6" t="s">
        <v>409</v>
      </c>
      <c r="E127" s="165">
        <v>124.1</v>
      </c>
      <c r="F127" s="164">
        <f>VLOOKUP(A127,'Stable systems'!$A$4:$AK$105,35,FALSE)</f>
        <v>124.1</v>
      </c>
      <c r="G127" s="164">
        <f>VLOOKUP(A127,'Stable systems'!$A$4:$AK$105,36,FALSE)</f>
        <v>93.075000000000003</v>
      </c>
      <c r="H127" s="164">
        <f>VLOOKUP(A127,'Stable systems'!$A$4:$AK$105,37,FALSE)</f>
        <v>0</v>
      </c>
      <c r="M127" s="173">
        <f t="shared" si="41"/>
        <v>7.328216997476904</v>
      </c>
    </row>
    <row r="128" spans="1:13" x14ac:dyDescent="0.3">
      <c r="A128" s="158" t="s">
        <v>245</v>
      </c>
      <c r="B128" s="158"/>
      <c r="C128" s="248">
        <v>5.5803561925559393</v>
      </c>
      <c r="D128" s="6" t="s">
        <v>409</v>
      </c>
      <c r="E128" s="165">
        <v>3723</v>
      </c>
      <c r="F128" s="164">
        <f>VLOOKUP(A128,'Stable systems'!$A$4:$AK$105,35,FALSE)</f>
        <v>3723</v>
      </c>
      <c r="G128" s="164">
        <f>VLOOKUP(A128,'Stable systems'!$A$4:$AK$105,36,FALSE)</f>
        <v>3102.5</v>
      </c>
      <c r="H128" s="164">
        <f>VLOOKUP(A128,'Stable systems'!$A$4:$AK$105,37,FALSE)</f>
        <v>0</v>
      </c>
      <c r="M128" s="173">
        <f t="shared" si="41"/>
        <v>207.75666104885764</v>
      </c>
    </row>
    <row r="129" spans="1:16" x14ac:dyDescent="0.3">
      <c r="A129" s="158" t="s">
        <v>246</v>
      </c>
      <c r="B129" s="158"/>
      <c r="C129" s="248">
        <v>0.46185145313268539</v>
      </c>
      <c r="D129" s="6" t="s">
        <v>409</v>
      </c>
      <c r="E129" s="165">
        <v>3102.5</v>
      </c>
      <c r="F129" s="164">
        <f>VLOOKUP(A129,'Stable systems'!$A$4:$AK$105,35,FALSE)</f>
        <v>3102.5</v>
      </c>
      <c r="G129" s="164">
        <f>VLOOKUP(A129,'Stable systems'!$A$4:$AK$105,36,FALSE)</f>
        <v>2482</v>
      </c>
      <c r="H129" s="164">
        <f>VLOOKUP(A129,'Stable systems'!$A$4:$AK$105,37,FALSE)</f>
        <v>0</v>
      </c>
      <c r="M129" s="173">
        <f t="shared" si="41"/>
        <v>14.328941333441565</v>
      </c>
    </row>
    <row r="130" spans="1:16" x14ac:dyDescent="0.3">
      <c r="A130" s="158" t="s">
        <v>247</v>
      </c>
      <c r="B130" s="158"/>
      <c r="C130" s="248">
        <v>0.59262303526873383</v>
      </c>
      <c r="D130" s="6" t="s">
        <v>409</v>
      </c>
      <c r="E130" s="165">
        <v>3102.5</v>
      </c>
      <c r="F130" s="164">
        <f>VLOOKUP(A130,'Stable systems'!$A$4:$AK$105,35,FALSE)</f>
        <v>3102.5</v>
      </c>
      <c r="G130" s="164">
        <f>VLOOKUP(A130,'Stable systems'!$A$4:$AK$105,36,FALSE)</f>
        <v>2482</v>
      </c>
      <c r="H130" s="164">
        <f>VLOOKUP(A130,'Stable systems'!$A$4:$AK$105,37,FALSE)</f>
        <v>0</v>
      </c>
      <c r="M130" s="173">
        <f t="shared" si="41"/>
        <v>18.386129669212469</v>
      </c>
    </row>
    <row r="131" spans="1:16" x14ac:dyDescent="0.3">
      <c r="A131" s="158" t="s">
        <v>248</v>
      </c>
      <c r="B131" s="158"/>
      <c r="C131" s="248">
        <v>1.0369081917741008</v>
      </c>
      <c r="D131" s="6" t="s">
        <v>409</v>
      </c>
      <c r="E131" s="165">
        <v>3102.5</v>
      </c>
      <c r="F131" s="164">
        <f>VLOOKUP(A131,'Stable systems'!$A$4:$AK$105,35,FALSE)</f>
        <v>3102.5</v>
      </c>
      <c r="G131" s="164">
        <f>VLOOKUP(A131,'Stable systems'!$A$4:$AK$105,36,FALSE)</f>
        <v>2482</v>
      </c>
      <c r="H131" s="164">
        <f>VLOOKUP(A131,'Stable systems'!$A$4:$AK$105,37,FALSE)</f>
        <v>0</v>
      </c>
      <c r="M131" s="173">
        <f t="shared" si="41"/>
        <v>32.170076649791476</v>
      </c>
    </row>
    <row r="132" spans="1:16" x14ac:dyDescent="0.3">
      <c r="A132" s="158" t="s">
        <v>249</v>
      </c>
      <c r="B132" s="158"/>
      <c r="C132" s="248">
        <v>5.5844598043303301E-2</v>
      </c>
      <c r="D132" s="6" t="s">
        <v>409</v>
      </c>
      <c r="E132" s="165">
        <v>3102.5</v>
      </c>
      <c r="F132" s="164">
        <f>VLOOKUP(A132,'Stable systems'!$A$4:$AK$105,35,FALSE)</f>
        <v>3102.5</v>
      </c>
      <c r="G132" s="164">
        <f>VLOOKUP(A132,'Stable systems'!$A$4:$AK$105,36,FALSE)</f>
        <v>2482</v>
      </c>
      <c r="H132" s="164">
        <f>VLOOKUP(A132,'Stable systems'!$A$4:$AK$105,37,FALSE)</f>
        <v>0</v>
      </c>
      <c r="M132" s="173">
        <f>(C132/100)*E132</f>
        <v>1.7325786542934849</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04">
        <f>SUM(C122:C134)</f>
        <v>99.999999999999972</v>
      </c>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398.53157984228318</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2.3441539573901986</v>
      </c>
      <c r="L146" s="49">
        <f>IF(E146="Diesel",VLOOKUP(D146,Other_tables!$L$5:$O$13,2,FALSE)*K146,0)</f>
        <v>0.46883079147803974</v>
      </c>
      <c r="P146" s="30" t="str">
        <f>Other_tables!L5</f>
        <v>Traktor</v>
      </c>
      <c r="Q146" s="44"/>
      <c r="R146" s="103">
        <f t="shared" ref="R146:R154" si="44">SUMPRODUCT(($D$146:$D$149=P146)*$L$146:$L$149)</f>
        <v>0.46883079147803974</v>
      </c>
      <c r="S146" s="114">
        <f t="shared" ref="S146:S154" si="45">IF(P146="","0",SUMPRODUCT(($D$146:$D$149=P146)*$K$146:$K$149))</f>
        <v>2.3441539573901986</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0.46883079147803974</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0.23605630350919299</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0.94422521403677195</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0.23605630350919299</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1.4163378210551578</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0.80423061743993385</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39.259339431525731</v>
      </c>
    </row>
    <row r="173" spans="1:20" x14ac:dyDescent="0.3">
      <c r="A173" s="25"/>
      <c r="B173" s="138"/>
      <c r="C173" s="138"/>
      <c r="P173" s="30" t="s">
        <v>226</v>
      </c>
      <c r="Q173" s="44"/>
      <c r="R173" s="103">
        <f t="shared" si="46"/>
        <v>0</v>
      </c>
      <c r="S173" s="179"/>
      <c r="T173" s="103">
        <f t="shared" si="47"/>
        <v>27.20001364694328</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6:20" x14ac:dyDescent="0.3">
      <c r="F177" s="183" t="s">
        <v>279</v>
      </c>
      <c r="G177" s="81">
        <f>B65+R106+C156</f>
        <v>0</v>
      </c>
      <c r="H177" s="81">
        <f>AC31+C65+R93+S106+D118+D156+D168</f>
        <v>618.38814814814816</v>
      </c>
      <c r="I177" s="81">
        <f>AB31+R77+D65+S93+T106+E118+R155+E156+E168</f>
        <v>52.808770474727119</v>
      </c>
      <c r="J177" s="114">
        <f>AD31+T77+T155</f>
        <v>66.459353078469007</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0.80423061743993385</v>
      </c>
      <c r="S180" s="47"/>
      <c r="T180" s="178">
        <f>SUM(T171:T179)</f>
        <v>66.459353078469007</v>
      </c>
    </row>
    <row r="223" spans="1:1" x14ac:dyDescent="0.3">
      <c r="A223" t="s">
        <v>232</v>
      </c>
    </row>
  </sheetData>
  <mergeCells count="23">
    <mergeCell ref="T34:X34"/>
    <mergeCell ref="E22:G22"/>
    <mergeCell ref="H22:I22"/>
    <mergeCell ref="K22:P22"/>
    <mergeCell ref="S22:Y22"/>
    <mergeCell ref="AB22:AD22"/>
    <mergeCell ref="AO22:AP22"/>
    <mergeCell ref="B6:C6"/>
    <mergeCell ref="A7:A9"/>
    <mergeCell ref="B7:C9"/>
    <mergeCell ref="E10:F10"/>
    <mergeCell ref="S10:Y10"/>
    <mergeCell ref="AO21:BH21"/>
    <mergeCell ref="AQ22:AT22"/>
    <mergeCell ref="AU22:AZ22"/>
    <mergeCell ref="BA22:BC22"/>
    <mergeCell ref="BD22:BF22"/>
    <mergeCell ref="BG22:BH22"/>
    <mergeCell ref="B3:C3"/>
    <mergeCell ref="B4:C4"/>
    <mergeCell ref="I4:J4"/>
    <mergeCell ref="B5:C5"/>
    <mergeCell ref="F3:G3"/>
  </mergeCells>
  <dataValidations count="3">
    <dataValidation type="list" allowBlank="1" showInputMessage="1" showErrorMessage="1" sqref="B109:B117 B84:B92 B68:B81" xr:uid="{00000000-0002-0000-0500-000000000000}">
      <formula1>$AF$3:$AF$51</formula1>
    </dataValidation>
    <dataValidation type="list" allowBlank="1" showInputMessage="1" showErrorMessage="1" sqref="B97:B105 B82 B144:B145" xr:uid="{00000000-0002-0000-0500-000001000000}">
      <formula1>$B$24:$B$30</formula1>
    </dataValidation>
    <dataValidation type="list" allowBlank="1" showInputMessage="1" showErrorMessage="1" sqref="B146:B149 B152:B155 B159:B167" xr:uid="{00000000-0002-0000-0500-000002000000}">
      <formula1>$B$140:$B$143</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3000000}">
          <x14:formula1>
            <xm:f>'Imported products'!$B$5:$B$54</xm:f>
          </x14:formula1>
          <xm:sqref>F12:F18 B17:B18 G24:G30</xm:sqref>
        </x14:dataValidation>
        <x14:dataValidation type="list" allowBlank="1" showInputMessage="1" showErrorMessage="1" xr:uid="{00000000-0002-0000-0500-000004000000}">
          <x14:formula1>
            <xm:f>Converted_feedstuff!$C$5:$C$54</xm:f>
          </x14:formula1>
          <xm:sqref>B24:B30 E24:E30</xm:sqref>
        </x14:dataValidation>
        <x14:dataValidation type="list" allowBlank="1" showInputMessage="1" showErrorMessage="1" xr:uid="{00000000-0002-0000-0500-000005000000}">
          <x14:formula1>
            <xm:f>Other_tables!$G$5:$G$12</xm:f>
          </x14:formula1>
          <xm:sqref>C54:C58 C172:C174</xm:sqref>
        </x14:dataValidation>
        <x14:dataValidation type="list" allowBlank="1" showInputMessage="1" showErrorMessage="1" xr:uid="{00000000-0002-0000-0500-000006000000}">
          <x14:formula1>
            <xm:f>'Diesel consumption for field op'!$B$4:$B$78</xm:f>
          </x14:formula1>
          <xm:sqref>C109:C117 C159:C167</xm:sqref>
        </x14:dataValidation>
        <x14:dataValidation type="list" allowBlank="1" showInputMessage="1" showErrorMessage="1" xr:uid="{00000000-0002-0000-0500-000007000000}">
          <x14:formula1>
            <xm:f>Other_tables!$S$5:$S$22</xm:f>
          </x14:formula1>
          <xm:sqref>C84:C92</xm:sqref>
        </x14:dataValidation>
        <x14:dataValidation type="list" allowBlank="1" showInputMessage="1" showErrorMessage="1" xr:uid="{00000000-0002-0000-0500-000008000000}">
          <x14:formula1>
            <xm:f>'Processed products'!$B$5:$B$104</xm:f>
          </x14:formula1>
          <xm:sqref>B35:B42 L35:M37</xm:sqref>
        </x14:dataValidation>
        <x14:dataValidation type="list" allowBlank="1" showInputMessage="1" showErrorMessage="1" xr:uid="{00000000-0002-0000-0500-000009000000}">
          <x14:formula1>
            <xm:f>Other_tables!$A$5:$A$50</xm:f>
          </x14:formula1>
          <xm:sqref>C19 C33</xm:sqref>
        </x14:dataValidation>
        <x14:dataValidation type="list" allowBlank="1" showInputMessage="1" showErrorMessage="1" xr:uid="{00000000-0002-0000-0500-00000A000000}">
          <x14:formula1>
            <xm:f>Biomass_pool_output_Tech1_modul!$A$3:$A$100</xm:f>
          </x14:formula1>
          <xm:sqref>B12:B16 B140:B143 E12:E18 D122:D135 F24:F30</xm:sqref>
        </x14:dataValidation>
        <x14:dataValidation type="list" allowBlank="1" showInputMessage="1" showErrorMessage="1" xr:uid="{00000000-0002-0000-0500-00000C000000}">
          <x14:formula1>
            <xm:f>Other_tables!$L$5:$L$13</xm:f>
          </x14:formula1>
          <xm:sqref>D146:D149 D68:D82</xm:sqref>
        </x14:dataValidation>
        <x14:dataValidation type="list" allowBlank="1" showInputMessage="1" showErrorMessage="1" xr:uid="{00000000-0002-0000-0500-00000D000000}">
          <x14:formula1>
            <xm:f>Other_tables!$Q$5:$Q$6</xm:f>
          </x14:formula1>
          <xm:sqref>E146:E149 E68:E82</xm:sqref>
        </x14:dataValidation>
        <x14:dataValidation type="list" allowBlank="1" showInputMessage="1" showErrorMessage="1" xr:uid="{00000000-0002-0000-0500-00000E000000}">
          <x14:formula1>
            <xm:f>'Respiration and enteric gas los'!$A$4:$A$35</xm:f>
          </x14:formula1>
          <xm:sqref>B54</xm:sqref>
        </x14:dataValidation>
        <x14:dataValidation type="list" allowBlank="1" showInputMessage="1" showErrorMessage="1" xr:uid="{00000000-0002-0000-0500-00000F000000}">
          <x14:formula1>
            <xm:f>'Respiration and enteric gas los'!$M$4:$M$35</xm:f>
          </x14:formula1>
          <xm:sqref>B55</xm:sqref>
        </x14:dataValidation>
        <x14:dataValidation type="list" allowBlank="1" showInputMessage="1" showErrorMessage="1" xr:uid="{00000000-0002-0000-0500-000011000000}">
          <x14:formula1>
            <xm:f>'Processed products'!$C$5:$C$104</xm:f>
          </x14:formula1>
          <xm:sqref>D4</xm:sqref>
        </x14:dataValidation>
        <x14:dataValidation type="list" allowBlank="1" showInputMessage="1" showErrorMessage="1" xr:uid="{00000000-0002-0000-0500-000012000000}">
          <x14:formula1>
            <xm:f>'Processed products'!$AJ$5:$AJ$104</xm:f>
          </x14:formula1>
          <xm:sqref>A136</xm:sqref>
        </x14:dataValidation>
        <x14:dataValidation type="list" allowBlank="1" showInputMessage="1" showErrorMessage="1" xr:uid="{F5931BAB-6109-4E36-97CD-D05CF8F0F091}">
          <x14:formula1>
            <xm:f>'Processed products'!$AJ$5:$AJ$250</xm:f>
          </x14:formula1>
          <xm:sqref>B45:B49</xm:sqref>
        </x14:dataValidation>
        <x14:dataValidation type="list" allowBlank="1" showInputMessage="1" showErrorMessage="1" xr:uid="{00000000-0002-0000-0500-000010000000}">
          <x14:formula1>
            <xm:f>'Stable systems'!$A$4:$A$105</xm:f>
          </x14:formula1>
          <xm:sqref>A122:A134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O245"/>
  <sheetViews>
    <sheetView topLeftCell="A48" workbookViewId="0">
      <selection activeCell="E60" sqref="E60"/>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Protein_2_org</v>
      </c>
    </row>
    <row r="4" spans="1:36" x14ac:dyDescent="0.3">
      <c r="A4" s="15" t="s">
        <v>31</v>
      </c>
      <c r="B4" s="299">
        <v>1011</v>
      </c>
      <c r="C4" s="299"/>
      <c r="D4" s="5" t="s">
        <v>535</v>
      </c>
      <c r="F4" s="150" t="s">
        <v>223</v>
      </c>
      <c r="G4" s="149">
        <v>15</v>
      </c>
      <c r="I4" s="302" t="s">
        <v>158</v>
      </c>
      <c r="J4" s="303"/>
      <c r="K4" s="128"/>
      <c r="L4" s="134" t="s">
        <v>207</v>
      </c>
      <c r="AF4" s="144" t="str">
        <f t="shared" ref="AF4:AF9" si="0">IF(B13="","",B13)</f>
        <v/>
      </c>
    </row>
    <row r="5" spans="1:36" x14ac:dyDescent="0.3">
      <c r="A5" s="15" t="s">
        <v>32</v>
      </c>
      <c r="B5" s="299" t="s">
        <v>606</v>
      </c>
      <c r="C5" s="299"/>
      <c r="D5" s="17" t="s">
        <v>627</v>
      </c>
      <c r="E5" t="s">
        <v>186</v>
      </c>
      <c r="F5" s="150" t="s">
        <v>224</v>
      </c>
      <c r="G5" s="149">
        <v>17</v>
      </c>
      <c r="I5" s="86" t="s">
        <v>159</v>
      </c>
      <c r="J5" s="5"/>
      <c r="L5" s="90">
        <v>3.14</v>
      </c>
      <c r="AF5" s="144" t="str">
        <f t="shared" si="0"/>
        <v/>
      </c>
    </row>
    <row r="6" spans="1:36" x14ac:dyDescent="0.3">
      <c r="A6" s="15" t="s">
        <v>3</v>
      </c>
      <c r="B6" s="299" t="s">
        <v>607</v>
      </c>
      <c r="C6" s="299"/>
      <c r="D6" s="5">
        <v>1.093</v>
      </c>
      <c r="F6" s="151" t="s">
        <v>147</v>
      </c>
      <c r="G6" s="88">
        <f>(Y32/D32)*100</f>
        <v>17.127918329261764</v>
      </c>
      <c r="I6" s="86" t="s">
        <v>160</v>
      </c>
      <c r="J6" s="5"/>
      <c r="L6" s="129"/>
      <c r="AF6" s="144" t="str">
        <f t="shared" si="0"/>
        <v>Grain_org</v>
      </c>
    </row>
    <row r="7" spans="1:36" ht="14.7" customHeight="1" x14ac:dyDescent="0.3">
      <c r="A7" s="295" t="s">
        <v>55</v>
      </c>
      <c r="B7" s="296" t="s">
        <v>581</v>
      </c>
      <c r="C7" s="296"/>
      <c r="D7" s="42"/>
      <c r="F7" s="152" t="s">
        <v>187</v>
      </c>
      <c r="G7" s="209">
        <v>514</v>
      </c>
      <c r="I7" s="86" t="s">
        <v>161</v>
      </c>
      <c r="J7" s="5"/>
      <c r="L7" s="131" t="s">
        <v>198</v>
      </c>
      <c r="AF7" s="144" t="str">
        <f t="shared" si="0"/>
        <v>Straw_org</v>
      </c>
    </row>
    <row r="8" spans="1:36" ht="15" thickBot="1" x14ac:dyDescent="0.35">
      <c r="A8" s="295"/>
      <c r="B8" s="296"/>
      <c r="C8" s="296"/>
      <c r="D8" s="47"/>
      <c r="F8" s="153" t="s">
        <v>197</v>
      </c>
      <c r="G8" s="102">
        <v>2715</v>
      </c>
      <c r="H8" t="s">
        <v>447</v>
      </c>
      <c r="I8" s="86" t="s">
        <v>162</v>
      </c>
      <c r="J8" s="80">
        <f>(383 *J6 + 242 *J7 + 783.2) *J5 / 3140</f>
        <v>0</v>
      </c>
      <c r="L8" s="90">
        <v>6.38</v>
      </c>
      <c r="AF8" s="144" t="str">
        <f t="shared" si="0"/>
        <v>Skim_milk_powder_imp_org</v>
      </c>
    </row>
    <row r="9" spans="1:36" ht="30" customHeight="1" x14ac:dyDescent="0.3">
      <c r="A9" s="295"/>
      <c r="B9" s="296"/>
      <c r="C9" s="296"/>
      <c r="I9" s="130"/>
      <c r="L9" s="129"/>
      <c r="AF9" s="144" t="str">
        <f t="shared" si="0"/>
        <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442</v>
      </c>
      <c r="C12" s="217" t="s">
        <v>43</v>
      </c>
      <c r="D12" s="227">
        <v>84</v>
      </c>
      <c r="E12" s="218"/>
      <c r="F12" s="218" t="s">
        <v>443</v>
      </c>
      <c r="G12" s="219">
        <v>0</v>
      </c>
      <c r="I12" s="87" t="s">
        <v>201</v>
      </c>
      <c r="J12" s="107">
        <v>1.54</v>
      </c>
      <c r="K12" s="107">
        <v>1.58</v>
      </c>
      <c r="L12" s="102">
        <v>1.58</v>
      </c>
      <c r="R12" s="51">
        <f>(IF($T12=0,"0",VLOOKUP($B12,Biomass_pool_output_Tech1_modul!$A$3:$G$100,7,FALSE)))</f>
        <v>854.36833436743996</v>
      </c>
      <c r="S12" s="44"/>
      <c r="T12" s="34">
        <f>IF($B12="","0",(VLOOKUP($B12,Biomass_pool_output_Tech1_modul!$A$3:$F$100,2,FALSE)*($D12)/1000))</f>
        <v>37.799999999999997</v>
      </c>
      <c r="U12" s="34">
        <f>IF($B12="","0",(VLOOKUP($B12,Biomass_pool_output_Tech1_modul!$A$3:$F$100,3,FALSE)*($D12)/1000))</f>
        <v>3.6773467932282395</v>
      </c>
      <c r="V12" s="34">
        <f>IF($B12="","0",(VLOOKUP($B12,Biomass_pool_output_Tech1_modul!$A$3:$F$100,4,FALSE)*($D12)/1000))</f>
        <v>0.53881432011322861</v>
      </c>
      <c r="W12" s="34">
        <f>IF($B12="","0",(VLOOKUP($B12,Biomass_pool_output_Tech1_modul!$A$3:$F$100,5,FALSE)*($D12)/1000))</f>
        <v>1.0691054331945706</v>
      </c>
      <c r="X12" s="34">
        <f>IF($B12="","0",(VLOOKUP($B12,Biomass_pool_output_Tech1_modul!$A$3:$F$100,6,FALSE)*$D12))</f>
        <v>1681.5150909401964</v>
      </c>
      <c r="Y12" s="34">
        <f>U12*6.25</f>
        <v>22.983417457676499</v>
      </c>
      <c r="AA12" s="53"/>
      <c r="AB12" s="53"/>
      <c r="AC12" s="53"/>
      <c r="AD12" s="53"/>
      <c r="AF12" s="144" t="str">
        <f t="shared" si="1"/>
        <v/>
      </c>
      <c r="AG12" s="53"/>
      <c r="AH12" s="53"/>
      <c r="AI12" s="53"/>
      <c r="AJ12" s="53"/>
    </row>
    <row r="13" spans="1:36" x14ac:dyDescent="0.3">
      <c r="A13" s="211" t="s">
        <v>318</v>
      </c>
      <c r="B13" s="212"/>
      <c r="C13" s="213" t="s">
        <v>43</v>
      </c>
      <c r="D13" s="228"/>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27">
        <v>430</v>
      </c>
      <c r="E15" s="218"/>
      <c r="F15" s="226" t="s">
        <v>538</v>
      </c>
      <c r="G15" s="219"/>
      <c r="R15" s="51">
        <f>(IF($T15=0,"0",VLOOKUP($B15,Biomass_pool_output_Tech1_modul!$A$3:$G$100,7,FALSE)))</f>
        <v>850.11622419383002</v>
      </c>
      <c r="S15" s="44"/>
      <c r="T15" s="34">
        <f>IF($B15="","0",(VLOOKUP($B15,Biomass_pool_output_Tech1_modul!$A$3:$F$100,2,FALSE)*($D15)/1000))</f>
        <v>193.5</v>
      </c>
      <c r="U15" s="34">
        <f>IF($B15="","0",(VLOOKUP($B15,Biomass_pool_output_Tech1_modul!$A$3:$F$100,3,FALSE)*($D15)/1000))</f>
        <v>6.8652014481979728</v>
      </c>
      <c r="V15" s="34">
        <f>IF($B15="","0",(VLOOKUP($B15,Biomass_pool_output_Tech1_modul!$A$3:$F$100,4,FALSE)*($D15)/1000))</f>
        <v>1.3750972407299746</v>
      </c>
      <c r="W15" s="34">
        <f>IF($B15="","0",(VLOOKUP($B15,Biomass_pool_output_Tech1_modul!$A$3:$F$100,5,FALSE)*($D15)/1000))</f>
        <v>2.007244724358602</v>
      </c>
      <c r="X15" s="34">
        <f>IF($B15="","0",(VLOOKUP($B15,Biomass_pool_output_Tech1_modul!$A$3:$F$100,6,FALSE)*$D15))</f>
        <v>8294.2125755786637</v>
      </c>
      <c r="Y15" s="34">
        <f t="shared" si="2"/>
        <v>42.907509051237334</v>
      </c>
      <c r="AA15" s="53"/>
      <c r="AB15" s="53"/>
      <c r="AC15" s="53"/>
      <c r="AD15" s="53"/>
      <c r="AF15" s="144" t="str">
        <f t="shared" si="1"/>
        <v/>
      </c>
      <c r="AG15" s="53"/>
      <c r="AH15" s="53"/>
      <c r="AI15" s="53"/>
      <c r="AJ15" s="53"/>
    </row>
    <row r="16" spans="1:36" x14ac:dyDescent="0.3">
      <c r="A16" s="211" t="s">
        <v>107</v>
      </c>
      <c r="B16" s="212" t="s">
        <v>432</v>
      </c>
      <c r="C16" s="213" t="s">
        <v>43</v>
      </c>
      <c r="D16" s="228">
        <v>15</v>
      </c>
      <c r="E16" s="214"/>
      <c r="F16" s="225"/>
      <c r="R16" s="51">
        <f>(IF($T16=0,"0",VLOOKUP($B16,Biomass_pool_output_Tech1_modul!$A$3:$G$100,7,FALSE)))</f>
        <v>850.96796238432705</v>
      </c>
      <c r="S16" s="44"/>
      <c r="T16" s="34">
        <f>IF($B16="","0",(VLOOKUP($B16,Biomass_pool_output_Tech1_modul!$A$3:$F$100,2,FALSE)*($D16)/1000))</f>
        <v>6.75</v>
      </c>
      <c r="U16" s="34">
        <f>IF($B16="","0",(VLOOKUP($B16,Biomass_pool_output_Tech1_modul!$A$3:$F$100,3,FALSE)*($D16)/1000))</f>
        <v>0.1032350711641692</v>
      </c>
      <c r="V16" s="34">
        <f>IF($B16="","0",(VLOOKUP($B16,Biomass_pool_output_Tech1_modul!$A$3:$F$100,4,FALSE)*($D16)/1000))</f>
        <v>1.5278407087162198E-2</v>
      </c>
      <c r="W16" s="34">
        <f>IF($B16="","0",(VLOOKUP($B16,Biomass_pool_output_Tech1_modul!$A$3:$F$100,5,FALSE)*($D16)/1000))</f>
        <v>0.22463998634003399</v>
      </c>
      <c r="X16" s="34">
        <f>IF($B16="","0",(VLOOKUP($B16,Biomass_pool_output_Tech1_modul!$A$3:$F$100,6,FALSE)*$D16))</f>
        <v>272.36859117481799</v>
      </c>
      <c r="Y16" s="34">
        <f t="shared" si="2"/>
        <v>0.64521919477605749</v>
      </c>
      <c r="AA16" s="120"/>
      <c r="AB16" s="120"/>
      <c r="AC16" s="120"/>
      <c r="AD16" s="120"/>
      <c r="AE16" s="120"/>
      <c r="AF16" s="144" t="str">
        <f t="shared" si="1"/>
        <v/>
      </c>
      <c r="AG16" s="120"/>
      <c r="AH16" s="120"/>
      <c r="AI16" s="121"/>
      <c r="AJ16" s="121"/>
    </row>
    <row r="17" spans="1:65" x14ac:dyDescent="0.3">
      <c r="A17" s="18" t="s">
        <v>420</v>
      </c>
      <c r="B17" s="19" t="s">
        <v>608</v>
      </c>
      <c r="C17" s="28" t="s">
        <v>43</v>
      </c>
      <c r="D17" s="230">
        <v>44</v>
      </c>
      <c r="E17" s="5"/>
      <c r="F17" s="126"/>
      <c r="R17" s="51">
        <f>(IF(B17="",0,VLOOKUP($B17,'Imported products'!$B$5:$O$54,5,FALSE)))</f>
        <v>960</v>
      </c>
      <c r="S17" s="44"/>
      <c r="T17" s="34">
        <f>IF($B17="","0",(VLOOKUP($B17,'Imported products'!$B$5:$O$54,9,FALSE)*($D17)/1000))</f>
        <v>19.8</v>
      </c>
      <c r="U17" s="34">
        <f>IF($B17="","0",(VLOOKUP($B17,'Imported products'!$B$5:$O$54,10,FALSE)*($D17)/1000))</f>
        <v>2.5448275862068961</v>
      </c>
      <c r="V17" s="34">
        <f>IF($B17="","0",(VLOOKUP($B17,'Imported products'!$B$5:$O$54,11,FALSE)*($D17)/1000))</f>
        <v>0.44879999999999998</v>
      </c>
      <c r="W17" s="34">
        <f>IF($B17="","0",(VLOOKUP($B17,'Imported products'!$B$5:$O$54,12,FALSE)*($D17)/1000))</f>
        <v>0.61599999999999999</v>
      </c>
      <c r="X17" s="34">
        <f>IF($B17="","0",(VLOOKUP($B17,'Imported products'!$B$5:$O$54,13,FALSE)*($D17)/1000))</f>
        <v>0.84040000000000004</v>
      </c>
      <c r="Y17" s="34">
        <f>IF($B17="","0",(VLOOKUP($B17,'Imported products'!$B$5:$O$54,14,FALSE)*($D17)/1000))</f>
        <v>16.236000000000001</v>
      </c>
      <c r="AA17" s="110"/>
      <c r="AF17" s="144" t="str">
        <f>IF(F12="","",F12)</f>
        <v>Rapskage_imp_org</v>
      </c>
      <c r="AH17" s="110"/>
    </row>
    <row r="18" spans="1:65" x14ac:dyDescent="0.3">
      <c r="A18" s="18" t="s">
        <v>414</v>
      </c>
      <c r="B18" s="19"/>
      <c r="C18" s="28" t="s">
        <v>43</v>
      </c>
      <c r="D18" s="230"/>
      <c r="E18" s="5"/>
      <c r="F18" s="126"/>
      <c r="I18" s="47"/>
      <c r="R18" s="51">
        <f>(IF(B18="",0,VLOOKUP($B18,'Imported products'!$B$5:$O$54,5,FALSE)))</f>
        <v>0</v>
      </c>
      <c r="S18" s="44"/>
      <c r="T18" s="34" t="str">
        <f>IF($B18="","0",(VLOOKUP($B18,'Imported products'!$B$5:$O$54,9,FALSE)*($D18)/1000))</f>
        <v>0</v>
      </c>
      <c r="U18" s="34" t="str">
        <f>IF($B18="","0",(VLOOKUP($B18,'Imported products'!$B$5:$O$54,10,FALSE)*($D18)/1000))</f>
        <v>0</v>
      </c>
      <c r="V18" s="34" t="str">
        <f>IF($B18="","0",(VLOOKUP($B18,'Imported products'!$B$5:$O$54,11,FALSE)*($D18)/1000))</f>
        <v>0</v>
      </c>
      <c r="W18" s="34" t="str">
        <f>IF($B18="","0",(VLOOKUP($B18,'Imported products'!$B$5:$O$54,12,FALSE)*($D18)/1000))</f>
        <v>0</v>
      </c>
      <c r="X18" s="34" t="str">
        <f>IF($B18="","0",(VLOOKUP($B18,'Imported products'!$B$5:$O$54,13,FALSE)*($D18)/1000))</f>
        <v>0</v>
      </c>
      <c r="Y18" s="34" t="str">
        <f>IF($B18="","0",(VLOOKUP($B18,'Imported products'!$B$5:$O$54,14,FALSE)*($D18)/1000))</f>
        <v>0</v>
      </c>
      <c r="AA18" s="110"/>
      <c r="AF18" s="144" t="str">
        <f t="shared" ref="AF18:AF23" si="3">IF(F13="","",F13)</f>
        <v/>
      </c>
      <c r="AH18" s="110"/>
    </row>
    <row r="19" spans="1:65" x14ac:dyDescent="0.3">
      <c r="A19" s="25"/>
      <c r="B19" s="243"/>
      <c r="C19" s="244"/>
      <c r="D19" s="244"/>
      <c r="R19" s="52"/>
      <c r="AA19" s="110"/>
      <c r="AF19" s="144" t="str">
        <f t="shared" si="3"/>
        <v/>
      </c>
    </row>
    <row r="20" spans="1:65" x14ac:dyDescent="0.3">
      <c r="A20" s="18" t="s">
        <v>113</v>
      </c>
      <c r="B20" s="40"/>
      <c r="C20" s="28" t="s">
        <v>43</v>
      </c>
      <c r="D20" s="51">
        <f>SUM(D12:D18)</f>
        <v>573</v>
      </c>
      <c r="R20" s="82">
        <f>(D12*R12+D13*R13+D14*R14+D15*R15+D16*R16+D17*R17+D18*R18)/D20</f>
        <v>859.19971365790013</v>
      </c>
      <c r="S20" s="45"/>
      <c r="T20" s="116">
        <f t="shared" ref="T20:X20" si="4">SUM(T12:T18)</f>
        <v>257.85000000000002</v>
      </c>
      <c r="U20" s="116">
        <f t="shared" si="4"/>
        <v>13.190610898797278</v>
      </c>
      <c r="V20" s="116">
        <f t="shared" si="4"/>
        <v>2.3779899679303651</v>
      </c>
      <c r="W20" s="116">
        <f t="shared" si="4"/>
        <v>3.9169901438932069</v>
      </c>
      <c r="X20" s="116">
        <f t="shared" si="4"/>
        <v>10248.936657693677</v>
      </c>
      <c r="Y20" s="116">
        <f>SUM(Y12:Y18)</f>
        <v>82.772145703689901</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t="s">
        <v>783</v>
      </c>
      <c r="C24" s="28" t="s">
        <v>43</v>
      </c>
      <c r="D24" s="6">
        <v>900</v>
      </c>
      <c r="E24" s="5"/>
      <c r="F24" s="5"/>
      <c r="G24" s="5"/>
      <c r="H24" s="30" t="str">
        <f>IF(B24="","",VLOOKUP(B24,Converted_feedstuff!$C$5:$E$54,3,FALSE))</f>
        <v>Grass_and_grass_clover_org</v>
      </c>
      <c r="I24" s="80">
        <f>D24/((100-VLOOKUP(B24,Converted_feedstuff!$C$5:$F$54,4,FALSE))/100)</f>
        <v>1000</v>
      </c>
      <c r="K24" s="30">
        <f>IF(B24="",0,VLOOKUP(B24,Converted_feedstuff!$C$5:$D$54,2,FALSE))</f>
        <v>180</v>
      </c>
      <c r="L24" s="80">
        <f>IF($B24="","",((VLOOKUP($B24,Converted_feedstuff!$C$5:$AM$54,33,FALSE))*((100-VLOOKUP($B24,Converted_feedstuff!$C$5:$K$54,5,FALSE))/100))/((100-VLOOKUP($B24,Converted_feedstuff!$C$5:$K$54,4,FALSE))/100))</f>
        <v>450.00007165681598</v>
      </c>
      <c r="M24" s="81">
        <f>IF($B24="","",((VLOOKUP($B24,Converted_feedstuff!$C$5:$AM$54,34,FALSE))*((100-VLOOKUP($B24,Converted_feedstuff!$C$5:$K$54,6,FALSE))/100))/((100-VLOOKUP($B24,Converted_feedstuff!$C$5:$K$54,4,FALSE))/100))</f>
        <v>26.523962609150399</v>
      </c>
      <c r="N24" s="81">
        <f>IF($B24="","",((VLOOKUP($B24,Converted_feedstuff!$C$5:$AM$54,35,FALSE))*((100-VLOOKUP($B24,Converted_feedstuff!$C$5:$K$54,7,FALSE))/100))/((100-VLOOKUP($B24,Converted_feedstuff!$C$5:$K$54,4,FALSE))/100))</f>
        <v>3.6055782621371102</v>
      </c>
      <c r="O24" s="81">
        <f>IF($B24="","",((VLOOKUP($B24,Converted_feedstuff!$C$5:$AM$54,36,FALSE))*((100-VLOOKUP($B24,Converted_feedstuff!$C$5:$K$54,8,FALSE))/100))/((100-VLOOKUP($B24,Converted_feedstuff!$C$5:$K$54,4,FALSE))/100))</f>
        <v>27.561193702598601</v>
      </c>
      <c r="P24" s="81">
        <f>IF($B24="","",((VLOOKUP($B24,Converted_feedstuff!$C$5:$AM$49,37,FALSE))*((100-VLOOKUP($B24,Converted_feedstuff!$C$5:$K$54,9,FALSE))/100))/((100-VLOOKUP($B24,Converted_feedstuff!$C$5:$K$54,4,FALSE))/100))</f>
        <v>16.528960088099701</v>
      </c>
      <c r="R24" s="51">
        <f>K24</f>
        <v>180</v>
      </c>
      <c r="S24" s="44"/>
      <c r="T24" s="34">
        <f t="shared" ref="T24:W30" si="5">IF($D24="",0,$D24*(L24/1000))</f>
        <v>405.00006449113437</v>
      </c>
      <c r="U24" s="34">
        <f t="shared" si="5"/>
        <v>23.871566348235358</v>
      </c>
      <c r="V24" s="34">
        <f t="shared" si="5"/>
        <v>3.2450204359233989</v>
      </c>
      <c r="W24" s="34">
        <f t="shared" si="5"/>
        <v>24.805074332338741</v>
      </c>
      <c r="X24" s="34">
        <f>IF($D24="",0,$D24*P24)</f>
        <v>14876.064079289732</v>
      </c>
      <c r="Y24" s="81">
        <f>U24*6.25</f>
        <v>149.197289676471</v>
      </c>
      <c r="AB24" s="114">
        <f>IF(B24="",0,(VLOOKUP(B24,Converted_feedstuff!$C$5:$BH$54,58,FALSE)*$I24))</f>
        <v>-12.14345448047348</v>
      </c>
      <c r="AC24" s="30"/>
      <c r="AD24" s="30"/>
      <c r="AF24" s="144" t="str">
        <f>IF(B24="","",B24)</f>
        <v>Afgraesning_1_grazed_org</v>
      </c>
      <c r="AO24" s="80" t="e">
        <f>IF($B24="","",(((((Converted_feedstuff!#REF!/100)*Converted_feedstuff!F5)/100)*1000)*$I24)/1000)</f>
        <v>#REF!</v>
      </c>
      <c r="AP24" s="80" t="e">
        <f>IF($B24="","",(((((Converted_feedstuff!#REF!/100)*Converted_feedstuff!F5)/100)*1000)*$I24)/1000)</f>
        <v>#REF!</v>
      </c>
      <c r="AQ24" s="80" t="e">
        <f>IF($B24="","",(((((Converted_feedstuff!#REF!/100)*Converted_feedstuff!G5)/100)*Converted_feedstuff!AI5)*$I24)/1000)</f>
        <v>#REF!</v>
      </c>
      <c r="AR24" s="80">
        <f>IF($B24="","",(((((Converted_feedstuff!U5/100)*Converted_feedstuff!G5)/100)*Converted_feedstuff!AI5)*$I24)/1000)</f>
        <v>0</v>
      </c>
      <c r="AS24" s="80">
        <f>IF($B24="","",(((((Converted_feedstuff!V5/100)*Converted_feedstuff!G5)/100)*Converted_feedstuff!AI5)*$I24)/1000)</f>
        <v>0</v>
      </c>
      <c r="AT24" s="80">
        <f>IF($B24="","",(((((Converted_feedstuff!W5/100)*Converted_feedstuff!G5)/100)*Converted_feedstuff!AI5)*$I24)/1000)</f>
        <v>0</v>
      </c>
      <c r="AU24" s="80" t="e">
        <f>IF($B24="","",(((((Converted_feedstuff!#REF!/100)*Converted_feedstuff!H5)/100)*Converted_feedstuff!AJ5)*$I24)/1000)</f>
        <v>#REF!</v>
      </c>
      <c r="AV24" s="80">
        <f>IF($B24="","",(((((Converted_feedstuff!X5/100)*Converted_feedstuff!H5)/100)*Converted_feedstuff!AJ5)*$I24)/1000)</f>
        <v>0</v>
      </c>
      <c r="AW24" s="80">
        <f>IF($B24="","",(((((Converted_feedstuff!Y5/100)*Converted_feedstuff!H5)/100)*Converted_feedstuff!AJ5)*$I24)/1000)</f>
        <v>0</v>
      </c>
      <c r="AX24" s="80">
        <f>IF($B24="","",(((((Converted_feedstuff!Z5/100)*Converted_feedstuff!H5)/100)*Converted_feedstuff!AJ5)*$I24)/1000)</f>
        <v>0</v>
      </c>
      <c r="AY24" s="80">
        <f>IF($B24="","",(((((Converted_feedstuff!AA5/100)*Converted_feedstuff!H5)/100)*Converted_feedstuff!AJ5)*$I24)/1000)</f>
        <v>0</v>
      </c>
      <c r="AZ24" s="80">
        <f>IF($B24="","",(((((Converted_feedstuff!AB5/100)*Converted_feedstuff!H5)/100)*Converted_feedstuff!AJ5)*$I24)/1000)</f>
        <v>0</v>
      </c>
      <c r="BA24" s="80" t="e">
        <f>IF($B24="","",(((((Converted_feedstuff!#REF!/100)*Converted_feedstuff!I5)/100)*Converted_feedstuff!AK5)*$I24)/1000)</f>
        <v>#REF!</v>
      </c>
      <c r="BB24" s="80">
        <f>IF($B24="","",(((((Converted_feedstuff!AC5/100)*Converted_feedstuff!I5)/100)*Converted_feedstuff!AK5)*$I24)/1000)</f>
        <v>0</v>
      </c>
      <c r="BC24" s="80">
        <f>IF($B24="","",(((((Converted_feedstuff!AD5/100)*Converted_feedstuff!I5)/100)*Converted_feedstuff!AK5)*$I24)/1000)</f>
        <v>0</v>
      </c>
      <c r="BD24" s="80" t="e">
        <f>IF($B24="","",(((((Converted_feedstuff!#REF!/100)*Converted_feedstuff!J5)/100)*Converted_feedstuff!AL5)*$I24)/1000)</f>
        <v>#REF!</v>
      </c>
      <c r="BE24" s="80">
        <f>IF($B24="","",(((((Converted_feedstuff!AE5/100)*Converted_feedstuff!J5)/100)*Converted_feedstuff!AL5)*$I24)/1000)</f>
        <v>0</v>
      </c>
      <c r="BF24" s="80">
        <f>IF($B24="","",(((((Converted_feedstuff!AF5/100)*Converted_feedstuff!J5)/100)*Converted_feedstuff!AL5)*$I24)/1000)</f>
        <v>0</v>
      </c>
      <c r="BG24" s="80" t="e">
        <f>IF($B24="","",((((Converted_feedstuff!#REF!/100)*Converted_feedstuff!K5)/100)*Converted_feedstuff!AM5)*$I24)</f>
        <v>#REF!</v>
      </c>
      <c r="BH24" s="80" t="e">
        <f>IF($B24="","",((((Converted_feedstuff!#REF!/100)*Converted_feedstuff!K5)/100)*Converted_feedstuff!AM5)*$I24)</f>
        <v>#REF!</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t="s">
        <v>430</v>
      </c>
      <c r="C28" s="28" t="s">
        <v>43</v>
      </c>
      <c r="D28" s="6">
        <v>1242</v>
      </c>
      <c r="E28" s="5" t="s">
        <v>438</v>
      </c>
      <c r="F28" s="5"/>
      <c r="G28" s="126"/>
      <c r="H28" s="30" t="str">
        <f>IF(B28="","",VLOOKUP(B28,Converted_feedstuff!$C$5:$E$54,3,FALSE))</f>
        <v>Grass_and_grass_clover_org</v>
      </c>
      <c r="I28" s="80">
        <f>D28/((100-VLOOKUP(B28,Converted_feedstuff!$C$5:$F$54,4,FALSE))/100)</f>
        <v>1462.8975265017666</v>
      </c>
      <c r="K28" s="30">
        <f>IF(B28="",0,VLOOKUP(B28,Converted_feedstuff!$C$5:$D$54,2,FALSE))</f>
        <v>359</v>
      </c>
      <c r="L28" s="80">
        <f>IF($B28="","",((VLOOKUP($B28,Converted_feedstuff!$C$5:$AM$54,33,FALSE))*((100-VLOOKUP($B28,Converted_feedstuff!$C$5:$K$54,5,FALSE))/100))/((100-VLOOKUP($B28,Converted_feedstuff!$C$5:$K$54,4,FALSE))/100))</f>
        <v>450.00007165681598</v>
      </c>
      <c r="M28" s="81">
        <f>IF($B28="","",((VLOOKUP($B28,Converted_feedstuff!$C$5:$AM$54,34,FALSE))*((100-VLOOKUP($B28,Converted_feedstuff!$C$5:$K$54,6,FALSE))/100))/((100-VLOOKUP($B28,Converted_feedstuff!$C$5:$K$54,4,FALSE))/100))</f>
        <v>30.023001257236196</v>
      </c>
      <c r="N28" s="81">
        <f>IF($B28="","",((VLOOKUP($B28,Converted_feedstuff!$C$5:$AM$54,35,FALSE))*((100-VLOOKUP($B28,Converted_feedstuff!$C$5:$K$54,7,FALSE))/100))/((100-VLOOKUP($B28,Converted_feedstuff!$C$5:$K$54,4,FALSE))/100))</f>
        <v>4.2468530767221555</v>
      </c>
      <c r="O28" s="81">
        <f>IF($B28="","",((VLOOKUP($B28,Converted_feedstuff!$C$5:$AM$54,36,FALSE))*((100-VLOOKUP($B28,Converted_feedstuff!$C$5:$K$54,8,FALSE))/100))/((100-VLOOKUP($B28,Converted_feedstuff!$C$5:$K$54,4,FALSE))/100))</f>
        <v>32.463125680328147</v>
      </c>
      <c r="P28" s="81">
        <f>IF($B28="","",((VLOOKUP($B28,Converted_feedstuff!$C$5:$AM$49,37,FALSE))*((100-VLOOKUP($B28,Converted_feedstuff!$C$5:$K$54,9,FALSE))/100))/((100-VLOOKUP($B28,Converted_feedstuff!$C$5:$K$54,4,FALSE))/100))</f>
        <v>16.528960088099701</v>
      </c>
      <c r="R28" s="51">
        <f t="shared" si="6"/>
        <v>359</v>
      </c>
      <c r="S28" s="44"/>
      <c r="T28" s="34">
        <f t="shared" si="5"/>
        <v>558.90008899776547</v>
      </c>
      <c r="U28" s="34">
        <f t="shared" si="5"/>
        <v>37.288567561487355</v>
      </c>
      <c r="V28" s="34">
        <f t="shared" si="5"/>
        <v>5.274591521288917</v>
      </c>
      <c r="W28" s="34">
        <f t="shared" si="5"/>
        <v>40.319202094967565</v>
      </c>
      <c r="X28" s="34">
        <f t="shared" si="7"/>
        <v>20528.96842941983</v>
      </c>
      <c r="Y28" s="81">
        <f t="shared" si="8"/>
        <v>233.05354725929595</v>
      </c>
      <c r="AB28" s="114">
        <f>IF(B28="",0,(VLOOKUP(B28,Converted_feedstuff!$C$5:$BH$54,58,FALSE)*$I28))</f>
        <v>12.112247401821442</v>
      </c>
      <c r="AC28" s="30"/>
      <c r="AD28" s="30"/>
      <c r="AF28" s="144" t="str">
        <f t="shared" si="9"/>
        <v>Ensilage_graes_org</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99.403902754608453</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1.513271732464107</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2142</v>
      </c>
      <c r="E31" s="24"/>
      <c r="K31" t="s">
        <v>175</v>
      </c>
      <c r="L31" s="24"/>
      <c r="M31" s="24"/>
      <c r="N31" s="24"/>
      <c r="O31" s="24"/>
      <c r="P31" s="24"/>
      <c r="Q31" s="25"/>
      <c r="R31" s="82">
        <f>(D24*R24+D25*R25+D26*R26+D27*R27+D28*R28+D29*R29+D30*R30)/D31</f>
        <v>283.78991596638656</v>
      </c>
      <c r="S31" s="45"/>
      <c r="T31" s="116">
        <f t="shared" ref="T31:Y31" si="10">SUM(T24:T30)</f>
        <v>963.90015348889983</v>
      </c>
      <c r="U31" s="116">
        <f t="shared" si="10"/>
        <v>61.160133909722717</v>
      </c>
      <c r="V31" s="116">
        <f t="shared" si="10"/>
        <v>8.5196119572123159</v>
      </c>
      <c r="W31" s="116">
        <f t="shared" si="10"/>
        <v>65.124276427306313</v>
      </c>
      <c r="X31" s="116">
        <f>SUM(X24:X30)</f>
        <v>35405.032508709563</v>
      </c>
      <c r="Y31" s="116">
        <f t="shared" si="10"/>
        <v>382.25083693576698</v>
      </c>
      <c r="AA31" s="113" t="s">
        <v>61</v>
      </c>
      <c r="AB31" s="115">
        <f>SUM(AB24:AB30)</f>
        <v>-3.1207078652037978E-2</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99.403902754608453</v>
      </c>
      <c r="AS31" s="92">
        <f t="shared" si="11"/>
        <v>0</v>
      </c>
      <c r="AT31" s="92">
        <f t="shared" si="11"/>
        <v>0</v>
      </c>
      <c r="AU31" s="92" t="e">
        <f t="shared" si="11"/>
        <v>#REF!</v>
      </c>
      <c r="AV31" s="92">
        <f t="shared" si="11"/>
        <v>1.513271732464107</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2715</v>
      </c>
      <c r="E32" s="24"/>
      <c r="I32" s="24"/>
      <c r="J32" s="24"/>
      <c r="K32" s="24"/>
      <c r="L32" s="24"/>
      <c r="M32" s="24"/>
      <c r="N32" s="24"/>
      <c r="P32" s="25"/>
      <c r="Q32" s="25"/>
      <c r="R32" s="84">
        <f>(D20*R20+D31*R31)/D32</f>
        <v>405.22999481619775</v>
      </c>
      <c r="S32" s="85"/>
      <c r="T32" s="117">
        <f>T20+T31</f>
        <v>1221.7501534888997</v>
      </c>
      <c r="U32" s="117">
        <f t="shared" ref="U32:Y32" si="12">U20+U31</f>
        <v>74.350744808519991</v>
      </c>
      <c r="V32" s="117">
        <f t="shared" si="12"/>
        <v>10.897601925142681</v>
      </c>
      <c r="W32" s="117">
        <f t="shared" si="12"/>
        <v>69.041266571199515</v>
      </c>
      <c r="X32" s="117">
        <f t="shared" si="12"/>
        <v>45653.969166403243</v>
      </c>
      <c r="Y32" s="117">
        <f t="shared" si="12"/>
        <v>465.02298263945687</v>
      </c>
      <c r="AF32" s="144" t="str">
        <f t="shared" ref="AF32:AF37" si="13">IF(E25="","",E25)</f>
        <v/>
      </c>
      <c r="BL32" t="str">
        <f>A4</f>
        <v>ID-nummer</v>
      </c>
      <c r="BM32">
        <f>B4</f>
        <v>1011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Dairy_bull1_org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1011</v>
      </c>
      <c r="BK34" t="str">
        <f t="shared" ref="BJ34:BK62" si="15">$BM$33</f>
        <v>Dairy_bull1_org</v>
      </c>
      <c r="BL34" t="s">
        <v>69</v>
      </c>
      <c r="BM34" t="str">
        <f>$B$24</f>
        <v>Afgraesning_1_grazed_org</v>
      </c>
      <c r="BN34" t="str">
        <f t="shared" ref="BN34:BO40" si="16">C24</f>
        <v>Kg</v>
      </c>
      <c r="BO34">
        <f t="shared" si="16"/>
        <v>900</v>
      </c>
    </row>
    <row r="35" spans="1:67" ht="15.6" x14ac:dyDescent="0.3">
      <c r="A35" s="18" t="s">
        <v>631</v>
      </c>
      <c r="B35" s="19" t="s">
        <v>540</v>
      </c>
      <c r="C35" s="28" t="s">
        <v>43</v>
      </c>
      <c r="D35" s="34">
        <f>H35*(R35/1000)</f>
        <v>4.34</v>
      </c>
      <c r="E35" s="30" t="str">
        <f>IF(B35="","",VLOOKUP(B35,'Processed products'!$B$5:$E$104,2,FALSE))</f>
        <v>Dead_meat_org</v>
      </c>
      <c r="F35" s="30" t="str">
        <f>IF(B35="","",VLOOKUP(B35,'Processed products'!$B$5:$E$104,3,FALSE))</f>
        <v>Dead_meat</v>
      </c>
      <c r="G35" s="30" t="str">
        <f>IF(B35="","",VLOOKUP(B35,'Processed products'!$B$5:$E$104,4,FALSE))</f>
        <v>Exit_model</v>
      </c>
      <c r="H35" s="5">
        <v>12.4</v>
      </c>
      <c r="I35" s="4"/>
      <c r="K35" s="97" t="s">
        <v>654</v>
      </c>
      <c r="L35" s="132" t="s">
        <v>541</v>
      </c>
      <c r="M35" s="132" t="s">
        <v>641</v>
      </c>
      <c r="N35" s="272">
        <v>3.72</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Ensilage_whole_crop_org</v>
      </c>
      <c r="AJ35" s="32"/>
      <c r="BJ35">
        <f t="shared" si="14"/>
        <v>1011</v>
      </c>
      <c r="BK35" t="str">
        <f t="shared" si="15"/>
        <v>Dairy_bull1_org</v>
      </c>
      <c r="BL35" t="s">
        <v>69</v>
      </c>
      <c r="BM35">
        <f>$B$25</f>
        <v>0</v>
      </c>
      <c r="BN35" t="str">
        <f t="shared" si="16"/>
        <v>Kg</v>
      </c>
      <c r="BO35">
        <f t="shared" si="16"/>
        <v>0</v>
      </c>
    </row>
    <row r="36" spans="1:67" ht="15.6" x14ac:dyDescent="0.3">
      <c r="A36" s="18" t="s">
        <v>632</v>
      </c>
      <c r="B36" s="19" t="s">
        <v>441</v>
      </c>
      <c r="C36" s="28" t="s">
        <v>43</v>
      </c>
      <c r="D36" s="34">
        <f t="shared" ref="D36" si="17">H36*(R36/1000)</f>
        <v>140</v>
      </c>
      <c r="E36" s="30" t="str">
        <f>IF(B36="","",VLOOKUP(B36,'Processed products'!$B$5:$E$104,2,FALSE))</f>
        <v>Beef_meat_org</v>
      </c>
      <c r="F36" s="30" t="str">
        <f>IF(B36="","",VLOOKUP(B36,'Processed products'!$B$5:$E$104,3,FALSE))</f>
        <v>Meat</v>
      </c>
      <c r="G36" s="30" t="str">
        <f>IF(B36="","",VLOOKUP(B36,'Processed products'!$B$5:$E$104,4,FALSE))</f>
        <v>Exit_model</v>
      </c>
      <c r="H36" s="5">
        <v>400</v>
      </c>
      <c r="I36" s="4"/>
      <c r="K36" s="97" t="s">
        <v>655</v>
      </c>
      <c r="L36" s="132"/>
      <c r="M36" s="132"/>
      <c r="N36" s="272"/>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
      </c>
      <c r="BJ36">
        <f t="shared" si="14"/>
        <v>1011</v>
      </c>
      <c r="BK36" t="str">
        <f t="shared" si="15"/>
        <v>Dairy_bull1_org</v>
      </c>
      <c r="BL36" t="s">
        <v>69</v>
      </c>
      <c r="BM36">
        <f>$B$26</f>
        <v>0</v>
      </c>
      <c r="BN36" t="str">
        <f t="shared" si="16"/>
        <v>Kg</v>
      </c>
      <c r="BO36">
        <f t="shared" si="16"/>
        <v>0</v>
      </c>
    </row>
    <row r="37" spans="1:67" ht="16.2" thickBot="1" x14ac:dyDescent="0.35">
      <c r="A37" s="18" t="s">
        <v>647</v>
      </c>
      <c r="B37" s="19"/>
      <c r="C37" s="28" t="s">
        <v>43</v>
      </c>
      <c r="D37" s="34">
        <f>H37*(R37/1000)</f>
        <v>0</v>
      </c>
      <c r="E37" s="30" t="str">
        <f>IF(B37="","",VLOOKUP(B37,'Processed products'!$B$5:$E$104,2,FALSE))</f>
        <v/>
      </c>
      <c r="F37" s="30" t="str">
        <f>IF(B37="","",VLOOKUP(B37,'Processed products'!$B$5:$E$104,3,FALSE))</f>
        <v/>
      </c>
      <c r="G37" s="30" t="str">
        <f>IF(B37="","",VLOOKUP(B37,'Processed products'!$B$5:$E$104,4,FALSE))</f>
        <v/>
      </c>
      <c r="H37" s="5"/>
      <c r="I37" s="5"/>
      <c r="K37" s="273" t="s">
        <v>656</v>
      </c>
      <c r="L37" s="260"/>
      <c r="M37" s="260"/>
      <c r="N37" s="261"/>
      <c r="Q37" s="25"/>
      <c r="R37" s="51">
        <f>(IF($B37="",0,VLOOKUP($B37,'Processed products'!$B$5:$O$104,5,FALSE)))</f>
        <v>0</v>
      </c>
      <c r="S37" s="44"/>
      <c r="T37" s="28" t="str">
        <f>(IF($B37="","",VLOOKUP($B37,'Processed products'!$B$5:$O$104,9,FALSE)))</f>
        <v/>
      </c>
      <c r="U37" s="34" t="str">
        <f>(IF($B37="","",VLOOKUP($B37,'Processed products'!$B$5:$O$104,10,FALSE)))</f>
        <v/>
      </c>
      <c r="V37" s="28" t="str">
        <f>(IF($B37="","",VLOOKUP($B37,'Processed products'!$B$5:$O$104,11,FALSE)))</f>
        <v/>
      </c>
      <c r="W37" s="28" t="str">
        <f>(IF($B37="","",VLOOKUP($B37,'Processed products'!$B$5:$O$104,12,FALSE)))</f>
        <v/>
      </c>
      <c r="X37" s="28" t="str">
        <f>(IF($B37="","",VLOOKUP($B37,'Processed products'!$B$5:$O$104,13,FALSE)))</f>
        <v/>
      </c>
      <c r="Z37" s="53"/>
      <c r="AA37" s="53"/>
      <c r="AB37" s="53"/>
      <c r="AC37" s="53"/>
      <c r="AD37" s="53"/>
      <c r="AF37" s="144" t="str">
        <f t="shared" si="13"/>
        <v/>
      </c>
      <c r="BJ37">
        <f t="shared" si="14"/>
        <v>1011</v>
      </c>
      <c r="BK37" t="str">
        <f t="shared" si="15"/>
        <v>Dairy_bull1_org</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1011</v>
      </c>
      <c r="BK38" t="str">
        <f t="shared" si="15"/>
        <v>Dairy_bull1_org</v>
      </c>
      <c r="BL38" t="s">
        <v>69</v>
      </c>
      <c r="BM38" t="str">
        <f>$B$28</f>
        <v>Ensilage_graes_org</v>
      </c>
      <c r="BN38" t="str">
        <f t="shared" si="16"/>
        <v>Kg</v>
      </c>
      <c r="BO38">
        <f t="shared" si="16"/>
        <v>1242</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1011</v>
      </c>
      <c r="BK39" t="str">
        <f t="shared" si="15"/>
        <v>Dairy_bull1_org</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K40" s="136">
        <f>40*0.085*1.093</f>
        <v>3.7162000000000002</v>
      </c>
      <c r="L40" s="123"/>
      <c r="M40" s="123"/>
      <c r="N40" s="123"/>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1011</v>
      </c>
      <c r="BK40" t="str">
        <f t="shared" si="15"/>
        <v>Dairy_bull1_org</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1011</v>
      </c>
      <c r="BK41" t="str">
        <f t="shared" si="15"/>
        <v>Dairy_bull1_org</v>
      </c>
      <c r="BL41" t="s">
        <v>126</v>
      </c>
      <c r="BM41" t="str">
        <f>$B$35</f>
        <v>Kvaeg_affald_org</v>
      </c>
      <c r="BN41" t="str">
        <f>C35</f>
        <v>Kg</v>
      </c>
      <c r="BO41" s="64">
        <f>P35</f>
        <v>0</v>
      </c>
    </row>
    <row r="42" spans="1:67" x14ac:dyDescent="0.3">
      <c r="A42" s="33" t="s">
        <v>61</v>
      </c>
      <c r="B42" s="39"/>
      <c r="C42" s="28" t="s">
        <v>43</v>
      </c>
      <c r="D42" s="34">
        <f>SUM(D35:D41)</f>
        <v>144.34</v>
      </c>
      <c r="E42" s="24"/>
      <c r="I42" s="124"/>
      <c r="J42" s="123"/>
      <c r="K42" s="123"/>
      <c r="L42" s="123"/>
      <c r="M42" s="123"/>
      <c r="N42" s="124"/>
      <c r="P42" s="93"/>
      <c r="Q42" s="25"/>
      <c r="Z42" s="53"/>
      <c r="AA42" s="53"/>
      <c r="AB42" s="53"/>
      <c r="AC42" s="53"/>
      <c r="AD42" s="53"/>
      <c r="AF42" s="144" t="str">
        <f t="shared" si="18"/>
        <v/>
      </c>
      <c r="BJ42">
        <f t="shared" si="14"/>
        <v>1011</v>
      </c>
      <c r="BK42" t="str">
        <f t="shared" si="15"/>
        <v>Dairy_bull1_org</v>
      </c>
      <c r="BL42" t="s">
        <v>126</v>
      </c>
      <c r="BM42" t="str">
        <f>$B$36</f>
        <v>Tilvaekst_kvaeg_org</v>
      </c>
      <c r="BN42" t="str">
        <f t="shared" ref="BN42:BN47" si="19">C35</f>
        <v>Kg</v>
      </c>
      <c r="BO42" s="64">
        <f t="shared" ref="BO42:BO47" si="20">P35</f>
        <v>0</v>
      </c>
    </row>
    <row r="43" spans="1:67" x14ac:dyDescent="0.3">
      <c r="J43" s="53">
        <f>1.093*0.085*400*0.333</f>
        <v>12.374946</v>
      </c>
      <c r="K43" s="268" t="s">
        <v>639</v>
      </c>
      <c r="L43" s="123"/>
      <c r="M43" s="123"/>
      <c r="Z43" s="53"/>
      <c r="AA43" s="53"/>
      <c r="AB43" s="53"/>
      <c r="AC43" s="53"/>
      <c r="AD43" s="53"/>
      <c r="AF43" s="144" t="str">
        <f t="shared" si="18"/>
        <v/>
      </c>
      <c r="BJ43">
        <f t="shared" si="14"/>
        <v>1011</v>
      </c>
      <c r="BK43" t="str">
        <f t="shared" si="15"/>
        <v>Dairy_bull1_org</v>
      </c>
      <c r="BL43" t="s">
        <v>126</v>
      </c>
      <c r="BM43">
        <f>$B$37</f>
        <v>0</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1011</v>
      </c>
      <c r="BK44" t="str">
        <f t="shared" si="15"/>
        <v>Dairy_bull1_org</v>
      </c>
      <c r="BL44" t="s">
        <v>126</v>
      </c>
      <c r="BM44">
        <f>$B$38</f>
        <v>0</v>
      </c>
      <c r="BN44" t="str">
        <f t="shared" si="19"/>
        <v>Kg</v>
      </c>
      <c r="BO44" s="64">
        <f t="shared" si="20"/>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v>450</v>
      </c>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1011</v>
      </c>
      <c r="BK45" t="str">
        <f t="shared" si="15"/>
        <v>Dairy_bull1_org</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1011</v>
      </c>
      <c r="BK46" t="str">
        <f t="shared" si="15"/>
        <v>Dairy_bull1_org</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1011</v>
      </c>
      <c r="BK47" t="str">
        <f t="shared" si="15"/>
        <v>Dairy_bull1_org</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1011</v>
      </c>
      <c r="BK48" t="str">
        <f t="shared" si="15"/>
        <v>Dairy_bull1_org</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1011</v>
      </c>
      <c r="BK49" t="str">
        <f t="shared" si="15"/>
        <v>Dairy_bull1_org</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1011</v>
      </c>
      <c r="BK50" t="str">
        <f t="shared" si="15"/>
        <v>Dairy_bull1_org</v>
      </c>
      <c r="BL50" t="s">
        <v>127</v>
      </c>
      <c r="BM50">
        <f t="shared" si="22"/>
        <v>0</v>
      </c>
      <c r="BN50" s="32">
        <f>$AH$34</f>
        <v>0</v>
      </c>
      <c r="BO50" s="32">
        <f>AH45</f>
        <v>0</v>
      </c>
    </row>
    <row r="51" spans="1:67" ht="15" thickBot="1" x14ac:dyDescent="0.35">
      <c r="A51" s="18" t="s">
        <v>56</v>
      </c>
      <c r="B51" s="9"/>
      <c r="C51" s="28" t="s">
        <v>43</v>
      </c>
      <c r="D51" s="34">
        <f>SUM(D42,D45:D50)</f>
        <v>144.34</v>
      </c>
      <c r="I51" s="93"/>
      <c r="J51" s="93"/>
      <c r="K51" s="93"/>
      <c r="L51" s="93"/>
      <c r="M51" s="93"/>
      <c r="N51" s="93"/>
      <c r="O51" s="135"/>
      <c r="P51" s="93"/>
      <c r="Q51" s="47"/>
      <c r="Z51" s="53"/>
      <c r="AA51" s="53"/>
      <c r="AB51" s="53"/>
      <c r="AC51" s="53"/>
      <c r="AD51" s="53"/>
      <c r="AF51" s="145" t="str">
        <f t="shared" si="21"/>
        <v/>
      </c>
      <c r="BJ51">
        <f t="shared" si="14"/>
        <v>1011</v>
      </c>
      <c r="BK51" t="str">
        <f t="shared" si="15"/>
        <v>Dairy_bull1_org</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1011</v>
      </c>
      <c r="BK52" t="str">
        <f t="shared" si="15"/>
        <v>Dairy_bull1_org</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1011</v>
      </c>
      <c r="BK53" t="str">
        <f t="shared" si="15"/>
        <v>Dairy_bull1_org</v>
      </c>
      <c r="BL53" t="s">
        <v>127</v>
      </c>
      <c r="BM53">
        <f t="shared" ref="BM53:BM58" si="23">$B$46</f>
        <v>0</v>
      </c>
      <c r="BN53" t="str">
        <f>C46</f>
        <v>Kg</v>
      </c>
      <c r="BO53" s="64">
        <f>P46</f>
        <v>0</v>
      </c>
    </row>
    <row r="54" spans="1:67" x14ac:dyDescent="0.3">
      <c r="A54" s="18" t="s">
        <v>220</v>
      </c>
      <c r="B54" s="50" t="s">
        <v>571</v>
      </c>
      <c r="C54" s="50" t="s">
        <v>43</v>
      </c>
      <c r="D54" s="138"/>
      <c r="E54" s="53"/>
      <c r="F54" s="138"/>
      <c r="G54" s="53"/>
      <c r="H54" s="138"/>
      <c r="I54" s="138"/>
      <c r="AF54" s="32"/>
      <c r="BJ54">
        <f t="shared" si="14"/>
        <v>1011</v>
      </c>
      <c r="BK54" t="str">
        <f t="shared" si="15"/>
        <v>Dairy_bull1_org</v>
      </c>
      <c r="BL54" t="s">
        <v>127</v>
      </c>
      <c r="BM54">
        <f t="shared" si="23"/>
        <v>0</v>
      </c>
      <c r="BN54" t="str">
        <f>$AF$34</f>
        <v/>
      </c>
      <c r="BO54" s="32" t="str">
        <f>AF$46</f>
        <v/>
      </c>
    </row>
    <row r="55" spans="1:67" x14ac:dyDescent="0.3">
      <c r="A55" s="18" t="s">
        <v>254</v>
      </c>
      <c r="B55" s="50" t="s">
        <v>571</v>
      </c>
      <c r="C55" s="50" t="s">
        <v>43</v>
      </c>
      <c r="D55" s="138"/>
      <c r="E55" s="53"/>
      <c r="F55" s="138"/>
      <c r="G55" s="53"/>
      <c r="H55" s="138"/>
      <c r="I55" s="138"/>
      <c r="BJ55">
        <f t="shared" si="14"/>
        <v>1011</v>
      </c>
      <c r="BK55" t="str">
        <f t="shared" si="15"/>
        <v>Dairy_bull1_org</v>
      </c>
      <c r="BL55" t="s">
        <v>127</v>
      </c>
      <c r="BM55">
        <f t="shared" si="23"/>
        <v>0</v>
      </c>
      <c r="BN55">
        <f>$AG$34</f>
        <v>0</v>
      </c>
      <c r="BO55" s="32">
        <f>AG$46</f>
        <v>0</v>
      </c>
    </row>
    <row r="56" spans="1:67" x14ac:dyDescent="0.3">
      <c r="A56" s="18" t="s">
        <v>35</v>
      </c>
      <c r="B56" s="50"/>
      <c r="C56" s="50"/>
      <c r="D56" s="138"/>
      <c r="E56" s="53"/>
      <c r="F56" s="138"/>
      <c r="G56" s="53"/>
      <c r="H56" s="138"/>
      <c r="I56" s="138"/>
      <c r="BJ56">
        <f t="shared" si="14"/>
        <v>1011</v>
      </c>
      <c r="BK56" t="str">
        <f t="shared" si="15"/>
        <v>Dairy_bull1_org</v>
      </c>
      <c r="BL56" t="s">
        <v>127</v>
      </c>
      <c r="BM56">
        <f t="shared" si="23"/>
        <v>0</v>
      </c>
      <c r="BN56" s="32">
        <f>$AH$34</f>
        <v>0</v>
      </c>
      <c r="BO56" s="32">
        <f>AH$46</f>
        <v>0</v>
      </c>
    </row>
    <row r="57" spans="1:67" x14ac:dyDescent="0.3">
      <c r="A57" s="18" t="s">
        <v>36</v>
      </c>
      <c r="B57" s="50"/>
      <c r="C57" s="50"/>
      <c r="D57" s="138"/>
      <c r="E57" s="53"/>
      <c r="F57" s="138"/>
      <c r="G57" s="53"/>
      <c r="H57" s="138"/>
      <c r="I57" s="138"/>
      <c r="BJ57">
        <f t="shared" si="14"/>
        <v>1011</v>
      </c>
      <c r="BK57" t="str">
        <f t="shared" si="15"/>
        <v>Dairy_bull1_org</v>
      </c>
      <c r="BL57" t="s">
        <v>127</v>
      </c>
      <c r="BM57">
        <f t="shared" si="23"/>
        <v>0</v>
      </c>
      <c r="BN57">
        <f>$AI$34</f>
        <v>0</v>
      </c>
      <c r="BO57" s="32">
        <f>AI$46</f>
        <v>0</v>
      </c>
    </row>
    <row r="58" spans="1:67" x14ac:dyDescent="0.3">
      <c r="A58" s="18" t="s">
        <v>37</v>
      </c>
      <c r="B58" s="50"/>
      <c r="C58" s="50"/>
      <c r="D58" s="138"/>
      <c r="E58" s="53"/>
      <c r="F58" s="138"/>
      <c r="G58" s="53"/>
      <c r="H58" s="138"/>
      <c r="I58" s="138"/>
      <c r="BJ58">
        <f t="shared" si="14"/>
        <v>1011</v>
      </c>
      <c r="BK58" t="str">
        <f t="shared" si="15"/>
        <v>Dairy_bull1_org</v>
      </c>
      <c r="BL58" t="s">
        <v>127</v>
      </c>
      <c r="BM58">
        <f t="shared" si="23"/>
        <v>0</v>
      </c>
      <c r="BN58">
        <f>$AJ$34</f>
        <v>0</v>
      </c>
      <c r="BO58" s="32">
        <f>AJ$46</f>
        <v>0</v>
      </c>
    </row>
    <row r="59" spans="1:67" x14ac:dyDescent="0.3">
      <c r="A59" s="18" t="s">
        <v>56</v>
      </c>
      <c r="B59" s="24"/>
      <c r="D59" s="32"/>
      <c r="F59" s="32"/>
      <c r="H59" s="138"/>
      <c r="I59" s="138"/>
      <c r="BJ59">
        <f t="shared" si="14"/>
        <v>1011</v>
      </c>
      <c r="BK59" t="str">
        <f t="shared" si="15"/>
        <v>Dairy_bull1_org</v>
      </c>
      <c r="BL59" t="s">
        <v>127</v>
      </c>
      <c r="BM59">
        <f t="shared" ref="BL59:BM62" si="24">$B$47</f>
        <v>0</v>
      </c>
      <c r="BN59">
        <f>$AG$34</f>
        <v>0</v>
      </c>
      <c r="BO59" s="32">
        <f>AG$47</f>
        <v>0</v>
      </c>
    </row>
    <row r="60" spans="1:67" x14ac:dyDescent="0.3">
      <c r="BJ60">
        <f t="shared" si="14"/>
        <v>1011</v>
      </c>
      <c r="BK60" t="str">
        <f t="shared" si="15"/>
        <v>Dairy_bull1_org</v>
      </c>
      <c r="BL60" t="s">
        <v>127</v>
      </c>
      <c r="BM60">
        <f t="shared" si="24"/>
        <v>0</v>
      </c>
      <c r="BN60" s="32">
        <f>$AH$34</f>
        <v>0</v>
      </c>
      <c r="BO60" s="32">
        <f>AH$47</f>
        <v>0</v>
      </c>
    </row>
    <row r="61" spans="1:67" ht="17.399999999999999" x14ac:dyDescent="0.3">
      <c r="A61" s="31" t="s">
        <v>104</v>
      </c>
      <c r="BJ61">
        <f t="shared" si="14"/>
        <v>1011</v>
      </c>
      <c r="BK61" t="str">
        <f t="shared" si="15"/>
        <v>Dairy_bull1_org</v>
      </c>
      <c r="BL61" t="s">
        <v>127</v>
      </c>
      <c r="BM61">
        <f t="shared" si="24"/>
        <v>0</v>
      </c>
      <c r="BN61">
        <f>$AI$34</f>
        <v>0</v>
      </c>
      <c r="BO61" s="32">
        <f>AI$47</f>
        <v>0</v>
      </c>
    </row>
    <row r="62" spans="1:67" x14ac:dyDescent="0.3">
      <c r="A62" s="21" t="s">
        <v>280</v>
      </c>
      <c r="B62" s="10" t="s">
        <v>101</v>
      </c>
      <c r="C62" s="10" t="s">
        <v>102</v>
      </c>
      <c r="D62" s="10" t="s">
        <v>103</v>
      </c>
      <c r="BI62">
        <f t="shared" si="14"/>
        <v>1011</v>
      </c>
      <c r="BJ62" t="str">
        <f t="shared" si="15"/>
        <v>Dairy_bull1_org</v>
      </c>
      <c r="BK62" t="s">
        <v>127</v>
      </c>
      <c r="BL62">
        <f t="shared" si="24"/>
        <v>0</v>
      </c>
      <c r="BM62">
        <f>$AJ$34</f>
        <v>0</v>
      </c>
      <c r="BN62" s="32">
        <f>AJ$47</f>
        <v>0</v>
      </c>
    </row>
    <row r="63" spans="1:67" x14ac:dyDescent="0.3">
      <c r="A63" s="18" t="s">
        <v>86</v>
      </c>
      <c r="B63" s="19"/>
      <c r="C63" s="11">
        <v>60</v>
      </c>
      <c r="D63" s="11">
        <v>2</v>
      </c>
      <c r="E63" t="s">
        <v>278</v>
      </c>
      <c r="F63" t="s">
        <v>370</v>
      </c>
      <c r="BI63">
        <f t="shared" ref="BI63:BJ91" si="25">$BM$32</f>
        <v>1011</v>
      </c>
      <c r="BJ63" t="str">
        <f t="shared" ref="BJ63:BK91" si="26">$BM$33</f>
        <v>Dairy_bull1_org</v>
      </c>
      <c r="BK63" t="s">
        <v>127</v>
      </c>
      <c r="BL63">
        <f t="shared" ref="BL63:BM68" si="27">$B$48</f>
        <v>0</v>
      </c>
      <c r="BM63" s="64" t="str">
        <f>C48</f>
        <v>Kg</v>
      </c>
      <c r="BN63" s="32">
        <f>P48</f>
        <v>0</v>
      </c>
    </row>
    <row r="64" spans="1:67" x14ac:dyDescent="0.3">
      <c r="A64" s="18" t="s">
        <v>87</v>
      </c>
      <c r="B64" s="19"/>
      <c r="C64" s="11"/>
      <c r="D64" s="11"/>
      <c r="BI64">
        <f t="shared" si="25"/>
        <v>1011</v>
      </c>
      <c r="BJ64" t="str">
        <f t="shared" si="26"/>
        <v>Dairy_bull1_org</v>
      </c>
      <c r="BK64" t="s">
        <v>127</v>
      </c>
      <c r="BL64">
        <f t="shared" si="27"/>
        <v>0</v>
      </c>
      <c r="BM64" t="str">
        <f>$AF$34</f>
        <v/>
      </c>
      <c r="BN64" s="32" t="str">
        <f>AF$48</f>
        <v/>
      </c>
    </row>
    <row r="65" spans="1:67" x14ac:dyDescent="0.3">
      <c r="A65" s="156" t="s">
        <v>56</v>
      </c>
      <c r="B65" s="159">
        <f>SUM(B63:B64)</f>
        <v>0</v>
      </c>
      <c r="C65" s="159">
        <f>SUM(C63:C64)</f>
        <v>60</v>
      </c>
      <c r="D65" s="159">
        <f>SUM(D63:D64)</f>
        <v>2</v>
      </c>
      <c r="BJ65">
        <f t="shared" si="25"/>
        <v>1011</v>
      </c>
      <c r="BK65" t="str">
        <f t="shared" si="26"/>
        <v>Dairy_bull1_org</v>
      </c>
      <c r="BL65" t="s">
        <v>127</v>
      </c>
      <c r="BM65">
        <f t="shared" si="27"/>
        <v>0</v>
      </c>
      <c r="BN65">
        <f>$AG$34</f>
        <v>0</v>
      </c>
      <c r="BO65" s="32">
        <f>AG$48</f>
        <v>0</v>
      </c>
    </row>
    <row r="66" spans="1:67" ht="17.399999999999999" x14ac:dyDescent="0.3">
      <c r="P66" s="31" t="s">
        <v>266</v>
      </c>
      <c r="Q66" s="31"/>
      <c r="BJ66">
        <f t="shared" si="25"/>
        <v>1011</v>
      </c>
      <c r="BK66" t="str">
        <f t="shared" si="26"/>
        <v>Dairy_bull1_org</v>
      </c>
      <c r="BL66" t="s">
        <v>127</v>
      </c>
      <c r="BM66">
        <f t="shared" si="27"/>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5"/>
        <v>1011</v>
      </c>
      <c r="BK67" t="str">
        <f t="shared" si="26"/>
        <v>Dairy_bull1_org</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f t="shared" ref="R68:R76" si="29">SUMPRODUCT(($D$68:$D$81=P68)*$L$68:$L$81)</f>
        <v>0.11878962375875698</v>
      </c>
      <c r="S68" s="49">
        <f t="shared" ref="S68:S76" si="30">IF(P68="","0",SUMPRODUCT(($D$68:$D$81=P68)*$K$68:$K$81))</f>
        <v>0.59394811879378495</v>
      </c>
      <c r="T68" s="49">
        <f>IF(R68&gt;0,0,(S68*VLOOKUP(P68,Other_tables!$L$5:$O$13,2,FALSE))/1000)</f>
        <v>0</v>
      </c>
      <c r="U68" s="95"/>
      <c r="BJ68">
        <f t="shared" si="25"/>
        <v>1011</v>
      </c>
      <c r="BK68" t="str">
        <f t="shared" si="26"/>
        <v>Dairy_bull1_org</v>
      </c>
      <c r="BL68" t="s">
        <v>127</v>
      </c>
      <c r="BM68">
        <f t="shared" si="27"/>
        <v>0</v>
      </c>
      <c r="BN68">
        <f>$AJ$34</f>
        <v>0</v>
      </c>
      <c r="BO68" s="32">
        <f>AJ$48</f>
        <v>0</v>
      </c>
    </row>
    <row r="69" spans="1:67" x14ac:dyDescent="0.3">
      <c r="A69" s="18" t="s">
        <v>45</v>
      </c>
      <c r="B69" s="38" t="s">
        <v>442</v>
      </c>
      <c r="C69" s="19">
        <v>168</v>
      </c>
      <c r="D69" s="11" t="s">
        <v>225</v>
      </c>
      <c r="E69" s="11" t="s">
        <v>81</v>
      </c>
      <c r="F69" s="5">
        <v>100</v>
      </c>
      <c r="G69" t="s">
        <v>230</v>
      </c>
      <c r="K69" s="49">
        <f t="shared" si="28"/>
        <v>16.517466100201723</v>
      </c>
      <c r="L69" s="49">
        <f>IF(E69="Diesel",VLOOKUP(D69,Other_tables!$L$5:$O$13,2,FALSE)*K69,0)</f>
        <v>0</v>
      </c>
      <c r="P69" s="30" t="str">
        <f>Other_tables!L6</f>
        <v>Lastbil &gt; 20 T</v>
      </c>
      <c r="Q69" s="44"/>
      <c r="R69" s="159">
        <f t="shared" si="29"/>
        <v>0</v>
      </c>
      <c r="S69" s="49">
        <f t="shared" si="30"/>
        <v>16.517466100201723</v>
      </c>
      <c r="T69" s="49">
        <f>IF(R69&gt;0,0,(S69*VLOOKUP(P69,Other_tables!$L$5:$O$13,2,FALSE))/1000)</f>
        <v>1.6517466100201723</v>
      </c>
      <c r="U69" s="95"/>
      <c r="BJ69">
        <f t="shared" si="25"/>
        <v>1011</v>
      </c>
      <c r="BK69" t="str">
        <f t="shared" si="26"/>
        <v>Dairy_bull1_org</v>
      </c>
      <c r="BL69" t="s">
        <v>127</v>
      </c>
      <c r="BM69">
        <f t="shared" ref="BM69:BM74" si="31">$B$49</f>
        <v>0</v>
      </c>
      <c r="BN69" s="64" t="str">
        <f>C49</f>
        <v>Kg</v>
      </c>
      <c r="BO69" s="32">
        <f>P49</f>
        <v>0</v>
      </c>
    </row>
    <row r="70" spans="1:67" x14ac:dyDescent="0.3">
      <c r="A70" s="18" t="s">
        <v>46</v>
      </c>
      <c r="B70" s="38" t="s">
        <v>444</v>
      </c>
      <c r="C70" s="19">
        <v>133</v>
      </c>
      <c r="D70" s="11" t="s">
        <v>226</v>
      </c>
      <c r="E70" s="11" t="s">
        <v>81</v>
      </c>
      <c r="F70" s="5">
        <v>80</v>
      </c>
      <c r="G70" t="s">
        <v>683</v>
      </c>
      <c r="K70" s="49">
        <f t="shared" si="28"/>
        <v>53.81852351234312</v>
      </c>
      <c r="L70" s="49">
        <f>IF(E70="Diesel",VLOOKUP(D70,Other_tables!$L$5:$O$13,2,FALSE)*K70,0)</f>
        <v>0</v>
      </c>
      <c r="P70" s="30" t="str">
        <f>Other_tables!L7</f>
        <v>Lastbil 10-20 T</v>
      </c>
      <c r="Q70" s="44"/>
      <c r="R70" s="159">
        <f t="shared" si="29"/>
        <v>0</v>
      </c>
      <c r="S70" s="49">
        <f t="shared" si="30"/>
        <v>53.81852351234312</v>
      </c>
      <c r="T70" s="49">
        <f>IF(R70&gt;0,0,(S70*VLOOKUP(P70,Other_tables!$L$5:$O$13,2,FALSE))/1000)</f>
        <v>13.669904972135154</v>
      </c>
      <c r="BJ70">
        <f t="shared" si="25"/>
        <v>1011</v>
      </c>
      <c r="BK70" t="str">
        <f t="shared" si="26"/>
        <v>Dairy_bull1_org</v>
      </c>
      <c r="BL70" t="s">
        <v>127</v>
      </c>
      <c r="BM70">
        <f t="shared" si="31"/>
        <v>0</v>
      </c>
      <c r="BN70" t="str">
        <f>$AF$34</f>
        <v/>
      </c>
      <c r="BO70" s="32" t="str">
        <f>AF$49</f>
        <v/>
      </c>
    </row>
    <row r="71" spans="1:67" x14ac:dyDescent="0.3">
      <c r="A71" s="18" t="s">
        <v>47</v>
      </c>
      <c r="B71" s="38" t="s">
        <v>444</v>
      </c>
      <c r="C71" s="19">
        <v>5</v>
      </c>
      <c r="D71" s="11" t="s">
        <v>229</v>
      </c>
      <c r="E71" s="11" t="s">
        <v>17</v>
      </c>
      <c r="F71" s="5">
        <v>20</v>
      </c>
      <c r="K71" s="49">
        <f t="shared" si="28"/>
        <v>0.50581319090548049</v>
      </c>
      <c r="L71" s="49">
        <f>IF(E71="Diesel",VLOOKUP(D71,Other_tables!$L$5:$O$13,2,FALSE)*K71,0)</f>
        <v>0.10116263818109611</v>
      </c>
      <c r="P71" s="30" t="str">
        <f>Other_tables!L8</f>
        <v>Lastbil &lt; 10 T</v>
      </c>
      <c r="Q71" s="44"/>
      <c r="R71" s="159">
        <f t="shared" si="29"/>
        <v>0</v>
      </c>
      <c r="S71" s="49">
        <f t="shared" si="30"/>
        <v>0</v>
      </c>
      <c r="T71" s="49">
        <f>IF(R71&gt;0,0,(S71*VLOOKUP(P71,Other_tables!$L$5:$O$13,2,FALSE))/1000)</f>
        <v>0</v>
      </c>
      <c r="BJ71">
        <f t="shared" si="25"/>
        <v>1011</v>
      </c>
      <c r="BK71" t="str">
        <f t="shared" si="26"/>
        <v>Dairy_bull1_org</v>
      </c>
      <c r="BL71" t="s">
        <v>127</v>
      </c>
      <c r="BM71">
        <f t="shared" si="31"/>
        <v>0</v>
      </c>
      <c r="BN71">
        <f>$AG$34</f>
        <v>0</v>
      </c>
      <c r="BO71" s="32">
        <f>AG$49</f>
        <v>0</v>
      </c>
    </row>
    <row r="72" spans="1:67" x14ac:dyDescent="0.3">
      <c r="A72" s="18" t="s">
        <v>67</v>
      </c>
      <c r="B72" s="38" t="s">
        <v>432</v>
      </c>
      <c r="C72" s="19">
        <v>5</v>
      </c>
      <c r="D72" s="11" t="s">
        <v>229</v>
      </c>
      <c r="E72" s="11" t="s">
        <v>17</v>
      </c>
      <c r="F72" s="5">
        <v>100</v>
      </c>
      <c r="K72" s="49">
        <f t="shared" si="28"/>
        <v>8.8134927888304404E-2</v>
      </c>
      <c r="L72" s="49">
        <f>IF(E72="Diesel",VLOOKUP(D72,Other_tables!$L$5:$O$13,2,FALSE)*K72,0)</f>
        <v>1.7626985577660882E-2</v>
      </c>
      <c r="P72" s="30" t="str">
        <f>Other_tables!L9</f>
        <v>Fragttog Europa</v>
      </c>
      <c r="Q72" s="44"/>
      <c r="R72" s="159">
        <f t="shared" si="29"/>
        <v>0</v>
      </c>
      <c r="S72" s="49">
        <f t="shared" si="30"/>
        <v>0</v>
      </c>
      <c r="T72" s="49">
        <f>IF(R72&gt;0,0,(S72*VLOOKUP(P72,Other_tables!$L$5:$O$13,2,FALSE))/1000)</f>
        <v>0</v>
      </c>
      <c r="BJ72">
        <f t="shared" si="25"/>
        <v>1011</v>
      </c>
      <c r="BK72" t="str">
        <f t="shared" si="26"/>
        <v>Dairy_bull1_org</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1011</v>
      </c>
      <c r="BK73" t="str">
        <f t="shared" si="26"/>
        <v>Dairy_bull1_org</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1011</v>
      </c>
      <c r="BK74" t="str">
        <f t="shared" si="26"/>
        <v>Dairy_bull1_org</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1011</v>
      </c>
      <c r="BK75" t="str">
        <f t="shared" si="26"/>
        <v>Dairy_bull1_org</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1011</v>
      </c>
      <c r="BK76" t="str">
        <f t="shared" si="26"/>
        <v>Dairy_bull1_org</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0.11878962375875698</v>
      </c>
      <c r="S77" s="57"/>
      <c r="T77" s="58">
        <f>SUM(T68:T76)</f>
        <v>15.321651582155326</v>
      </c>
      <c r="BJ77">
        <f t="shared" si="25"/>
        <v>1011</v>
      </c>
      <c r="BK77" t="str">
        <f t="shared" si="26"/>
        <v>Dairy_bull1_org</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1011</v>
      </c>
      <c r="BK78" t="str">
        <f t="shared" si="26"/>
        <v>Dairy_bull1_org</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1011</v>
      </c>
      <c r="BK79" t="str">
        <f t="shared" si="26"/>
        <v>Dairy_bull1_org</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1011</v>
      </c>
      <c r="BK80" t="str">
        <f t="shared" si="26"/>
        <v>Dairy_bull1_org</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1011</v>
      </c>
      <c r="BK81" t="str">
        <f t="shared" si="26"/>
        <v>Dairy_bull1_org</v>
      </c>
      <c r="BL81" t="s">
        <v>118</v>
      </c>
      <c r="BM81" t="s">
        <v>118</v>
      </c>
      <c r="BN81">
        <f>I53</f>
        <v>0</v>
      </c>
      <c r="BO81" s="47">
        <f>I59</f>
        <v>0</v>
      </c>
    </row>
    <row r="82" spans="1:67" ht="17.399999999999999" x14ac:dyDescent="0.3">
      <c r="A82" s="25"/>
      <c r="B82" s="25"/>
      <c r="C82" s="24"/>
      <c r="D82" s="24"/>
      <c r="P82" s="31" t="s">
        <v>95</v>
      </c>
      <c r="Q82" s="55"/>
      <c r="BJ82">
        <f t="shared" si="25"/>
        <v>1011</v>
      </c>
      <c r="BK82" t="str">
        <f t="shared" si="26"/>
        <v>Dairy_bull1_org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1011</v>
      </c>
      <c r="BK83" t="str">
        <f t="shared" si="26"/>
        <v>Dairy_bull1_org</v>
      </c>
      <c r="BL83" t="str">
        <f>$A$67</f>
        <v>Transport</v>
      </c>
      <c r="BM83" t="str">
        <f>BL83</f>
        <v>Transport</v>
      </c>
      <c r="BN83" t="str">
        <f>R67</f>
        <v>Diesel (L)</v>
      </c>
      <c r="BO83" s="47">
        <f>R77</f>
        <v>0.11878962375875698</v>
      </c>
    </row>
    <row r="84" spans="1:67" x14ac:dyDescent="0.3">
      <c r="A84" s="18" t="s">
        <v>33</v>
      </c>
      <c r="B84" s="38" t="s">
        <v>444</v>
      </c>
      <c r="C84" s="19" t="s">
        <v>217</v>
      </c>
      <c r="D84" s="28">
        <f>IF(B84="","",VLOOKUP(C84,Other_tables!$S$5:$AA$22,7,FALSE))</f>
        <v>2.148148148148148E-2</v>
      </c>
      <c r="E84" s="28">
        <f>IF(B84="","",VLOOKUP(C84,Other_tables!$S$5:$AA$22,3,FALSE))</f>
        <v>2.839506172839506E-3</v>
      </c>
      <c r="F84" s="5">
        <v>100</v>
      </c>
      <c r="P84" s="30" t="str">
        <f t="shared" ref="P84:P92" si="34">B84</f>
        <v>Grain_org</v>
      </c>
      <c r="Q84" s="44"/>
      <c r="R84" s="49">
        <f>IF(D84="",0,VLOOKUP(P84,$B$12:$D$18,3,FALSE)*D84)</f>
        <v>9.2370370370370356</v>
      </c>
      <c r="S84" s="49">
        <f>IF(E84="",0,VLOOKUP(P84,$B$12:$D$18,3,FALSE)*E84)</f>
        <v>1.2209876543209877</v>
      </c>
      <c r="BJ84">
        <f t="shared" si="25"/>
        <v>1011</v>
      </c>
      <c r="BK84" t="str">
        <f t="shared" si="26"/>
        <v>Dairy_bull1_org</v>
      </c>
      <c r="BL84" t="str">
        <f>$A$67</f>
        <v>Transport</v>
      </c>
      <c r="BM84" t="str">
        <f>BL84</f>
        <v>Transport</v>
      </c>
      <c r="BN84" t="str">
        <f>T67</f>
        <v>kg CO₂eq for T/km</v>
      </c>
      <c r="BO84" s="47">
        <f>T77</f>
        <v>15.321651582155326</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1011</v>
      </c>
      <c r="BK85" t="str">
        <f t="shared" si="26"/>
        <v>Dairy_bull1_org</v>
      </c>
      <c r="BL85" t="s">
        <v>120</v>
      </c>
      <c r="BM85" t="s">
        <v>120</v>
      </c>
      <c r="BN85" t="str">
        <f>R83</f>
        <v>EL (KWh)</v>
      </c>
      <c r="BO85" s="47">
        <f>R93</f>
        <v>9.2370370370370356</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1011</v>
      </c>
      <c r="BK86" t="str">
        <f t="shared" si="26"/>
        <v>Dairy_bull1_org</v>
      </c>
      <c r="BL86" t="s">
        <v>120</v>
      </c>
      <c r="BM86" t="s">
        <v>120</v>
      </c>
      <c r="BN86" t="str">
        <f>S83</f>
        <v>Diesel (L)</v>
      </c>
      <c r="BO86" s="47">
        <f>S93</f>
        <v>1.2209876543209877</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1011</v>
      </c>
      <c r="BK87" t="str">
        <f t="shared" si="26"/>
        <v>Dairy_bull1_org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1011</v>
      </c>
      <c r="BK88" t="str">
        <f t="shared" si="26"/>
        <v>Dairy_bull1_org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1011</v>
      </c>
      <c r="BK89" t="str">
        <f t="shared" si="26"/>
        <v>Dairy_bull1_org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1011</v>
      </c>
      <c r="BK90" t="str">
        <f t="shared" si="26"/>
        <v>Dairy_bull1_org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1011</v>
      </c>
      <c r="BK91" t="str">
        <f t="shared" si="26"/>
        <v>Dairy_bull1_org</v>
      </c>
      <c r="BL91" t="s">
        <v>125</v>
      </c>
      <c r="BM91" t="s">
        <v>125</v>
      </c>
      <c r="BN91" t="str">
        <f>T96</f>
        <v>Diesel (L)</v>
      </c>
      <c r="BO91">
        <f>E118</f>
        <v>5.3251123430113519E-2</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9.2370370370370356</v>
      </c>
      <c r="S93" s="58">
        <f>SUM(S84:S92)</f>
        <v>1.2209876543209877</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432</v>
      </c>
      <c r="C109" s="19" t="s">
        <v>169</v>
      </c>
      <c r="D109" s="11"/>
      <c r="E109" s="206">
        <f>IF(C109="","",IF(VLOOKUP(C109,'Diesel consumption for field op'!$B$4:$E$78,3,FALSE)="L / ton",((VLOOKUP(C109,'Diesel consumption for field op'!$B$4:$E$78,2,FALSE)*1.007)*(VLOOKUP(B109,$B$12:$D$30,3,FALSE)/1000)/(VLOOKUP(B109,$B$12:$R$30,17,FALSE)/1000)),0))</f>
        <v>8.8751872383522525E-3</v>
      </c>
    </row>
    <row r="110" spans="1:20" x14ac:dyDescent="0.3">
      <c r="A110" s="18" t="s">
        <v>87</v>
      </c>
      <c r="B110" s="38" t="s">
        <v>432</v>
      </c>
      <c r="C110" s="19" t="s">
        <v>219</v>
      </c>
      <c r="D110" s="11"/>
      <c r="E110" s="206">
        <f>IF(C110="","",IF(VLOOKUP(C110,'Diesel consumption for field op'!$B$4:$E$78,3,FALSE)="L / ton",((VLOOKUP(C110,'Diesel consumption for field op'!$B$4:$E$78,2,FALSE)*1.007)*(VLOOKUP(B110,$B$12:$D$30,3,FALSE)/1000)/(VLOOKUP(B110,$B$12:$R$30,17,FALSE)/1000)),0))</f>
        <v>3.550074895340901E-2</v>
      </c>
    </row>
    <row r="111" spans="1:20" x14ac:dyDescent="0.3">
      <c r="A111" s="18" t="s">
        <v>88</v>
      </c>
      <c r="B111" s="38" t="s">
        <v>432</v>
      </c>
      <c r="C111" s="19" t="s">
        <v>173</v>
      </c>
      <c r="D111" s="11"/>
      <c r="E111" s="206">
        <f>IF(C111="","",IF(VLOOKUP(C111,'Diesel consumption for field op'!$B$4:$E$78,3,FALSE)="L / ton",((VLOOKUP(C111,'Diesel consumption for field op'!$B$4:$E$78,2,FALSE)*1.007)*(VLOOKUP(B111,$B$12:$D$30,3,FALSE)/1000)/(VLOOKUP(B111,$B$12:$R$30,17,FALSE)/1000)),0))</f>
        <v>8.8751872383522525E-3</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5.3251123430113519E-2</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c r="B122" s="158"/>
      <c r="C122" s="248"/>
      <c r="D122" s="6"/>
      <c r="E122" s="252"/>
      <c r="F122" s="164" t="e">
        <f>VLOOKUP(A122,'Stable systems'!$A$4:$AK$105,35,FALSE)</f>
        <v>#N/A</v>
      </c>
      <c r="G122" s="164" t="e">
        <f>VLOOKUP(A122,'Stable systems'!$A$4:$AK$105,36,FALSE)</f>
        <v>#N/A</v>
      </c>
      <c r="H122" s="164" t="e">
        <f>VLOOKUP(A122,'Stable systems'!$A$4:$AK$105,37,FALSE)</f>
        <v>#N/A</v>
      </c>
      <c r="M122" s="173">
        <f>(C122/100)*E122</f>
        <v>0</v>
      </c>
    </row>
    <row r="123" spans="1:13" x14ac:dyDescent="0.3">
      <c r="A123" s="158"/>
      <c r="B123" s="158"/>
      <c r="C123" s="248"/>
      <c r="D123" s="6"/>
      <c r="E123" s="252"/>
      <c r="F123" s="164" t="e">
        <f>VLOOKUP(A123,'Stable systems'!$A$4:$AK$105,35,FALSE)</f>
        <v>#N/A</v>
      </c>
      <c r="G123" s="164" t="e">
        <f>VLOOKUP(A123,'Stable systems'!$A$4:$AK$105,36,FALSE)</f>
        <v>#N/A</v>
      </c>
      <c r="H123" s="164" t="e">
        <f>VLOOKUP(A123,'Stable systems'!$A$4:$AK$105,37,FALSE)</f>
        <v>#N/A</v>
      </c>
      <c r="M123" s="173">
        <f t="shared" ref="M123:M131" si="41">(C123/100)*E123</f>
        <v>0</v>
      </c>
    </row>
    <row r="124" spans="1:13" x14ac:dyDescent="0.3">
      <c r="A124" s="158" t="s">
        <v>610</v>
      </c>
      <c r="B124" s="158"/>
      <c r="C124" s="248">
        <v>69.141529820413879</v>
      </c>
      <c r="D124" s="6" t="s">
        <v>432</v>
      </c>
      <c r="E124" s="252">
        <v>946.35235650342293</v>
      </c>
      <c r="F124" s="164">
        <f>VLOOKUP(A124,'Stable systems'!$A$4:$AK$105,35,FALSE)</f>
        <v>0</v>
      </c>
      <c r="G124" s="164">
        <f>VLOOKUP(A124,'Stable systems'!$A$4:$AK$105,36,FALSE)</f>
        <v>0</v>
      </c>
      <c r="H124" s="164">
        <f>VLOOKUP(A124,'Stable systems'!$A$4:$AK$105,37,FALSE)</f>
        <v>0</v>
      </c>
      <c r="M124" s="173">
        <f t="shared" si="41"/>
        <v>654.32249677800371</v>
      </c>
    </row>
    <row r="125" spans="1:13" x14ac:dyDescent="0.3">
      <c r="A125" s="158" t="s">
        <v>611</v>
      </c>
      <c r="B125" s="158"/>
      <c r="C125" s="248">
        <v>1.2708519205722417</v>
      </c>
      <c r="D125" s="6" t="s">
        <v>432</v>
      </c>
      <c r="E125" s="252">
        <v>820.88000263296465</v>
      </c>
      <c r="F125" s="164">
        <f>VLOOKUP(A125,'Stable systems'!$A$4:$AK$105,35,FALSE)</f>
        <v>0</v>
      </c>
      <c r="G125" s="164">
        <f>VLOOKUP(A125,'Stable systems'!$A$4:$AK$105,36,FALSE)</f>
        <v>0</v>
      </c>
      <c r="H125" s="164">
        <f>VLOOKUP(A125,'Stable systems'!$A$4:$AK$105,37,FALSE)</f>
        <v>0</v>
      </c>
      <c r="M125" s="173">
        <f t="shared" si="41"/>
        <v>10.4321692790545</v>
      </c>
    </row>
    <row r="126" spans="1:13" x14ac:dyDescent="0.3">
      <c r="A126" s="158" t="s">
        <v>612</v>
      </c>
      <c r="B126" s="158"/>
      <c r="C126" s="248">
        <v>1.4626511376864888</v>
      </c>
      <c r="D126" s="6" t="s">
        <v>432</v>
      </c>
      <c r="E126" s="252">
        <v>648.27382833070033</v>
      </c>
      <c r="F126" s="164">
        <f>VLOOKUP(A126,'Stable systems'!$A$4:$AK$105,35,FALSE)</f>
        <v>0</v>
      </c>
      <c r="G126" s="164">
        <f>VLOOKUP(A126,'Stable systems'!$A$4:$AK$105,36,FALSE)</f>
        <v>0</v>
      </c>
      <c r="H126" s="164">
        <f>VLOOKUP(A126,'Stable systems'!$A$4:$AK$105,37,FALSE)</f>
        <v>0</v>
      </c>
      <c r="M126" s="173">
        <f t="shared" si="41"/>
        <v>9.4819845254027442</v>
      </c>
    </row>
    <row r="127" spans="1:13" x14ac:dyDescent="0.3">
      <c r="A127" s="158" t="s">
        <v>613</v>
      </c>
      <c r="B127" s="158"/>
      <c r="C127" s="248">
        <v>1.298858167025023</v>
      </c>
      <c r="D127" s="6" t="s">
        <v>432</v>
      </c>
      <c r="E127" s="252">
        <v>648.27382833070033</v>
      </c>
      <c r="F127" s="164">
        <f>VLOOKUP(A127,'Stable systems'!$A$4:$AK$105,35,FALSE)</f>
        <v>0</v>
      </c>
      <c r="G127" s="164">
        <f>VLOOKUP(A127,'Stable systems'!$A$4:$AK$105,36,FALSE)</f>
        <v>0</v>
      </c>
      <c r="H127" s="164">
        <f>VLOOKUP(A127,'Stable systems'!$A$4:$AK$105,37,FALSE)</f>
        <v>0</v>
      </c>
      <c r="M127" s="173">
        <f t="shared" si="41"/>
        <v>8.4201575639590782</v>
      </c>
    </row>
    <row r="128" spans="1:13" x14ac:dyDescent="0.3">
      <c r="A128" s="158" t="s">
        <v>614</v>
      </c>
      <c r="B128" s="158"/>
      <c r="C128" s="248">
        <v>3.139231383556691</v>
      </c>
      <c r="D128" s="6" t="s">
        <v>432</v>
      </c>
      <c r="E128" s="252">
        <v>648.27382833070033</v>
      </c>
      <c r="F128" s="164">
        <f>VLOOKUP(A128,'Stable systems'!$A$4:$AK$105,35,FALSE)</f>
        <v>0</v>
      </c>
      <c r="G128" s="164">
        <f>VLOOKUP(A128,'Stable systems'!$A$4:$AK$105,36,FALSE)</f>
        <v>0</v>
      </c>
      <c r="H128" s="164">
        <f>VLOOKUP(A128,'Stable systems'!$A$4:$AK$105,37,FALSE)</f>
        <v>0</v>
      </c>
      <c r="M128" s="173">
        <f t="shared" si="41"/>
        <v>20.350815470341772</v>
      </c>
    </row>
    <row r="129" spans="1:16" x14ac:dyDescent="0.3">
      <c r="A129" s="158" t="s">
        <v>615</v>
      </c>
      <c r="B129" s="158"/>
      <c r="C129" s="248">
        <v>2.3373382004065353</v>
      </c>
      <c r="D129" s="6"/>
      <c r="E129" s="252">
        <v>0</v>
      </c>
      <c r="F129" s="164">
        <f>VLOOKUP(A129,'Stable systems'!$A$4:$AK$105,35,FALSE)</f>
        <v>0</v>
      </c>
      <c r="G129" s="164">
        <f>VLOOKUP(A129,'Stable systems'!$A$4:$AK$105,36,FALSE)</f>
        <v>0</v>
      </c>
      <c r="H129" s="164">
        <f>VLOOKUP(A129,'Stable systems'!$A$4:$AK$105,37,FALSE)</f>
        <v>0</v>
      </c>
      <c r="M129" s="173">
        <f t="shared" si="41"/>
        <v>0</v>
      </c>
    </row>
    <row r="130" spans="1:16" x14ac:dyDescent="0.3">
      <c r="A130" s="158" t="s">
        <v>616</v>
      </c>
      <c r="B130" s="158"/>
      <c r="C130" s="248">
        <v>0.48512437827480648</v>
      </c>
      <c r="D130" s="6" t="s">
        <v>432</v>
      </c>
      <c r="E130" s="252">
        <v>62.736176935229068</v>
      </c>
      <c r="F130" s="164">
        <f>VLOOKUP(A130,'Stable systems'!$A$4:$AK$105,35,FALSE)</f>
        <v>0</v>
      </c>
      <c r="G130" s="164">
        <f>VLOOKUP(A130,'Stable systems'!$A$4:$AK$105,36,FALSE)</f>
        <v>0</v>
      </c>
      <c r="H130" s="164">
        <f>VLOOKUP(A130,'Stable systems'!$A$4:$AK$105,37,FALSE)</f>
        <v>0</v>
      </c>
      <c r="M130" s="173">
        <f t="shared" si="41"/>
        <v>0.30434848831041256</v>
      </c>
    </row>
    <row r="131" spans="1:16" x14ac:dyDescent="0.3">
      <c r="A131" s="158" t="s">
        <v>617</v>
      </c>
      <c r="B131" s="158"/>
      <c r="C131" s="248">
        <v>4.1142322741688284</v>
      </c>
      <c r="D131" s="6" t="s">
        <v>432</v>
      </c>
      <c r="E131" s="252">
        <v>62.736176935229068</v>
      </c>
      <c r="F131" s="164">
        <f>VLOOKUP(A131,'Stable systems'!$A$4:$AK$105,35,FALSE)</f>
        <v>0</v>
      </c>
      <c r="G131" s="164">
        <f>VLOOKUP(A131,'Stable systems'!$A$4:$AK$105,36,FALSE)</f>
        <v>0</v>
      </c>
      <c r="H131" s="164">
        <f>VLOOKUP(A131,'Stable systems'!$A$4:$AK$105,37,FALSE)</f>
        <v>0</v>
      </c>
      <c r="M131" s="173">
        <f t="shared" si="41"/>
        <v>2.5811120390488549</v>
      </c>
    </row>
    <row r="132" spans="1:16" x14ac:dyDescent="0.3">
      <c r="A132" s="158" t="s">
        <v>618</v>
      </c>
      <c r="B132" s="158"/>
      <c r="C132" s="248">
        <v>16.750182717895509</v>
      </c>
      <c r="D132" s="6" t="s">
        <v>432</v>
      </c>
      <c r="E132" s="252">
        <v>62.736176935229068</v>
      </c>
      <c r="F132" s="164">
        <f>VLOOKUP(A132,'Stable systems'!$A$4:$AK$105,35,FALSE)</f>
        <v>0</v>
      </c>
      <c r="G132" s="164">
        <f>VLOOKUP(A132,'Stable systems'!$A$4:$AK$105,36,FALSE)</f>
        <v>0</v>
      </c>
      <c r="H132" s="164">
        <f>VLOOKUP(A132,'Stable systems'!$A$4:$AK$105,37,FALSE)</f>
        <v>0</v>
      </c>
      <c r="M132" s="173">
        <f>(C132/100)*E132</f>
        <v>10.508424266873089</v>
      </c>
    </row>
    <row r="133" spans="1:16" x14ac:dyDescent="0.3">
      <c r="A133" s="158"/>
      <c r="B133" s="158"/>
      <c r="C133" s="248"/>
      <c r="D133" s="6"/>
      <c r="E133" s="252"/>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v>0</v>
      </c>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t="s">
        <v>665</v>
      </c>
      <c r="B136" s="158"/>
      <c r="C136" s="205">
        <f>((SUM(D24:D25)/D32)*100)</f>
        <v>33.149171270718227</v>
      </c>
      <c r="D136" s="12"/>
      <c r="M136" s="154"/>
    </row>
    <row r="137" spans="1:16" x14ac:dyDescent="0.3">
      <c r="B137" s="156" t="s">
        <v>56</v>
      </c>
      <c r="C137" s="245">
        <f>SUM(C122:C134)</f>
        <v>100</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478.92034540182493</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2.8139740070821118</v>
      </c>
      <c r="L146" s="49">
        <f>IF(E146="Diesel",VLOOKUP(D146,Other_tables!$L$5:$O$13,2,FALSE)*K146,0)</f>
        <v>0.56279480141642235</v>
      </c>
      <c r="P146" s="30" t="str">
        <f>Other_tables!L5</f>
        <v>Traktor</v>
      </c>
      <c r="Q146" s="44"/>
      <c r="R146" s="103">
        <f t="shared" ref="R146:R154" si="44">SUMPRODUCT(($D$146:$D$149=P146)*$L$146:$L$149)</f>
        <v>0.56279480141642235</v>
      </c>
      <c r="S146" s="114">
        <f t="shared" ref="S146:S154" si="45">IF(P146="","0",SUMPRODUCT(($D$146:$D$149=P146)*$K$146:$K$149))</f>
        <v>2.8139740070821118</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0.56279480141642235</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0.28336718251316867</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1.1334687300526747</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0.28336718251316867</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1.7002030950790121</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0.68158442517517936</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1.6517466100201723</v>
      </c>
    </row>
    <row r="173" spans="1:20" x14ac:dyDescent="0.3">
      <c r="A173" s="25"/>
      <c r="B173" s="138"/>
      <c r="C173" s="138"/>
      <c r="P173" s="30" t="s">
        <v>226</v>
      </c>
      <c r="Q173" s="44"/>
      <c r="R173" s="103">
        <f t="shared" si="46"/>
        <v>0</v>
      </c>
      <c r="S173" s="179"/>
      <c r="T173" s="103">
        <f t="shared" si="47"/>
        <v>13.669904972135154</v>
      </c>
    </row>
    <row r="174" spans="1:20" x14ac:dyDescent="0.3">
      <c r="A174" s="25"/>
      <c r="B174" s="138" t="s">
        <v>391</v>
      </c>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1:20" x14ac:dyDescent="0.3">
      <c r="F177" s="183" t="s">
        <v>279</v>
      </c>
      <c r="G177" s="81">
        <f>B65+R106+C156</f>
        <v>0</v>
      </c>
      <c r="H177" s="81">
        <f>AC31+C65+R93+S106+D118+D156+D168</f>
        <v>69.237037037037041</v>
      </c>
      <c r="I177" s="81">
        <f>AB31+R77+D65+S93+T106+E118+R155+E156+E168</f>
        <v>5.6248192193532551</v>
      </c>
      <c r="J177" s="114">
        <f>AD31+T77+T155</f>
        <v>15.321651582155326</v>
      </c>
      <c r="P177" s="30" t="s">
        <v>270</v>
      </c>
      <c r="Q177" s="44"/>
      <c r="R177" s="103">
        <f t="shared" si="46"/>
        <v>0</v>
      </c>
      <c r="S177" s="179"/>
      <c r="T177" s="103">
        <f t="shared" si="47"/>
        <v>0</v>
      </c>
    </row>
    <row r="178" spans="1:20" x14ac:dyDescent="0.3">
      <c r="A178" t="s">
        <v>395</v>
      </c>
      <c r="P178" s="30" t="s">
        <v>271</v>
      </c>
      <c r="Q178" s="44"/>
      <c r="R178" s="103">
        <f t="shared" si="46"/>
        <v>0</v>
      </c>
      <c r="S178" s="179"/>
      <c r="T178" s="103">
        <f t="shared" si="47"/>
        <v>0</v>
      </c>
    </row>
    <row r="179" spans="1:20" x14ac:dyDescent="0.3">
      <c r="P179" s="30">
        <v>0</v>
      </c>
      <c r="Q179" s="44"/>
      <c r="R179" s="103">
        <f t="shared" si="46"/>
        <v>0</v>
      </c>
      <c r="S179" s="179"/>
      <c r="T179" s="103">
        <f t="shared" si="47"/>
        <v>0</v>
      </c>
    </row>
    <row r="180" spans="1:20" x14ac:dyDescent="0.3">
      <c r="B180" t="s">
        <v>391</v>
      </c>
      <c r="C180" t="s">
        <v>392</v>
      </c>
      <c r="D180" t="s">
        <v>371</v>
      </c>
      <c r="P180" s="59" t="s">
        <v>56</v>
      </c>
      <c r="R180" s="178">
        <f>SUM(R171:R179)</f>
        <v>0.68158442517517936</v>
      </c>
      <c r="S180" s="47"/>
      <c r="T180" s="178">
        <f>SUM(T171:T179)</f>
        <v>15.321651582155326</v>
      </c>
    </row>
    <row r="181" spans="1:20" x14ac:dyDescent="0.3">
      <c r="A181" t="s">
        <v>393</v>
      </c>
      <c r="B181">
        <v>1.06</v>
      </c>
    </row>
    <row r="182" spans="1:20" x14ac:dyDescent="0.3">
      <c r="A182" t="s">
        <v>394</v>
      </c>
      <c r="C182">
        <v>0.5</v>
      </c>
      <c r="D182">
        <v>0.5</v>
      </c>
      <c r="E182" t="s">
        <v>396</v>
      </c>
    </row>
    <row r="183" spans="1:20" x14ac:dyDescent="0.3">
      <c r="A183" t="s">
        <v>397</v>
      </c>
      <c r="B183" t="s">
        <v>186</v>
      </c>
      <c r="C183">
        <v>5.2</v>
      </c>
      <c r="D183">
        <v>5.2</v>
      </c>
      <c r="E183" t="s">
        <v>399</v>
      </c>
    </row>
    <row r="184" spans="1:20" x14ac:dyDescent="0.3">
      <c r="A184" t="s">
        <v>401</v>
      </c>
      <c r="C184">
        <v>40</v>
      </c>
      <c r="D184">
        <v>40</v>
      </c>
    </row>
    <row r="185" spans="1:20" x14ac:dyDescent="0.3">
      <c r="A185" t="s">
        <v>400</v>
      </c>
      <c r="B185">
        <v>5.2</v>
      </c>
      <c r="C185">
        <v>4</v>
      </c>
      <c r="D185">
        <v>4</v>
      </c>
      <c r="E185" t="s">
        <v>398</v>
      </c>
    </row>
    <row r="186" spans="1:20" x14ac:dyDescent="0.3">
      <c r="A186" t="s">
        <v>401</v>
      </c>
      <c r="B186">
        <v>290</v>
      </c>
      <c r="C186">
        <v>200</v>
      </c>
      <c r="D186">
        <v>200</v>
      </c>
      <c r="E186" t="s">
        <v>402</v>
      </c>
    </row>
    <row r="188" spans="1:20" x14ac:dyDescent="0.3">
      <c r="A188" t="s">
        <v>406</v>
      </c>
      <c r="B188" t="s">
        <v>186</v>
      </c>
      <c r="C188">
        <f>(C183*C184+C185*C186)*0.01</f>
        <v>10.08</v>
      </c>
      <c r="D188">
        <f>(D183*D184+D185*D186)*0.01</f>
        <v>10.08</v>
      </c>
    </row>
    <row r="190" spans="1:20" x14ac:dyDescent="0.3">
      <c r="A190" t="s">
        <v>403</v>
      </c>
      <c r="C190">
        <v>824</v>
      </c>
      <c r="D190">
        <v>382</v>
      </c>
    </row>
    <row r="191" spans="1:20" x14ac:dyDescent="0.3">
      <c r="C191">
        <f>B181*C182*(100-C183-C185)*0.01</f>
        <v>0.48124000000000006</v>
      </c>
      <c r="D191" t="s">
        <v>186</v>
      </c>
    </row>
    <row r="192" spans="1:20" x14ac:dyDescent="0.3">
      <c r="A192" t="s">
        <v>404</v>
      </c>
      <c r="B192" s="154"/>
      <c r="C192" s="32">
        <f>C191/365*C190</f>
        <v>1.0864157808219179</v>
      </c>
      <c r="D192" s="32">
        <f>B181*D182*(100-(D183+D185))*0.01</f>
        <v>0.48124000000000006</v>
      </c>
    </row>
    <row r="193" spans="1:4" x14ac:dyDescent="0.3">
      <c r="A193" t="s">
        <v>407</v>
      </c>
      <c r="B193" s="154">
        <f>B186*B185*0.01</f>
        <v>15.08</v>
      </c>
      <c r="C193" s="154">
        <f>C188*C192</f>
        <v>10.951071070684932</v>
      </c>
      <c r="D193" s="154"/>
    </row>
    <row r="194" spans="1:4" x14ac:dyDescent="0.3">
      <c r="A194" t="s">
        <v>405</v>
      </c>
      <c r="B194" s="154" t="s">
        <v>186</v>
      </c>
      <c r="C194" s="154" t="s">
        <v>186</v>
      </c>
      <c r="D194" s="154">
        <f>D188</f>
        <v>10.08</v>
      </c>
    </row>
    <row r="200" spans="1:4" x14ac:dyDescent="0.3">
      <c r="B200" t="s">
        <v>347</v>
      </c>
      <c r="C200" t="s">
        <v>374</v>
      </c>
      <c r="D200" t="s">
        <v>375</v>
      </c>
    </row>
    <row r="201" spans="1:4" x14ac:dyDescent="0.3">
      <c r="A201" t="s">
        <v>349</v>
      </c>
      <c r="B201">
        <v>1</v>
      </c>
      <c r="C201">
        <v>1</v>
      </c>
      <c r="D201" t="s">
        <v>186</v>
      </c>
    </row>
    <row r="202" spans="1:4" x14ac:dyDescent="0.3">
      <c r="A202" t="s">
        <v>8</v>
      </c>
      <c r="B202">
        <v>619</v>
      </c>
      <c r="C202">
        <v>1280</v>
      </c>
      <c r="D202" s="110">
        <f>$B$201*B202+$C$201*C202</f>
        <v>1899</v>
      </c>
    </row>
    <row r="203" spans="1:4" x14ac:dyDescent="0.3">
      <c r="A203" t="s">
        <v>354</v>
      </c>
      <c r="B203">
        <v>619</v>
      </c>
      <c r="C203">
        <v>1280</v>
      </c>
      <c r="D203" s="110">
        <f>$B$201*B203+$C$201*C203</f>
        <v>1899</v>
      </c>
    </row>
    <row r="204" spans="1:4" x14ac:dyDescent="0.3">
      <c r="A204" t="s">
        <v>350</v>
      </c>
      <c r="B204">
        <v>169</v>
      </c>
      <c r="C204">
        <v>145</v>
      </c>
      <c r="D204" s="110" t="s">
        <v>186</v>
      </c>
    </row>
    <row r="205" spans="1:4" x14ac:dyDescent="0.3">
      <c r="A205" t="s">
        <v>351</v>
      </c>
      <c r="B205">
        <f>B202*B204</f>
        <v>104611</v>
      </c>
      <c r="C205">
        <f>C202*C204</f>
        <v>185600</v>
      </c>
      <c r="D205" s="110">
        <f t="shared" ref="D205" si="48">$B$201*B205+$C$201*C205</f>
        <v>290211</v>
      </c>
    </row>
    <row r="206" spans="1:4" x14ac:dyDescent="0.3">
      <c r="A206" t="s">
        <v>350</v>
      </c>
      <c r="D206" s="110">
        <f>D205/D202</f>
        <v>152.82306477093206</v>
      </c>
    </row>
    <row r="207" spans="1:4" x14ac:dyDescent="0.3">
      <c r="A207" t="s">
        <v>366</v>
      </c>
      <c r="D207" s="110">
        <f>D205/D203</f>
        <v>152.82306477093206</v>
      </c>
    </row>
    <row r="208" spans="1:4" x14ac:dyDescent="0.3">
      <c r="A208" t="s">
        <v>356</v>
      </c>
      <c r="B208">
        <v>4.4000000000000004</v>
      </c>
      <c r="C208">
        <v>4.2</v>
      </c>
      <c r="D208" s="110"/>
    </row>
    <row r="209" spans="1:8" x14ac:dyDescent="0.3">
      <c r="A209" t="s">
        <v>64</v>
      </c>
      <c r="B209">
        <f>B205*B208</f>
        <v>460288.4</v>
      </c>
      <c r="C209">
        <f>C205*C208</f>
        <v>779520</v>
      </c>
      <c r="D209" s="110">
        <f t="shared" ref="D209" si="49">$B$201*B209+$C$201*C209</f>
        <v>1239808.3999999999</v>
      </c>
    </row>
    <row r="210" spans="1:8" x14ac:dyDescent="0.3">
      <c r="A210" t="s">
        <v>356</v>
      </c>
      <c r="D210" s="154">
        <f>D209/D205</f>
        <v>4.2720930633228926</v>
      </c>
    </row>
    <row r="211" spans="1:8" x14ac:dyDescent="0.3">
      <c r="A211" t="s">
        <v>357</v>
      </c>
      <c r="B211">
        <v>15</v>
      </c>
      <c r="C211">
        <v>10</v>
      </c>
      <c r="D211" s="110"/>
    </row>
    <row r="212" spans="1:8" x14ac:dyDescent="0.3">
      <c r="A212" t="s">
        <v>357</v>
      </c>
      <c r="B212">
        <f>B209*B211</f>
        <v>6904326</v>
      </c>
      <c r="C212">
        <f>C209*C211</f>
        <v>7795200</v>
      </c>
      <c r="D212" s="110">
        <f t="shared" ref="D212" si="50">$B$201*B212+$C$201*C212</f>
        <v>14699526</v>
      </c>
    </row>
    <row r="213" spans="1:8" x14ac:dyDescent="0.3">
      <c r="A213" t="s">
        <v>358</v>
      </c>
      <c r="D213" s="154">
        <f>D212/D209</f>
        <v>11.856288439407251</v>
      </c>
    </row>
    <row r="214" spans="1:8" x14ac:dyDescent="0.3">
      <c r="A214" t="s">
        <v>353</v>
      </c>
      <c r="B214">
        <v>180</v>
      </c>
      <c r="C214">
        <v>220</v>
      </c>
      <c r="D214" s="110">
        <f>$B$201*B214+$C$201*C214</f>
        <v>400</v>
      </c>
    </row>
    <row r="215" spans="1:8" x14ac:dyDescent="0.3">
      <c r="A215" t="s">
        <v>355</v>
      </c>
      <c r="B215">
        <v>0</v>
      </c>
      <c r="C215">
        <v>0</v>
      </c>
      <c r="D215" s="110">
        <f>$B$201*B215+$C$201*C215</f>
        <v>0</v>
      </c>
    </row>
    <row r="216" spans="1:8" x14ac:dyDescent="0.3">
      <c r="F216" t="s">
        <v>367</v>
      </c>
      <c r="G216" t="s">
        <v>368</v>
      </c>
    </row>
    <row r="217" spans="1:8" x14ac:dyDescent="0.3">
      <c r="A217" t="s">
        <v>365</v>
      </c>
      <c r="D217">
        <f>SUM(D218:D224)</f>
        <v>1899</v>
      </c>
    </row>
    <row r="218" spans="1:8" x14ac:dyDescent="0.3">
      <c r="A218" t="s">
        <v>359</v>
      </c>
      <c r="D218">
        <v>44</v>
      </c>
      <c r="E218" t="s">
        <v>359</v>
      </c>
    </row>
    <row r="219" spans="1:8" x14ac:dyDescent="0.3">
      <c r="A219" t="s">
        <v>351</v>
      </c>
      <c r="D219">
        <v>500</v>
      </c>
      <c r="E219" t="s">
        <v>351</v>
      </c>
    </row>
    <row r="220" spans="1:8" x14ac:dyDescent="0.3">
      <c r="A220" t="s">
        <v>360</v>
      </c>
      <c r="D220">
        <v>425</v>
      </c>
      <c r="E220" t="s">
        <v>360</v>
      </c>
      <c r="H220" t="s">
        <v>377</v>
      </c>
    </row>
    <row r="221" spans="1:8" x14ac:dyDescent="0.3">
      <c r="A221" t="s">
        <v>361</v>
      </c>
      <c r="D221">
        <v>850</v>
      </c>
      <c r="E221" t="s">
        <v>361</v>
      </c>
    </row>
    <row r="222" spans="1:8" x14ac:dyDescent="0.3">
      <c r="A222" t="s">
        <v>362</v>
      </c>
      <c r="D222">
        <v>0</v>
      </c>
      <c r="E222" t="s">
        <v>362</v>
      </c>
    </row>
    <row r="223" spans="1:8" x14ac:dyDescent="0.3">
      <c r="A223" t="s">
        <v>376</v>
      </c>
      <c r="D223">
        <v>15</v>
      </c>
      <c r="E223" t="s">
        <v>363</v>
      </c>
    </row>
    <row r="224" spans="1:8" x14ac:dyDescent="0.3">
      <c r="A224" t="s">
        <v>364</v>
      </c>
      <c r="D224">
        <v>65</v>
      </c>
      <c r="E224" t="s">
        <v>364</v>
      </c>
    </row>
    <row r="225" spans="1:8" x14ac:dyDescent="0.3">
      <c r="A225" t="s">
        <v>369</v>
      </c>
      <c r="D225">
        <v>34</v>
      </c>
      <c r="E225" t="s">
        <v>369</v>
      </c>
    </row>
    <row r="228" spans="1:8" x14ac:dyDescent="0.3">
      <c r="D228" t="s">
        <v>378</v>
      </c>
      <c r="E228" t="s">
        <v>526</v>
      </c>
      <c r="F228" t="s">
        <v>526</v>
      </c>
      <c r="G228" t="s">
        <v>526</v>
      </c>
    </row>
    <row r="229" spans="1:8" x14ac:dyDescent="0.3">
      <c r="A229" t="s">
        <v>514</v>
      </c>
      <c r="C229" s="154"/>
      <c r="D229" s="154">
        <f>($B$202*B229+$C$202*C229)/$D$202</f>
        <v>0</v>
      </c>
      <c r="F229">
        <v>0.75</v>
      </c>
      <c r="G229" s="32">
        <f>($B$202*E229+$C$202*F229)/$D$202</f>
        <v>0.50552922590837279</v>
      </c>
      <c r="H229" s="154">
        <f>G229*365*0.85</f>
        <v>156.84044233807265</v>
      </c>
    </row>
    <row r="230" spans="1:8" x14ac:dyDescent="0.3">
      <c r="A230" t="s">
        <v>515</v>
      </c>
      <c r="C230" s="154"/>
      <c r="D230" s="154">
        <f t="shared" ref="D230:D240" si="51">($B$202*B230+$C$202*C230)/$D$202</f>
        <v>0</v>
      </c>
      <c r="F230">
        <v>0.75</v>
      </c>
      <c r="G230" s="32">
        <f t="shared" ref="G230:G240" si="52">($B$202*E230+$C$202*F230)/$D$202</f>
        <v>0.50552922590837279</v>
      </c>
      <c r="H230" s="154">
        <f t="shared" ref="H230:H240" si="53">G230*365*0.85</f>
        <v>156.84044233807265</v>
      </c>
    </row>
    <row r="231" spans="1:8" x14ac:dyDescent="0.3">
      <c r="A231" t="s">
        <v>519</v>
      </c>
      <c r="B231" s="154">
        <v>97.695910750379525</v>
      </c>
      <c r="C231" s="154">
        <v>55.332809667563303</v>
      </c>
      <c r="D231" s="154">
        <f>($B$202*B231+$C$202*C231)/$D$202</f>
        <v>69.141529820413879</v>
      </c>
      <c r="E231">
        <v>1.5</v>
      </c>
      <c r="F231">
        <v>3.8</v>
      </c>
      <c r="G231" s="32">
        <f>($B$202*E231+$C$202*F231)/$D$202</f>
        <v>3.0502896261190102</v>
      </c>
      <c r="H231" s="154">
        <f>G231*365*0.85</f>
        <v>946.35235650342293</v>
      </c>
    </row>
    <row r="232" spans="1:8" x14ac:dyDescent="0.3">
      <c r="A232" s="207" t="s">
        <v>520</v>
      </c>
      <c r="B232" s="154">
        <v>2.3040892496204788</v>
      </c>
      <c r="C232" s="154">
        <v>0.77118480597782102</v>
      </c>
      <c r="D232" s="154">
        <f t="shared" si="51"/>
        <v>1.2708519205722417</v>
      </c>
      <c r="E232">
        <v>1.5</v>
      </c>
      <c r="F232">
        <v>3.2</v>
      </c>
      <c r="G232" s="32">
        <f t="shared" si="52"/>
        <v>2.6458662453923116</v>
      </c>
      <c r="H232" s="154">
        <f>G232*365*0.85</f>
        <v>820.88000263296465</v>
      </c>
    </row>
    <row r="233" spans="1:8" x14ac:dyDescent="0.3">
      <c r="A233" t="s">
        <v>521</v>
      </c>
      <c r="C233" s="154">
        <v>2.169980086302064</v>
      </c>
      <c r="D233" s="154">
        <f t="shared" si="51"/>
        <v>1.4626511376864888</v>
      </c>
      <c r="F233">
        <v>3.1</v>
      </c>
      <c r="G233" s="32">
        <f t="shared" si="52"/>
        <v>2.0895208004212744</v>
      </c>
      <c r="H233" s="154">
        <f t="shared" si="53"/>
        <v>648.27382833070033</v>
      </c>
    </row>
    <row r="234" spans="1:8" x14ac:dyDescent="0.3">
      <c r="A234" t="s">
        <v>522</v>
      </c>
      <c r="C234" s="154">
        <v>1.9269778587347801</v>
      </c>
      <c r="D234" s="154">
        <f t="shared" si="51"/>
        <v>1.298858167025023</v>
      </c>
      <c r="F234" s="154">
        <v>3.1</v>
      </c>
      <c r="G234" s="32">
        <f t="shared" si="52"/>
        <v>2.0895208004212744</v>
      </c>
      <c r="H234" s="154">
        <f t="shared" si="53"/>
        <v>648.27382833070033</v>
      </c>
    </row>
    <row r="235" spans="1:8" x14ac:dyDescent="0.3">
      <c r="A235" t="s">
        <v>523</v>
      </c>
      <c r="C235" s="154">
        <v>4.6573440604485601</v>
      </c>
      <c r="D235" s="154">
        <f t="shared" si="51"/>
        <v>3.139231383556691</v>
      </c>
      <c r="F235" s="154">
        <v>3.1</v>
      </c>
      <c r="G235" s="32">
        <f t="shared" si="52"/>
        <v>2.0895208004212744</v>
      </c>
      <c r="H235" s="154">
        <f t="shared" si="53"/>
        <v>648.27382833070033</v>
      </c>
    </row>
    <row r="236" spans="1:8" x14ac:dyDescent="0.3">
      <c r="A236" t="s">
        <v>524</v>
      </c>
      <c r="C236" s="154">
        <v>3.4676603457593838</v>
      </c>
      <c r="D236" s="154">
        <f t="shared" si="51"/>
        <v>2.3373382004065353</v>
      </c>
      <c r="F236">
        <v>0</v>
      </c>
      <c r="G236" s="32">
        <f t="shared" si="52"/>
        <v>0</v>
      </c>
      <c r="H236" s="154">
        <f t="shared" si="53"/>
        <v>0</v>
      </c>
    </row>
    <row r="237" spans="1:8" x14ac:dyDescent="0.3">
      <c r="A237" t="s">
        <v>516</v>
      </c>
      <c r="C237" s="154">
        <v>0.71972749558113869</v>
      </c>
      <c r="D237" s="154">
        <f t="shared" si="51"/>
        <v>0.48512437827480648</v>
      </c>
      <c r="F237">
        <v>0.3</v>
      </c>
      <c r="G237" s="32">
        <f t="shared" si="52"/>
        <v>0.20221169036334913</v>
      </c>
      <c r="H237" s="154">
        <f t="shared" si="53"/>
        <v>62.736176935229068</v>
      </c>
    </row>
    <row r="238" spans="1:8" x14ac:dyDescent="0.3">
      <c r="A238" t="s">
        <v>579</v>
      </c>
      <c r="C238" s="154">
        <v>6.1038492880051605</v>
      </c>
      <c r="D238" s="154">
        <f t="shared" si="51"/>
        <v>4.1142322741688284</v>
      </c>
      <c r="F238">
        <v>0.3</v>
      </c>
      <c r="G238" s="32">
        <f t="shared" si="52"/>
        <v>0.20221169036334913</v>
      </c>
      <c r="H238" s="154">
        <f t="shared" si="53"/>
        <v>62.736176935229068</v>
      </c>
    </row>
    <row r="239" spans="1:8" x14ac:dyDescent="0.3">
      <c r="A239" t="s">
        <v>580</v>
      </c>
      <c r="C239" s="154">
        <v>24.850466391627791</v>
      </c>
      <c r="D239" s="154">
        <f t="shared" si="51"/>
        <v>16.750182717895509</v>
      </c>
      <c r="F239">
        <v>0.3</v>
      </c>
      <c r="G239" s="32">
        <f t="shared" si="52"/>
        <v>0.20221169036334913</v>
      </c>
      <c r="H239" s="154">
        <f t="shared" si="53"/>
        <v>62.736176935229068</v>
      </c>
    </row>
    <row r="240" spans="1:8" x14ac:dyDescent="0.3">
      <c r="A240" t="s">
        <v>525</v>
      </c>
      <c r="C240" s="154"/>
      <c r="D240" s="110">
        <f t="shared" si="51"/>
        <v>0</v>
      </c>
      <c r="F240">
        <v>0.3</v>
      </c>
      <c r="G240" s="32">
        <f t="shared" si="52"/>
        <v>0.20221169036334913</v>
      </c>
      <c r="H240" s="154">
        <f t="shared" si="53"/>
        <v>62.736176935229068</v>
      </c>
    </row>
    <row r="241" spans="2:4" x14ac:dyDescent="0.3">
      <c r="B241" s="32">
        <f>SUM(B229:B240)</f>
        <v>100</v>
      </c>
      <c r="C241" s="47">
        <f>SUM(C229:C240)</f>
        <v>100</v>
      </c>
      <c r="D241" s="32">
        <f>SUM(D229:D240)</f>
        <v>100</v>
      </c>
    </row>
    <row r="245" spans="2:4" x14ac:dyDescent="0.3">
      <c r="C245" s="154"/>
    </row>
  </sheetData>
  <scenarios current="0">
    <scenario name="Test1" count="1" user="Author" comment="Created by Author on 1/17/2022">
      <inputCells r="D15" val="261.747273174708" numFmtId="164"/>
    </scenario>
  </scenarios>
  <dataConsolidate link="1"/>
  <mergeCells count="23">
    <mergeCell ref="T34:X34"/>
    <mergeCell ref="AO22:AP22"/>
    <mergeCell ref="AQ22:AT22"/>
    <mergeCell ref="AU22:AZ22"/>
    <mergeCell ref="BA22:BC22"/>
    <mergeCell ref="BD22:BF22"/>
    <mergeCell ref="BG22:BH22"/>
    <mergeCell ref="A7:A9"/>
    <mergeCell ref="B7:C9"/>
    <mergeCell ref="E10:F10"/>
    <mergeCell ref="S10:Y10"/>
    <mergeCell ref="AO21:BH21"/>
    <mergeCell ref="E22:G22"/>
    <mergeCell ref="H22:I22"/>
    <mergeCell ref="K22:P22"/>
    <mergeCell ref="S22:Y22"/>
    <mergeCell ref="AB22:AD22"/>
    <mergeCell ref="B6:C6"/>
    <mergeCell ref="B3:C3"/>
    <mergeCell ref="F3:G3"/>
    <mergeCell ref="B4:C4"/>
    <mergeCell ref="I4:J4"/>
    <mergeCell ref="B5:C5"/>
  </mergeCells>
  <dataValidations count="3">
    <dataValidation type="list" allowBlank="1" showInputMessage="1" showErrorMessage="1" sqref="B146:B149 B152:B155 B159:B167" xr:uid="{00000000-0002-0000-0800-000000000000}">
      <formula1>$B$140:$B$143</formula1>
    </dataValidation>
    <dataValidation type="list" allowBlank="1" showInputMessage="1" showErrorMessage="1" sqref="B109:B117 B84:B92 B68:B81" xr:uid="{00000000-0002-0000-0800-000001000000}">
      <formula1>$AF$3:$AF$51</formula1>
    </dataValidation>
    <dataValidation type="list" allowBlank="1" showInputMessage="1" showErrorMessage="1" sqref="B97:B105 B82 B144:B145" xr:uid="{00000000-0002-0000-0800-000002000000}">
      <formula1>$B$24:$B$30</formula1>
    </dataValidation>
  </dataValidation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800-000003000000}">
          <x14:formula1>
            <xm:f>'Processed products'!$AJ$5:$AJ$104</xm:f>
          </x14:formula1>
          <xm:sqref>A136</xm:sqref>
        </x14:dataValidation>
        <x14:dataValidation type="list" allowBlank="1" showInputMessage="1" showErrorMessage="1" xr:uid="{00000000-0002-0000-0800-000004000000}">
          <x14:formula1>
            <xm:f>'Processed products'!$C$5:$C$104</xm:f>
          </x14:formula1>
          <xm:sqref>D4</xm:sqref>
        </x14:dataValidation>
        <x14:dataValidation type="list" allowBlank="1" showInputMessage="1" showErrorMessage="1" xr:uid="{00000000-0002-0000-0800-000005000000}">
          <x14:formula1>
            <xm:f>'Respiration and enteric gas los'!$A$4:$A$35</xm:f>
          </x14:formula1>
          <xm:sqref>B54</xm:sqref>
        </x14:dataValidation>
        <x14:dataValidation type="list" allowBlank="1" showInputMessage="1" showErrorMessage="1" xr:uid="{00000000-0002-0000-0800-000006000000}">
          <x14:formula1>
            <xm:f>'Respiration and enteric gas los'!$M$4:$M$35</xm:f>
          </x14:formula1>
          <xm:sqref>B55</xm:sqref>
        </x14:dataValidation>
        <x14:dataValidation type="list" allowBlank="1" showInputMessage="1" showErrorMessage="1" xr:uid="{00000000-0002-0000-0800-000008000000}">
          <x14:formula1>
            <xm:f>'Imported products'!$B$5:$B$54</xm:f>
          </x14:formula1>
          <xm:sqref>F12:F18 B17:B18 G24:G30</xm:sqref>
        </x14:dataValidation>
        <x14:dataValidation type="list" allowBlank="1" showInputMessage="1" showErrorMessage="1" xr:uid="{00000000-0002-0000-0800-000009000000}">
          <x14:formula1>
            <xm:f>Converted_feedstuff!$C$5:$C$54</xm:f>
          </x14:formula1>
          <xm:sqref>B24:B30 E24:E30</xm:sqref>
        </x14:dataValidation>
        <x14:dataValidation type="list" allowBlank="1" showInputMessage="1" showErrorMessage="1" xr:uid="{00000000-0002-0000-0800-00000A000000}">
          <x14:formula1>
            <xm:f>Other_tables!$G$5:$G$12</xm:f>
          </x14:formula1>
          <xm:sqref>C54:C58</xm:sqref>
        </x14:dataValidation>
        <x14:dataValidation type="list" allowBlank="1" showInputMessage="1" showErrorMessage="1" xr:uid="{00000000-0002-0000-0800-00000B000000}">
          <x14:formula1>
            <xm:f>'Diesel consumption for field op'!$B$4:$B$78</xm:f>
          </x14:formula1>
          <xm:sqref>C109:C117 C159:C167</xm:sqref>
        </x14:dataValidation>
        <x14:dataValidation type="list" allowBlank="1" showInputMessage="1" showErrorMessage="1" xr:uid="{00000000-0002-0000-0800-00000C000000}">
          <x14:formula1>
            <xm:f>Other_tables!$S$5:$S$22</xm:f>
          </x14:formula1>
          <xm:sqref>C84:C92</xm:sqref>
        </x14:dataValidation>
        <x14:dataValidation type="list" allowBlank="1" showInputMessage="1" showErrorMessage="1" xr:uid="{00000000-0002-0000-0800-00000D000000}">
          <x14:formula1>
            <xm:f>'Processed products'!$B$5:$B$104</xm:f>
          </x14:formula1>
          <xm:sqref>B35:B42 L35:M37</xm:sqref>
        </x14:dataValidation>
        <x14:dataValidation type="list" allowBlank="1" showInputMessage="1" showErrorMessage="1" xr:uid="{00000000-0002-0000-0800-00000E000000}">
          <x14:formula1>
            <xm:f>Other_tables!$A$5:$A$50</xm:f>
          </x14:formula1>
          <xm:sqref>C19 C33</xm:sqref>
        </x14:dataValidation>
        <x14:dataValidation type="list" allowBlank="1" showInputMessage="1" showErrorMessage="1" xr:uid="{00000000-0002-0000-0800-00000F000000}">
          <x14:formula1>
            <xm:f>Biomass_pool_output_Tech1_modul!$A$3:$A$100</xm:f>
          </x14:formula1>
          <xm:sqref>D122:D135 E12:E18 B12:B16 B140:B143 F24:F30</xm:sqref>
        </x14:dataValidation>
        <x14:dataValidation type="list" allowBlank="1" showInputMessage="1" showErrorMessage="1" xr:uid="{00000000-0002-0000-0800-000011000000}">
          <x14:formula1>
            <xm:f>Other_tables!$L$5:$L$13</xm:f>
          </x14:formula1>
          <xm:sqref>D146:D149 D68:D82</xm:sqref>
        </x14:dataValidation>
        <x14:dataValidation type="list" allowBlank="1" showInputMessage="1" showErrorMessage="1" xr:uid="{00000000-0002-0000-0800-000012000000}">
          <x14:formula1>
            <xm:f>Other_tables!$Q$5:$Q$6</xm:f>
          </x14:formula1>
          <xm:sqref>E146:E149 E68:E82</xm:sqref>
        </x14:dataValidation>
        <x14:dataValidation type="list" allowBlank="1" showInputMessage="1" showErrorMessage="1" xr:uid="{A12B7A04-207D-4525-A170-CBB6B4334BE1}">
          <x14:formula1>
            <xm:f>'Processed products'!$AJ$5:$AJ$250</xm:f>
          </x14:formula1>
          <xm:sqref>B45:B49</xm:sqref>
        </x14:dataValidation>
        <x14:dataValidation type="list" allowBlank="1" showInputMessage="1" showErrorMessage="1" xr:uid="{00000000-0002-0000-0800-000007000000}">
          <x14:formula1>
            <xm:f>'Stable systems'!$A$4:$A$105</xm:f>
          </x14:formula1>
          <xm:sqref>A122:A134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O239"/>
  <sheetViews>
    <sheetView workbookViewId="0">
      <selection activeCell="B24" sqref="B24"/>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Protein_2_org</v>
      </c>
    </row>
    <row r="4" spans="1:36" x14ac:dyDescent="0.3">
      <c r="A4" s="15" t="s">
        <v>31</v>
      </c>
      <c r="B4" s="299">
        <v>101</v>
      </c>
      <c r="C4" s="299"/>
      <c r="D4" s="5" t="s">
        <v>535</v>
      </c>
      <c r="F4" s="150" t="s">
        <v>223</v>
      </c>
      <c r="G4" s="149">
        <v>16</v>
      </c>
      <c r="I4" s="302" t="s">
        <v>158</v>
      </c>
      <c r="J4" s="303"/>
      <c r="K4" s="128"/>
      <c r="L4" s="134" t="s">
        <v>207</v>
      </c>
      <c r="AF4" s="144" t="str">
        <f t="shared" ref="AF4:AF9" si="0">IF(B13="","",B13)</f>
        <v/>
      </c>
    </row>
    <row r="5" spans="1:36" x14ac:dyDescent="0.3">
      <c r="A5" s="15" t="s">
        <v>32</v>
      </c>
      <c r="B5" s="299" t="s">
        <v>619</v>
      </c>
      <c r="C5" s="299"/>
      <c r="D5" s="17" t="s">
        <v>627</v>
      </c>
      <c r="E5" t="s">
        <v>186</v>
      </c>
      <c r="F5" s="150" t="s">
        <v>224</v>
      </c>
      <c r="G5" s="149">
        <v>17</v>
      </c>
      <c r="I5" s="86" t="s">
        <v>159</v>
      </c>
      <c r="J5" s="5"/>
      <c r="L5" s="90">
        <v>3.14</v>
      </c>
      <c r="AF5" s="144" t="str">
        <f t="shared" si="0"/>
        <v/>
      </c>
    </row>
    <row r="6" spans="1:36" x14ac:dyDescent="0.3">
      <c r="A6" s="15" t="s">
        <v>3</v>
      </c>
      <c r="B6" s="299" t="s">
        <v>536</v>
      </c>
      <c r="C6" s="299"/>
      <c r="D6" s="5">
        <v>0.53</v>
      </c>
      <c r="F6" s="151" t="s">
        <v>147</v>
      </c>
      <c r="G6" s="88">
        <f>(Y32/D32)*100</f>
        <v>15.732839509213953</v>
      </c>
      <c r="I6" s="86" t="s">
        <v>160</v>
      </c>
      <c r="J6" s="5"/>
      <c r="L6" s="129"/>
      <c r="AF6" s="144" t="str">
        <f t="shared" si="0"/>
        <v>Grain_org</v>
      </c>
    </row>
    <row r="7" spans="1:36" ht="14.7" customHeight="1" x14ac:dyDescent="0.3">
      <c r="A7" s="295" t="s">
        <v>55</v>
      </c>
      <c r="B7" s="296" t="s">
        <v>537</v>
      </c>
      <c r="C7" s="296"/>
      <c r="D7" s="42"/>
      <c r="F7" s="152" t="s">
        <v>187</v>
      </c>
      <c r="G7" s="209">
        <v>90</v>
      </c>
      <c r="I7" s="86" t="s">
        <v>161</v>
      </c>
      <c r="J7" s="5"/>
      <c r="L7" s="131" t="s">
        <v>198</v>
      </c>
      <c r="AF7" s="144" t="str">
        <f t="shared" si="0"/>
        <v/>
      </c>
    </row>
    <row r="8" spans="1:36" ht="15" thickBot="1" x14ac:dyDescent="0.35">
      <c r="A8" s="295"/>
      <c r="B8" s="296"/>
      <c r="C8" s="296"/>
      <c r="D8" s="47"/>
      <c r="F8" s="153" t="s">
        <v>197</v>
      </c>
      <c r="G8" s="102">
        <v>2283</v>
      </c>
      <c r="I8" s="86" t="s">
        <v>162</v>
      </c>
      <c r="J8" s="80">
        <f>(383 *J6 + 242 *J7 + 783.2) *J5 / 3140</f>
        <v>0</v>
      </c>
      <c r="L8" s="90">
        <v>6.38</v>
      </c>
      <c r="AF8" s="144" t="str">
        <f t="shared" si="0"/>
        <v>Whole_milk_feed_large_imp_org</v>
      </c>
    </row>
    <row r="9" spans="1:36" ht="30" customHeight="1" x14ac:dyDescent="0.3">
      <c r="A9" s="295"/>
      <c r="B9" s="296"/>
      <c r="C9" s="296"/>
      <c r="I9" s="130"/>
      <c r="L9" s="129"/>
      <c r="AF9" s="144" t="str">
        <f t="shared" si="0"/>
        <v>Mineral_Type_3_grann_imp_org</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442</v>
      </c>
      <c r="C12" s="217" t="s">
        <v>43</v>
      </c>
      <c r="D12" s="254">
        <v>20</v>
      </c>
      <c r="E12" s="218"/>
      <c r="F12" s="218" t="s">
        <v>443</v>
      </c>
      <c r="G12" s="219"/>
      <c r="I12" s="87" t="s">
        <v>201</v>
      </c>
      <c r="J12" s="107">
        <v>1.54</v>
      </c>
      <c r="K12" s="107">
        <v>1.58</v>
      </c>
      <c r="L12" s="102">
        <v>1.58</v>
      </c>
      <c r="R12" s="51">
        <f>(IF($T12=0,"0",VLOOKUP($B12,Biomass_pool_output_Tech1_modul!$A$3:$G$100,7,FALSE)))</f>
        <v>854.36833436743996</v>
      </c>
      <c r="S12" s="44"/>
      <c r="T12" s="34">
        <f>IF($B12="","0",(VLOOKUP($B12,Biomass_pool_output_Tech1_modul!$A$3:$F$100,2,FALSE)*($D12)/1000))</f>
        <v>9</v>
      </c>
      <c r="U12" s="34">
        <f>IF($B12="","0",(VLOOKUP($B12,Biomass_pool_output_Tech1_modul!$A$3:$F$100,3,FALSE)*($D12)/1000))</f>
        <v>0.87555876029243807</v>
      </c>
      <c r="V12" s="34">
        <f>IF($B12="","0",(VLOOKUP($B12,Biomass_pool_output_Tech1_modul!$A$3:$F$100,4,FALSE)*($D12)/1000))</f>
        <v>0.128289123836483</v>
      </c>
      <c r="W12" s="34">
        <f>IF($B12="","0",(VLOOKUP($B12,Biomass_pool_output_Tech1_modul!$A$3:$F$100,5,FALSE)*($D12)/1000))</f>
        <v>0.25454891266537399</v>
      </c>
      <c r="X12" s="34">
        <f>IF($B12="","0",(VLOOKUP($B12,Biomass_pool_output_Tech1_modul!$A$3:$F$100,6,FALSE)*$D12))</f>
        <v>400.360735938142</v>
      </c>
      <c r="Y12" s="34">
        <f>U12*6.25</f>
        <v>5.4722422518277378</v>
      </c>
      <c r="AA12" s="53"/>
      <c r="AB12" s="53"/>
      <c r="AC12" s="53"/>
      <c r="AD12" s="53"/>
      <c r="AF12" s="144" t="str">
        <f t="shared" si="1"/>
        <v/>
      </c>
      <c r="AG12" s="53"/>
      <c r="AH12" s="53"/>
      <c r="AI12" s="53"/>
      <c r="AJ12" s="53"/>
    </row>
    <row r="13" spans="1:36" x14ac:dyDescent="0.3">
      <c r="A13" s="211" t="s">
        <v>318</v>
      </c>
      <c r="B13" s="212"/>
      <c r="C13" s="213" t="s">
        <v>43</v>
      </c>
      <c r="D13" s="255"/>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53"/>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54">
        <v>90</v>
      </c>
      <c r="E15" s="218"/>
      <c r="F15" s="226" t="s">
        <v>538</v>
      </c>
      <c r="G15" s="219"/>
      <c r="R15" s="51">
        <f>(IF($T15=0,"0",VLOOKUP($B15,Biomass_pool_output_Tech1_modul!$A$3:$G$100,7,FALSE)))</f>
        <v>850.11622419383002</v>
      </c>
      <c r="S15" s="44"/>
      <c r="T15" s="34">
        <f>IF($B15="","0",(VLOOKUP($B15,Biomass_pool_output_Tech1_modul!$A$3:$F$100,2,FALSE)*($D15)/1000))</f>
        <v>40.5</v>
      </c>
      <c r="U15" s="34">
        <f>IF($B15="","0",(VLOOKUP($B15,Biomass_pool_output_Tech1_modul!$A$3:$F$100,3,FALSE)*($D15)/1000))</f>
        <v>1.436902628692599</v>
      </c>
      <c r="V15" s="34">
        <f>IF($B15="","0",(VLOOKUP($B15,Biomass_pool_output_Tech1_modul!$A$3:$F$100,4,FALSE)*($D15)/1000))</f>
        <v>0.28781105038534349</v>
      </c>
      <c r="W15" s="34">
        <f>IF($B15="","0",(VLOOKUP($B15,Biomass_pool_output_Tech1_modul!$A$3:$F$100,5,FALSE)*($D15)/1000))</f>
        <v>0.42012098881924226</v>
      </c>
      <c r="X15" s="34">
        <f>IF($B15="","0",(VLOOKUP($B15,Biomass_pool_output_Tech1_modul!$A$3:$F$100,6,FALSE)*$D15))</f>
        <v>1735.9979809350689</v>
      </c>
      <c r="Y15" s="34">
        <f t="shared" si="2"/>
        <v>8.9806414293287435</v>
      </c>
      <c r="AA15" s="53"/>
      <c r="AB15" s="53"/>
      <c r="AC15" s="53"/>
      <c r="AD15" s="53"/>
      <c r="AF15" s="144" t="str">
        <f t="shared" si="1"/>
        <v/>
      </c>
      <c r="AG15" s="53"/>
      <c r="AH15" s="53"/>
      <c r="AI15" s="53"/>
      <c r="AJ15" s="53"/>
    </row>
    <row r="16" spans="1:36" x14ac:dyDescent="0.3">
      <c r="A16" s="211" t="s">
        <v>107</v>
      </c>
      <c r="B16" s="212"/>
      <c r="C16" s="213" t="s">
        <v>43</v>
      </c>
      <c r="D16" s="255"/>
      <c r="E16" s="214"/>
      <c r="F16" s="225"/>
      <c r="R16" s="51" t="str">
        <f>(IF($B16="","0",VLOOKUP($B16,Biomass_pool_output_Tech1_modul!$A$3:$G$100,7,FALSE)))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t="s">
        <v>539</v>
      </c>
      <c r="C17" s="28" t="s">
        <v>43</v>
      </c>
      <c r="D17" s="256">
        <v>41</v>
      </c>
      <c r="E17" s="5"/>
      <c r="F17" s="126"/>
      <c r="R17" s="51">
        <f>(IF(B17="",0,VLOOKUP($B17,'Imported products'!$B$5:$O$54,5,FALSE)))</f>
        <v>135</v>
      </c>
      <c r="S17" s="44"/>
      <c r="T17" s="34">
        <f>IF($B17="","0",(VLOOKUP($B17,'Imported products'!$B$5:$O$54,9,FALSE)*($D17)/1000))</f>
        <v>18.45</v>
      </c>
      <c r="U17" s="34">
        <f>IF($B17="","0",(VLOOKUP($B17,'Imported products'!$B$5:$O$54,10,FALSE)*($D17)/1000))</f>
        <v>1.7383999999999999</v>
      </c>
      <c r="V17" s="34">
        <f>IF($B17="","0",(VLOOKUP($B17,'Imported products'!$B$5:$O$54,11,FALSE)*($D17)/1000))</f>
        <v>0.29519999999999996</v>
      </c>
      <c r="W17" s="34">
        <f>IF($B17="","0",(VLOOKUP($B17,'Imported products'!$B$5:$O$54,12,FALSE)*($D17)/1000))</f>
        <v>0.45100000000000001</v>
      </c>
      <c r="X17" s="34">
        <f>IF($B17="","0",(VLOOKUP($B17,'Imported products'!$B$5:$O$54,13,FALSE)*($D17)/1000))</f>
        <v>1.0044999999999999</v>
      </c>
      <c r="Y17" s="34">
        <f>IF($B17="","0",(VLOOKUP($B17,'Imported products'!$B$5:$O$54,14,FALSE)*($D17)/1000))</f>
        <v>10.865</v>
      </c>
      <c r="AA17" s="110"/>
      <c r="AF17" s="144" t="str">
        <f>IF(F12="","",F12)</f>
        <v>Rapskage_imp_org</v>
      </c>
      <c r="AH17" s="110"/>
    </row>
    <row r="18" spans="1:65" x14ac:dyDescent="0.3">
      <c r="A18" s="18" t="s">
        <v>414</v>
      </c>
      <c r="B18" s="19" t="s">
        <v>679</v>
      </c>
      <c r="C18" s="28" t="s">
        <v>43</v>
      </c>
      <c r="D18" s="256">
        <v>37</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v>
      </c>
      <c r="W18" s="34">
        <f>IF($B18="","0",(VLOOKUP($B18,'Imported products'!$B$5:$O$54,12,FALSE)*($D18)/1000))</f>
        <v>0</v>
      </c>
      <c r="X18" s="34">
        <f>IF($B18="","0",(VLOOKUP($B18,'Imported products'!$B$5:$O$54,13,FALSE)*($D18)/1000))</f>
        <v>0</v>
      </c>
      <c r="Y18" s="34">
        <f>IF($B18="","0",(VLOOKUP($B18,'Imported products'!$B$5:$O$54,14,FALSE)*($D18)/1000))</f>
        <v>0</v>
      </c>
      <c r="AA18" s="110"/>
      <c r="AF18" s="144" t="str">
        <f t="shared" ref="AF18:AF23" si="3">IF(F13="","",F13)</f>
        <v/>
      </c>
      <c r="AH18" s="110"/>
    </row>
    <row r="19" spans="1:65" x14ac:dyDescent="0.3">
      <c r="A19" s="25"/>
      <c r="B19" s="243"/>
      <c r="C19" s="244"/>
      <c r="D19" s="244"/>
      <c r="R19" s="52"/>
      <c r="AA19" s="110"/>
      <c r="AF19" s="144" t="str">
        <f t="shared" si="3"/>
        <v/>
      </c>
    </row>
    <row r="20" spans="1:65" x14ac:dyDescent="0.3">
      <c r="A20" s="18" t="s">
        <v>113</v>
      </c>
      <c r="B20" s="40"/>
      <c r="C20" s="28" t="s">
        <v>43</v>
      </c>
      <c r="D20" s="28">
        <f>SUM(D12:D18)</f>
        <v>188</v>
      </c>
      <c r="R20" s="82">
        <f>(D12*R12+D13*R13+D14*R14+D15*R15+D16*R16+D17*R17+D18*R18)/D20</f>
        <v>724.11078119571005</v>
      </c>
      <c r="S20" s="45"/>
      <c r="T20" s="116">
        <f t="shared" ref="T20:X20" si="4">SUM(T12:T18)</f>
        <v>67.95</v>
      </c>
      <c r="U20" s="116">
        <f t="shared" si="4"/>
        <v>4.0508613889850373</v>
      </c>
      <c r="V20" s="116">
        <f t="shared" si="4"/>
        <v>0.71130017422182645</v>
      </c>
      <c r="W20" s="116">
        <f t="shared" si="4"/>
        <v>1.1256699014846163</v>
      </c>
      <c r="X20" s="116">
        <f t="shared" si="4"/>
        <v>2137.3632168732111</v>
      </c>
      <c r="Y20" s="116">
        <f>SUM(Y12:Y18)</f>
        <v>25.317883681156481</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t="s">
        <v>783</v>
      </c>
      <c r="C24" s="28" t="s">
        <v>43</v>
      </c>
      <c r="D24" s="6">
        <v>912</v>
      </c>
      <c r="E24" s="5"/>
      <c r="F24" s="5"/>
      <c r="G24" s="5"/>
      <c r="H24" s="30" t="str">
        <f>IF(B24="","",VLOOKUP(B24,Converted_feedstuff!$C$5:$E$54,3,FALSE))</f>
        <v>Grass_and_grass_clover_org</v>
      </c>
      <c r="I24" s="80">
        <f>D24/((100-VLOOKUP(B24,Converted_feedstuff!$C$5:$F$54,4,FALSE))/100)</f>
        <v>1013.3333333333333</v>
      </c>
      <c r="K24" s="30">
        <f>IF(B24="",0,VLOOKUP(B24,Converted_feedstuff!$C$5:$D$54,2,FALSE))</f>
        <v>180</v>
      </c>
      <c r="L24" s="80">
        <f>IF($B24="","",((VLOOKUP($B24,Converted_feedstuff!$C$5:$AM$54,33,FALSE))*((100-VLOOKUP($B24,Converted_feedstuff!$C$5:$K$54,5,FALSE))/100))/((100-VLOOKUP($B24,Converted_feedstuff!$C$5:$K$54,4,FALSE))/100))</f>
        <v>450.00007165681598</v>
      </c>
      <c r="M24" s="81">
        <f>IF($B24="","",((VLOOKUP($B24,Converted_feedstuff!$C$5:$AM$54,34,FALSE))*((100-VLOOKUP($B24,Converted_feedstuff!$C$5:$K$54,6,FALSE))/100))/((100-VLOOKUP($B24,Converted_feedstuff!$C$5:$K$54,4,FALSE))/100))</f>
        <v>26.523962609150399</v>
      </c>
      <c r="N24" s="81">
        <f>IF($B24="","",((VLOOKUP($B24,Converted_feedstuff!$C$5:$AM$54,35,FALSE))*((100-VLOOKUP($B24,Converted_feedstuff!$C$5:$K$54,7,FALSE))/100))/((100-VLOOKUP($B24,Converted_feedstuff!$C$5:$K$54,4,FALSE))/100))</f>
        <v>3.6055782621371102</v>
      </c>
      <c r="O24" s="81">
        <f>IF($B24="","",((VLOOKUP($B24,Converted_feedstuff!$C$5:$AM$54,36,FALSE))*((100-VLOOKUP($B24,Converted_feedstuff!$C$5:$K$54,8,FALSE))/100))/((100-VLOOKUP($B24,Converted_feedstuff!$C$5:$K$54,4,FALSE))/100))</f>
        <v>27.561193702598601</v>
      </c>
      <c r="P24" s="81">
        <f>IF($B24="","",((VLOOKUP($B24,Converted_feedstuff!$C$5:$AM$49,37,FALSE))*((100-VLOOKUP($B24,Converted_feedstuff!$C$5:$K$54,9,FALSE))/100))/((100-VLOOKUP($B24,Converted_feedstuff!$C$5:$K$54,4,FALSE))/100))</f>
        <v>16.528960088099701</v>
      </c>
      <c r="R24" s="51">
        <f>K24</f>
        <v>180</v>
      </c>
      <c r="S24" s="44"/>
      <c r="T24" s="34">
        <f t="shared" ref="T24:W30" si="5">IF($D24="",0,$D24*(L24/1000))</f>
        <v>410.40006535101617</v>
      </c>
      <c r="U24" s="34">
        <f t="shared" si="5"/>
        <v>24.189853899545163</v>
      </c>
      <c r="V24" s="34">
        <f t="shared" si="5"/>
        <v>3.2882873750690442</v>
      </c>
      <c r="W24" s="34">
        <f t="shared" si="5"/>
        <v>25.135808656769925</v>
      </c>
      <c r="X24" s="34">
        <f>IF($D24="",0,$D24*P24)</f>
        <v>15074.411600346928</v>
      </c>
      <c r="Y24" s="81">
        <f>U24*6.25</f>
        <v>151.18658687215728</v>
      </c>
      <c r="AB24" s="114">
        <f>IF(B24="",0,(VLOOKUP(B24,Converted_feedstuff!$C$5:$BH$54,58,FALSE)*$I24))</f>
        <v>-12.305367206879792</v>
      </c>
      <c r="AC24" s="30"/>
      <c r="AD24" s="30"/>
      <c r="AF24" s="144" t="str">
        <f>IF(B24="","",B24)</f>
        <v>Afgraesning_1_grazed_org</v>
      </c>
      <c r="AO24" s="80" t="e">
        <f>IF($B24="","",(((((Converted_feedstuff!#REF!/100)*Converted_feedstuff!F5)/100)*1000)*$I24)/1000)</f>
        <v>#REF!</v>
      </c>
      <c r="AP24" s="80" t="e">
        <f>IF($B24="","",(((((Converted_feedstuff!#REF!/100)*Converted_feedstuff!F5)/100)*1000)*$I24)/1000)</f>
        <v>#REF!</v>
      </c>
      <c r="AQ24" s="80" t="e">
        <f>IF($B24="","",(((((Converted_feedstuff!#REF!/100)*Converted_feedstuff!G5)/100)*Converted_feedstuff!AI5)*$I24)/1000)</f>
        <v>#REF!</v>
      </c>
      <c r="AR24" s="80">
        <f>IF($B24="","",(((((Converted_feedstuff!U5/100)*Converted_feedstuff!G5)/100)*Converted_feedstuff!AI5)*$I24)/1000)</f>
        <v>0</v>
      </c>
      <c r="AS24" s="80">
        <f>IF($B24="","",(((((Converted_feedstuff!V5/100)*Converted_feedstuff!G5)/100)*Converted_feedstuff!AI5)*$I24)/1000)</f>
        <v>0</v>
      </c>
      <c r="AT24" s="80">
        <f>IF($B24="","",(((((Converted_feedstuff!W5/100)*Converted_feedstuff!G5)/100)*Converted_feedstuff!AI5)*$I24)/1000)</f>
        <v>0</v>
      </c>
      <c r="AU24" s="80" t="e">
        <f>IF($B24="","",(((((Converted_feedstuff!#REF!/100)*Converted_feedstuff!H5)/100)*Converted_feedstuff!AJ5)*$I24)/1000)</f>
        <v>#REF!</v>
      </c>
      <c r="AV24" s="80">
        <f>IF($B24="","",(((((Converted_feedstuff!X5/100)*Converted_feedstuff!H5)/100)*Converted_feedstuff!AJ5)*$I24)/1000)</f>
        <v>0</v>
      </c>
      <c r="AW24" s="80">
        <f>IF($B24="","",(((((Converted_feedstuff!Y5/100)*Converted_feedstuff!H5)/100)*Converted_feedstuff!AJ5)*$I24)/1000)</f>
        <v>0</v>
      </c>
      <c r="AX24" s="80">
        <f>IF($B24="","",(((((Converted_feedstuff!Z5/100)*Converted_feedstuff!H5)/100)*Converted_feedstuff!AJ5)*$I24)/1000)</f>
        <v>0</v>
      </c>
      <c r="AY24" s="80">
        <f>IF($B24="","",(((((Converted_feedstuff!AA5/100)*Converted_feedstuff!H5)/100)*Converted_feedstuff!AJ5)*$I24)/1000)</f>
        <v>0</v>
      </c>
      <c r="AZ24" s="80">
        <f>IF($B24="","",(((((Converted_feedstuff!AB5/100)*Converted_feedstuff!H5)/100)*Converted_feedstuff!AJ5)*$I24)/1000)</f>
        <v>0</v>
      </c>
      <c r="BA24" s="80" t="e">
        <f>IF($B24="","",(((((Converted_feedstuff!#REF!/100)*Converted_feedstuff!I5)/100)*Converted_feedstuff!AK5)*$I24)/1000)</f>
        <v>#REF!</v>
      </c>
      <c r="BB24" s="80">
        <f>IF($B24="","",(((((Converted_feedstuff!AC5/100)*Converted_feedstuff!I5)/100)*Converted_feedstuff!AK5)*$I24)/1000)</f>
        <v>0</v>
      </c>
      <c r="BC24" s="80">
        <f>IF($B24="","",(((((Converted_feedstuff!AD5/100)*Converted_feedstuff!I5)/100)*Converted_feedstuff!AK5)*$I24)/1000)</f>
        <v>0</v>
      </c>
      <c r="BD24" s="80" t="e">
        <f>IF($B24="","",(((((Converted_feedstuff!#REF!/100)*Converted_feedstuff!J5)/100)*Converted_feedstuff!AL5)*$I24)/1000)</f>
        <v>#REF!</v>
      </c>
      <c r="BE24" s="80">
        <f>IF($B24="","",(((((Converted_feedstuff!AE5/100)*Converted_feedstuff!J5)/100)*Converted_feedstuff!AL5)*$I24)/1000)</f>
        <v>0</v>
      </c>
      <c r="BF24" s="80">
        <f>IF($B24="","",(((((Converted_feedstuff!AF5/100)*Converted_feedstuff!J5)/100)*Converted_feedstuff!AL5)*$I24)/1000)</f>
        <v>0</v>
      </c>
      <c r="BG24" s="80" t="e">
        <f>IF($B24="","",((((Converted_feedstuff!#REF!/100)*Converted_feedstuff!K5)/100)*Converted_feedstuff!AM5)*$I24)</f>
        <v>#REF!</v>
      </c>
      <c r="BH24" s="80" t="e">
        <f>IF($B24="","",((((Converted_feedstuff!#REF!/100)*Converted_feedstuff!K5)/100)*Converted_feedstuff!AM5)*$I24)</f>
        <v>#REF!</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t="s">
        <v>430</v>
      </c>
      <c r="C27" s="28" t="s">
        <v>43</v>
      </c>
      <c r="D27" s="6">
        <v>523</v>
      </c>
      <c r="E27" s="126"/>
      <c r="F27" s="5" t="s">
        <v>664</v>
      </c>
      <c r="G27" s="126"/>
      <c r="H27" s="30" t="str">
        <f>IF(B27="","",VLOOKUP(B27,Converted_feedstuff!$C$5:$E$54,3,FALSE))</f>
        <v>Grass_and_grass_clover_org</v>
      </c>
      <c r="I27" s="80">
        <f>D27/((100-VLOOKUP(B27,Converted_feedstuff!$C$5:$F$54,4,FALSE))/100)</f>
        <v>616.01884570082439</v>
      </c>
      <c r="K27" s="30">
        <f>IF(B27="",0,VLOOKUP(B27,Converted_feedstuff!$C$5:$D$54,2,FALSE))</f>
        <v>359</v>
      </c>
      <c r="L27" s="80">
        <f>IF($B27="","",((VLOOKUP($B27,Converted_feedstuff!$C$5:$AM$54,33,FALSE))*((100-VLOOKUP($B27,Converted_feedstuff!$C$5:$K$54,5,FALSE))/100))/((100-VLOOKUP($B27,Converted_feedstuff!$C$5:$K$54,4,FALSE))/100))</f>
        <v>450.00007165681598</v>
      </c>
      <c r="M27" s="81">
        <f>IF($B27="","",((VLOOKUP($B27,Converted_feedstuff!$C$5:$AM$54,34,FALSE))*((100-VLOOKUP($B27,Converted_feedstuff!$C$5:$K$54,6,FALSE))/100))/((100-VLOOKUP($B27,Converted_feedstuff!$C$5:$K$54,4,FALSE))/100))</f>
        <v>30.023001257236196</v>
      </c>
      <c r="N27" s="81">
        <f>IF($B27="","",((VLOOKUP($B27,Converted_feedstuff!$C$5:$AM$54,35,FALSE))*((100-VLOOKUP($B27,Converted_feedstuff!$C$5:$K$54,7,FALSE))/100))/((100-VLOOKUP($B27,Converted_feedstuff!$C$5:$K$54,4,FALSE))/100))</f>
        <v>4.2468530767221555</v>
      </c>
      <c r="O27" s="81">
        <f>IF($B27="","",((VLOOKUP($B27,Converted_feedstuff!$C$5:$AM$54,36,FALSE))*((100-VLOOKUP($B27,Converted_feedstuff!$C$5:$K$54,8,FALSE))/100))/((100-VLOOKUP($B27,Converted_feedstuff!$C$5:$K$54,4,FALSE))/100))</f>
        <v>32.463125680328147</v>
      </c>
      <c r="P27" s="81">
        <f>IF($B27="","",((VLOOKUP($B27,Converted_feedstuff!$C$5:$AM$49,37,FALSE))*((100-VLOOKUP($B27,Converted_feedstuff!$C$5:$K$54,9,FALSE))/100))/((100-VLOOKUP($B27,Converted_feedstuff!$C$5:$K$54,4,FALSE))/100))</f>
        <v>16.528960088099701</v>
      </c>
      <c r="R27" s="51">
        <f t="shared" si="6"/>
        <v>359</v>
      </c>
      <c r="S27" s="44"/>
      <c r="T27" s="34">
        <f t="shared" si="5"/>
        <v>235.35003747651476</v>
      </c>
      <c r="U27" s="34">
        <f t="shared" si="5"/>
        <v>15.70202965753453</v>
      </c>
      <c r="V27" s="34">
        <f t="shared" si="5"/>
        <v>2.2211041591256873</v>
      </c>
      <c r="W27" s="34">
        <f t="shared" si="5"/>
        <v>16.978214730811622</v>
      </c>
      <c r="X27" s="34">
        <f t="shared" si="7"/>
        <v>8644.6461260761444</v>
      </c>
      <c r="Y27" s="81">
        <f t="shared" si="8"/>
        <v>98.137685359590805</v>
      </c>
      <c r="AB27" s="114">
        <f>IF(B27="",0,(VLOOKUP(B27,Converted_feedstuff!$C$5:$BH$54,58,FALSE)*$I27))</f>
        <v>5.10040691719212</v>
      </c>
      <c r="AC27" s="30"/>
      <c r="AD27" s="30"/>
      <c r="AF27" s="144" t="str">
        <f t="shared" si="9"/>
        <v>Ensilage_graes_org</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t="s">
        <v>438</v>
      </c>
      <c r="C28" s="28" t="s">
        <v>43</v>
      </c>
      <c r="D28" s="6">
        <v>457</v>
      </c>
      <c r="E28" s="5" t="s">
        <v>430</v>
      </c>
      <c r="F28" s="5"/>
      <c r="G28" s="126"/>
      <c r="H28" s="30" t="str">
        <f>IF(B28="","",VLOOKUP(B28,Converted_feedstuff!$C$5:$E$54,3,FALSE))</f>
        <v>Whole_crop_org</v>
      </c>
      <c r="I28" s="80">
        <f>D28/((100-VLOOKUP(B28,Converted_feedstuff!$C$5:$F$54,4,FALSE))/100)</f>
        <v>538.28032979976433</v>
      </c>
      <c r="K28" s="30">
        <f>IF(B28="",0,VLOOKUP(B28,Converted_feedstuff!$C$5:$D$54,2,FALSE))</f>
        <v>333</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23.72504122497055</v>
      </c>
      <c r="N28" s="81">
        <f>IF($B28="","",((VLOOKUP($B28,Converted_feedstuff!$C$5:$AM$54,35,FALSE))*((100-VLOOKUP($B28,Converted_feedstuff!$C$5:$K$54,7,FALSE))/100))/((100-VLOOKUP($B28,Converted_feedstuff!$C$5:$K$54,4,FALSE))/100))</f>
        <v>3.6513545347467606</v>
      </c>
      <c r="O28" s="81">
        <f>IF($B28="","",((VLOOKUP($B28,Converted_feedstuff!$C$5:$AM$54,36,FALSE))*((100-VLOOKUP($B28,Converted_feedstuff!$C$5:$K$54,8,FALSE))/100))/((100-VLOOKUP($B28,Converted_feedstuff!$C$5:$K$54,4,FALSE))/100))</f>
        <v>22.025912838633683</v>
      </c>
      <c r="P28" s="81">
        <f>IF($B28="","",((VLOOKUP($B28,Converted_feedstuff!$C$5:$AM$49,37,FALSE))*((100-VLOOKUP($B28,Converted_feedstuff!$C$5:$K$54,9,FALSE))/100))/((100-VLOOKUP($B28,Converted_feedstuff!$C$5:$K$54,4,FALSE))/100))</f>
        <v>18.399999999999999</v>
      </c>
      <c r="R28" s="51">
        <f t="shared" si="6"/>
        <v>333</v>
      </c>
      <c r="S28" s="44"/>
      <c r="T28" s="34">
        <f t="shared" si="5"/>
        <v>205.64999999999998</v>
      </c>
      <c r="U28" s="34">
        <f t="shared" si="5"/>
        <v>10.842343839811543</v>
      </c>
      <c r="V28" s="34">
        <f t="shared" si="5"/>
        <v>1.6686690223792695</v>
      </c>
      <c r="W28" s="34">
        <f t="shared" si="5"/>
        <v>10.065842167255594</v>
      </c>
      <c r="X28" s="34">
        <f t="shared" si="7"/>
        <v>8408.7999999999993</v>
      </c>
      <c r="Y28" s="81">
        <f t="shared" si="8"/>
        <v>67.764648998822139</v>
      </c>
      <c r="AB28" s="114">
        <f>IF(B28="",0,(VLOOKUP(B28,Converted_feedstuff!$C$5:$BH$54,58,FALSE)*$I28))</f>
        <v>2.3959065124618588</v>
      </c>
      <c r="AC28" s="30"/>
      <c r="AD28" s="30"/>
      <c r="AF28" s="144" t="str">
        <f t="shared" si="9"/>
        <v>Ensilage_whole_crop_org</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36.576154234183626</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0.55681576629315366</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t="s">
        <v>431</v>
      </c>
      <c r="C29" s="28" t="s">
        <v>43</v>
      </c>
      <c r="D29" s="6">
        <v>203</v>
      </c>
      <c r="E29" s="5" t="s">
        <v>430</v>
      </c>
      <c r="F29" s="5"/>
      <c r="G29" s="126"/>
      <c r="H29" s="30" t="str">
        <f>IF(B29="","",VLOOKUP(B29,Converted_feedstuff!$C$5:$E$54,3,FALSE))</f>
        <v>Maize_whole_crop_fresh_org</v>
      </c>
      <c r="I29" s="80">
        <f>D29/((100-VLOOKUP(B29,Converted_feedstuff!$C$5:$F$54,4,FALSE))/100)</f>
        <v>239.10482921083624</v>
      </c>
      <c r="K29" s="30">
        <f>IF(B29="",0,VLOOKUP(B29,Converted_feedstuff!$C$5:$D$54,2,FALSE))</f>
        <v>349</v>
      </c>
      <c r="L29" s="80">
        <f>IF($B29="","",((VLOOKUP($B29,Converted_feedstuff!$C$5:$AM$54,33,FALSE))*((100-VLOOKUP($B29,Converted_feedstuff!$C$5:$K$54,5,FALSE))/100))/((100-VLOOKUP($B29,Converted_feedstuff!$C$5:$K$54,4,FALSE))/100))</f>
        <v>449.99999999999994</v>
      </c>
      <c r="M29" s="81">
        <f>IF($B29="","",((VLOOKUP($B29,Converted_feedstuff!$C$5:$AM$54,34,FALSE))*((100-VLOOKUP($B29,Converted_feedstuff!$C$5:$K$54,6,FALSE))/100))/((100-VLOOKUP($B29,Converted_feedstuff!$C$5:$K$54,4,FALSE))/100))</f>
        <v>13.220824499411071</v>
      </c>
      <c r="N29" s="81">
        <f>IF($B29="","",((VLOOKUP($B29,Converted_feedstuff!$C$5:$AM$54,35,FALSE))*((100-VLOOKUP($B29,Converted_feedstuff!$C$5:$K$54,7,FALSE))/100))/((100-VLOOKUP($B29,Converted_feedstuff!$C$5:$K$54,4,FALSE))/100))</f>
        <v>2.5912838633686688</v>
      </c>
      <c r="O29" s="81">
        <f>IF($B29="","",((VLOOKUP($B29,Converted_feedstuff!$C$5:$AM$54,36,FALSE))*((100-VLOOKUP($B29,Converted_feedstuff!$C$5:$K$54,8,FALSE))/100))/((100-VLOOKUP($B29,Converted_feedstuff!$C$5:$K$54,4,FALSE))/100))</f>
        <v>13.309776207302708</v>
      </c>
      <c r="P29" s="81">
        <f>IF($B29="","",((VLOOKUP($B29,Converted_feedstuff!$C$5:$AM$49,37,FALSE))*((100-VLOOKUP($B29,Converted_feedstuff!$C$5:$K$54,9,FALSE))/100))/((100-VLOOKUP($B29,Converted_feedstuff!$C$5:$K$54,4,FALSE))/100))</f>
        <v>17.7</v>
      </c>
      <c r="R29" s="51">
        <f t="shared" si="6"/>
        <v>349</v>
      </c>
      <c r="S29" s="44"/>
      <c r="T29" s="34">
        <f t="shared" si="5"/>
        <v>91.35</v>
      </c>
      <c r="U29" s="34">
        <f t="shared" si="5"/>
        <v>2.6838273733804474</v>
      </c>
      <c r="V29" s="34">
        <f t="shared" si="5"/>
        <v>0.52603062426383973</v>
      </c>
      <c r="W29" s="34">
        <f t="shared" si="5"/>
        <v>2.7018845700824499</v>
      </c>
      <c r="X29" s="34">
        <f t="shared" si="7"/>
        <v>3593.1</v>
      </c>
      <c r="Y29" s="81">
        <f t="shared" si="8"/>
        <v>16.773921083627798</v>
      </c>
      <c r="AB29" s="114">
        <f>IF(B29="",0,(VLOOKUP(B29,Converted_feedstuff!$C$5:$BH$54,58,FALSE)*$I29))</f>
        <v>1.1278529679756428</v>
      </c>
      <c r="AC29" s="30"/>
      <c r="AD29" s="30"/>
      <c r="AF29" s="144" t="str">
        <f t="shared" si="9"/>
        <v>Ensilage_majs_org</v>
      </c>
      <c r="AO29" s="80" t="e">
        <f>IF($B29="","",(((((Converted_feedstuff!#REF!/100)*Converted_feedstuff!F10)/100)*1000)*$I29)/1000)</f>
        <v>#REF!</v>
      </c>
      <c r="AP29" s="80" t="e">
        <f>IF($B29="","",(((((Converted_feedstuff!#REF!/100)*Converted_feedstuff!F10)/100)*1000)*$I29)/1000)</f>
        <v>#REF!</v>
      </c>
      <c r="AQ29" s="80" t="e">
        <f>IF($B29="","",(((((Converted_feedstuff!#REF!/100)*Converted_feedstuff!G10)/100)*Converted_feedstuff!AI10)*$I29)/1000)</f>
        <v>#REF!</v>
      </c>
      <c r="AR29" s="80">
        <f>IF($B29="","",(((((Converted_feedstuff!U10/100)*Converted_feedstuff!G10)/100)*Converted_feedstuff!AI10)*$I29)/1000)</f>
        <v>16.247173144876324</v>
      </c>
      <c r="AS29" s="80">
        <f>IF($B29="","",(((((Converted_feedstuff!V10/100)*Converted_feedstuff!G10)/100)*Converted_feedstuff!AI10)*$I29)/1000)</f>
        <v>0</v>
      </c>
      <c r="AT29" s="80">
        <f>IF($B29="","",(((((Converted_feedstuff!W10/100)*Converted_feedstuff!G10)/100)*Converted_feedstuff!AI10)*$I29)/1000)</f>
        <v>0</v>
      </c>
      <c r="AU29" s="80" t="e">
        <f>IF($B29="","",(((((Converted_feedstuff!#REF!/100)*Converted_feedstuff!H10)/100)*Converted_feedstuff!AJ10)*$I29)/1000)</f>
        <v>#REF!</v>
      </c>
      <c r="AV29" s="80">
        <f>IF($B29="","",(((((Converted_feedstuff!X10/100)*Converted_feedstuff!H10)/100)*Converted_feedstuff!AJ10)*$I29)/1000)</f>
        <v>0.10891703180212012</v>
      </c>
      <c r="AW29" s="80">
        <f>IF($B29="","",(((((Converted_feedstuff!Y10/100)*Converted_feedstuff!H10)/100)*Converted_feedstuff!AJ10)*$I29)/1000)</f>
        <v>0</v>
      </c>
      <c r="AX29" s="80">
        <f>IF($B29="","",(((((Converted_feedstuff!Z10/100)*Converted_feedstuff!H10)/100)*Converted_feedstuff!AJ10)*$I29)/1000)</f>
        <v>0</v>
      </c>
      <c r="AY29" s="80">
        <f>IF($B29="","",(((((Converted_feedstuff!AA10/100)*Converted_feedstuff!H10)/100)*Converted_feedstuff!AJ10)*$I29)/1000)</f>
        <v>0</v>
      </c>
      <c r="AZ29" s="80">
        <f>IF($B29="","",(((((Converted_feedstuff!AB10/100)*Converted_feedstuff!H10)/100)*Converted_feedstuff!AJ10)*$I29)/1000)</f>
        <v>0</v>
      </c>
      <c r="BA29" s="80" t="e">
        <f>IF($B29="","",(((((Converted_feedstuff!#REF!/100)*Converted_feedstuff!I10)/100)*Converted_feedstuff!AK10)*$I29)/1000)</f>
        <v>#REF!</v>
      </c>
      <c r="BB29" s="80">
        <f>IF($B29="","",(((((Converted_feedstuff!AC10/100)*Converted_feedstuff!I10)/100)*Converted_feedstuff!AK10)*$I29)/1000)</f>
        <v>0</v>
      </c>
      <c r="BC29" s="80">
        <f>IF($B29="","",(((((Converted_feedstuff!AD10/100)*Converted_feedstuff!I10)/100)*Converted_feedstuff!AK10)*$I29)/1000)</f>
        <v>0</v>
      </c>
      <c r="BD29" s="80" t="e">
        <f>IF($B29="","",(((((Converted_feedstuff!#REF!/100)*Converted_feedstuff!J10)/100)*Converted_feedstuff!AL10)*$I29)/1000)</f>
        <v>#REF!</v>
      </c>
      <c r="BE29" s="80">
        <f>IF($B29="","",(((((Converted_feedstuff!AE10/100)*Converted_feedstuff!J10)/100)*Converted_feedstuff!AL10)*$I29)/1000)</f>
        <v>0</v>
      </c>
      <c r="BF29" s="80">
        <f>IF($B29="","",(((((Converted_feedstuff!AF10/100)*Converted_feedstuff!J10)/100)*Converted_feedstuff!AL10)*$I29)/1000)</f>
        <v>0</v>
      </c>
      <c r="BG29" s="80" t="e">
        <f>IF($B29="","",((((Converted_feedstuff!#REF!/100)*Converted_feedstuff!K10)/100)*Converted_feedstuff!AM10)*$I29)</f>
        <v>#REF!</v>
      </c>
      <c r="BH29" s="80" t="e">
        <f>IF($B29="","",((((Converted_feedstuff!#REF!/100)*Converted_feedstuff!K10)/100)*Converted_feedstuff!AM10)*$I29)</f>
        <v>#REF!</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2095</v>
      </c>
      <c r="E31" s="24"/>
      <c r="K31" t="s">
        <v>175</v>
      </c>
      <c r="L31" s="24"/>
      <c r="M31" s="24"/>
      <c r="N31" s="24"/>
      <c r="O31" s="24"/>
      <c r="P31" s="24"/>
      <c r="Q31" s="25"/>
      <c r="R31" s="82">
        <f>(D24*R24+D25*R25+D26*R26+D27*R27+D28*R28+D29*R29+D30*R30)/D31</f>
        <v>274.43675417661098</v>
      </c>
      <c r="S31" s="45"/>
      <c r="T31" s="116">
        <f t="shared" ref="T31:Y31" si="10">SUM(T24:T30)</f>
        <v>942.7501028275309</v>
      </c>
      <c r="U31" s="116">
        <f t="shared" si="10"/>
        <v>53.418054770271681</v>
      </c>
      <c r="V31" s="116">
        <f t="shared" si="10"/>
        <v>7.7040911808378407</v>
      </c>
      <c r="W31" s="116">
        <f t="shared" si="10"/>
        <v>54.881750124919591</v>
      </c>
      <c r="X31" s="116">
        <f>SUM(X24:X30)</f>
        <v>35720.957726423076</v>
      </c>
      <c r="Y31" s="116">
        <f t="shared" si="10"/>
        <v>333.86284231419802</v>
      </c>
      <c r="AA31" s="113" t="s">
        <v>61</v>
      </c>
      <c r="AB31" s="115">
        <f>SUM(AB24:AB30)</f>
        <v>-3.6812008092501705</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52.823327379059947</v>
      </c>
      <c r="AS31" s="92">
        <f t="shared" si="11"/>
        <v>0</v>
      </c>
      <c r="AT31" s="92">
        <f t="shared" si="11"/>
        <v>0</v>
      </c>
      <c r="AU31" s="92" t="e">
        <f t="shared" si="11"/>
        <v>#REF!</v>
      </c>
      <c r="AV31" s="92">
        <f t="shared" si="11"/>
        <v>0.66573279809527375</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2283</v>
      </c>
      <c r="E32" s="24"/>
      <c r="I32" s="24"/>
      <c r="J32" s="24"/>
      <c r="K32" s="24"/>
      <c r="L32" s="24"/>
      <c r="M32" s="24"/>
      <c r="N32" s="24"/>
      <c r="P32" s="25"/>
      <c r="Q32" s="25"/>
      <c r="R32" s="84">
        <f>(D20*R20+D31*R31)/D32</f>
        <v>311.46641562189814</v>
      </c>
      <c r="S32" s="85"/>
      <c r="T32" s="117">
        <f>T20+T31</f>
        <v>1010.7001028275309</v>
      </c>
      <c r="U32" s="117">
        <f t="shared" ref="U32:Y32" si="12">U20+U31</f>
        <v>57.468916159256722</v>
      </c>
      <c r="V32" s="117">
        <f t="shared" si="12"/>
        <v>8.4153913550596666</v>
      </c>
      <c r="W32" s="117">
        <f t="shared" si="12"/>
        <v>56.007420026404205</v>
      </c>
      <c r="X32" s="117">
        <f t="shared" si="12"/>
        <v>37858.32094329629</v>
      </c>
      <c r="Y32" s="117">
        <f t="shared" si="12"/>
        <v>359.18072599535452</v>
      </c>
      <c r="AF32" s="144" t="str">
        <f t="shared" ref="AF32:AF37" si="13">IF(E25="","",E25)</f>
        <v/>
      </c>
      <c r="BL32" t="str">
        <f>A4</f>
        <v>ID-nummer</v>
      </c>
      <c r="BM32">
        <f>B4</f>
        <v>101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Dairy_heifer1_org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101</v>
      </c>
      <c r="BK34" t="str">
        <f t="shared" ref="BJ34:BK62" si="15">$BM$33</f>
        <v>Dairy_heifer1_org</v>
      </c>
      <c r="BL34" t="s">
        <v>69</v>
      </c>
      <c r="BM34" t="str">
        <f>$B$24</f>
        <v>Afgraesning_1_grazed_org</v>
      </c>
      <c r="BN34" t="str">
        <f t="shared" ref="BN34:BO40" si="16">C24</f>
        <v>Kg</v>
      </c>
      <c r="BO34">
        <f t="shared" si="16"/>
        <v>912</v>
      </c>
    </row>
    <row r="35" spans="1:67" ht="15.6" x14ac:dyDescent="0.3">
      <c r="A35" s="18" t="s">
        <v>631</v>
      </c>
      <c r="B35" s="19" t="s">
        <v>540</v>
      </c>
      <c r="C35" s="28" t="s">
        <v>43</v>
      </c>
      <c r="D35" s="34">
        <f>H35*(R35/1000)</f>
        <v>1.6974999999999998</v>
      </c>
      <c r="E35" s="30" t="str">
        <f>IF(B35="","",VLOOKUP(B35,'Processed products'!$B$5:$E$104,2,FALSE))</f>
        <v>Dead_meat_org</v>
      </c>
      <c r="F35" s="30" t="str">
        <f>IF(B35="","",VLOOKUP(B35,'Processed products'!$B$5:$E$104,3,FALSE))</f>
        <v>Dead_meat</v>
      </c>
      <c r="G35" s="30" t="str">
        <f>IF(B35="","",VLOOKUP(B35,'Processed products'!$B$5:$E$104,4,FALSE))</f>
        <v>Exit_model</v>
      </c>
      <c r="H35" s="5">
        <v>4.8499999999999996</v>
      </c>
      <c r="I35" s="4"/>
      <c r="K35" s="97" t="s">
        <v>654</v>
      </c>
      <c r="L35" s="132" t="s">
        <v>541</v>
      </c>
      <c r="M35" s="132" t="s">
        <v>641</v>
      </c>
      <c r="N35" s="272">
        <v>1.21</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Ensilage_graes_org</v>
      </c>
      <c r="AJ35" s="32"/>
      <c r="BJ35">
        <f t="shared" si="14"/>
        <v>101</v>
      </c>
      <c r="BK35" t="str">
        <f t="shared" si="15"/>
        <v>Dairy_heifer1_org</v>
      </c>
      <c r="BL35" t="s">
        <v>69</v>
      </c>
      <c r="BM35">
        <f>$B$25</f>
        <v>0</v>
      </c>
      <c r="BN35" t="str">
        <f t="shared" si="16"/>
        <v>Kg</v>
      </c>
      <c r="BO35">
        <f t="shared" si="16"/>
        <v>0</v>
      </c>
    </row>
    <row r="36" spans="1:67" ht="15.6" x14ac:dyDescent="0.3">
      <c r="A36" s="18" t="s">
        <v>632</v>
      </c>
      <c r="B36" s="19" t="s">
        <v>441</v>
      </c>
      <c r="C36" s="28" t="s">
        <v>43</v>
      </c>
      <c r="D36" s="34">
        <f t="shared" ref="D36" si="17">H36*(R36/1000)</f>
        <v>7.8154999999999992</v>
      </c>
      <c r="E36" s="30" t="str">
        <f>IF(B36="","",VLOOKUP(B36,'Processed products'!$B$5:$E$104,2,FALSE))</f>
        <v>Beef_meat_org</v>
      </c>
      <c r="F36" s="30" t="str">
        <f>IF(B36="","",VLOOKUP(B36,'Processed products'!$B$5:$E$104,3,FALSE))</f>
        <v>Meat</v>
      </c>
      <c r="G36" s="30" t="str">
        <f>IF(B36="","",VLOOKUP(B36,'Processed products'!$B$5:$E$104,4,FALSE))</f>
        <v>Exit_model</v>
      </c>
      <c r="H36" s="126">
        <v>22.33</v>
      </c>
      <c r="I36" s="4"/>
      <c r="K36" s="97" t="s">
        <v>655</v>
      </c>
      <c r="L36" s="132"/>
      <c r="M36" s="132"/>
      <c r="N36" s="272"/>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Ensilage_graes_org</v>
      </c>
      <c r="BJ36">
        <f t="shared" si="14"/>
        <v>101</v>
      </c>
      <c r="BK36" t="str">
        <f t="shared" si="15"/>
        <v>Dairy_heifer1_org</v>
      </c>
      <c r="BL36" t="s">
        <v>69</v>
      </c>
      <c r="BM36">
        <f>$B$26</f>
        <v>0</v>
      </c>
      <c r="BN36" t="str">
        <f t="shared" si="16"/>
        <v>Kg</v>
      </c>
      <c r="BO36">
        <f t="shared" si="16"/>
        <v>0</v>
      </c>
    </row>
    <row r="37" spans="1:67" ht="16.2" thickBot="1" x14ac:dyDescent="0.35">
      <c r="A37" s="18" t="s">
        <v>647</v>
      </c>
      <c r="B37" s="19" t="s">
        <v>541</v>
      </c>
      <c r="C37" s="28" t="s">
        <v>43</v>
      </c>
      <c r="D37" s="34">
        <f>H37*(R37/1000)</f>
        <v>5.2989999999999995</v>
      </c>
      <c r="E37" s="30" t="str">
        <f>IF(B37="","",VLOOKUP(B37,'Processed products'!$B$5:$E$104,2,FALSE))</f>
        <v>Calf_dairy_heavy_live_org</v>
      </c>
      <c r="F37" s="30" t="str">
        <f>IF(B37="","",VLOOKUP(B37,'Processed products'!$B$5:$E$104,3,FALSE))</f>
        <v>Cattle_heavy_live_org</v>
      </c>
      <c r="G37" s="30" t="str">
        <f>IF(B37="","",VLOOKUP(B37,'Processed products'!$B$5:$E$104,4,FALSE))</f>
        <v>Livestock_balance</v>
      </c>
      <c r="H37" s="250">
        <v>15.14</v>
      </c>
      <c r="I37" s="5">
        <v>0.38</v>
      </c>
      <c r="K37" s="273" t="s">
        <v>656</v>
      </c>
      <c r="L37" s="260"/>
      <c r="M37" s="260"/>
      <c r="N37" s="261"/>
      <c r="Q37" s="25"/>
      <c r="R37" s="51">
        <f>(IF($B37="",0,VLOOKUP($B37,'Processed products'!$B$5:$O$104,5,FALSE)))</f>
        <v>350</v>
      </c>
      <c r="S37" s="44"/>
      <c r="T37" s="28">
        <f>(IF($B37="","",VLOOKUP($B37,'Processed products'!$B$5:$O$104,9,FALSE)))</f>
        <v>680</v>
      </c>
      <c r="U37" s="34">
        <f>(IF($B37="","",VLOOKUP($B37,'Processed products'!$B$5:$O$104,10,FALSE)))</f>
        <v>84.569919999999996</v>
      </c>
      <c r="V37" s="28">
        <f>(IF($B37="","",VLOOKUP($B37,'Processed products'!$B$5:$O$104,11,FALSE)))</f>
        <v>29.14</v>
      </c>
      <c r="W37" s="28">
        <f>(IF($B37="","",VLOOKUP($B37,'Processed products'!$B$5:$O$104,12,FALSE)))</f>
        <v>6</v>
      </c>
      <c r="X37" s="28">
        <f>(IF($B37="","",VLOOKUP($B37,'Processed products'!$B$5:$O$104,13,FALSE)))</f>
        <v>19.63</v>
      </c>
      <c r="Z37" s="53"/>
      <c r="AA37" s="53"/>
      <c r="AB37" s="53"/>
      <c r="AC37" s="53"/>
      <c r="AD37" s="53"/>
      <c r="AF37" s="144" t="str">
        <f t="shared" si="13"/>
        <v/>
      </c>
      <c r="BJ37">
        <f t="shared" si="14"/>
        <v>101</v>
      </c>
      <c r="BK37" t="str">
        <f t="shared" si="15"/>
        <v>Dairy_heifer1_org</v>
      </c>
      <c r="BL37" t="s">
        <v>69</v>
      </c>
      <c r="BM37" t="str">
        <f>$B$27</f>
        <v>Ensilage_graes_org</v>
      </c>
      <c r="BN37" t="str">
        <f t="shared" si="16"/>
        <v>Kg</v>
      </c>
      <c r="BO37">
        <f t="shared" si="16"/>
        <v>523</v>
      </c>
    </row>
    <row r="38" spans="1:67" x14ac:dyDescent="0.3">
      <c r="A38" s="18" t="s">
        <v>648</v>
      </c>
      <c r="B38" s="19" t="s">
        <v>652</v>
      </c>
      <c r="C38" s="28" t="s">
        <v>43</v>
      </c>
      <c r="D38" s="34">
        <f>H38*(R38/1000)</f>
        <v>70.349999999999994</v>
      </c>
      <c r="E38" s="30" t="str">
        <f>IF(B38="","",VLOOKUP(B38,'Processed products'!$B$5:$E$104,2,FALSE))</f>
        <v>Heifer_dairy_heavy_live_org</v>
      </c>
      <c r="F38" s="30" t="str">
        <f>IF(B38="","",VLOOKUP(B38,'Processed products'!$B$5:$E$104,3,FALSE))</f>
        <v>Cattle_heavy_live_org</v>
      </c>
      <c r="G38" s="30" t="str">
        <f>IF(B38="","",VLOOKUP(B38,'Processed products'!$B$5:$E$104,4,FALSE))</f>
        <v>Livestock_balance</v>
      </c>
      <c r="H38" s="126">
        <v>201</v>
      </c>
      <c r="I38" s="250">
        <v>0.4</v>
      </c>
      <c r="K38" s="136"/>
      <c r="L38" s="123"/>
      <c r="M38" s="123"/>
      <c r="N38" s="136">
        <f>0.068*40*0.444</f>
        <v>1.2076800000000001</v>
      </c>
      <c r="O38" s="110"/>
      <c r="P38" s="93"/>
      <c r="Q38" s="25"/>
      <c r="R38" s="51">
        <f>(IF($B38="",0,VLOOKUP($B38,'Processed products'!$B$5:$O$104,5,FALSE)))</f>
        <v>350</v>
      </c>
      <c r="S38" s="44"/>
      <c r="T38" s="28">
        <f>(IF($B38="","",VLOOKUP($B38,'Processed products'!$B$5:$O$104,9,FALSE)))</f>
        <v>680</v>
      </c>
      <c r="U38" s="34">
        <f>(IF($B38="","",VLOOKUP($B38,'Processed products'!$B$5:$O$104,10,FALSE)))</f>
        <v>73.14</v>
      </c>
      <c r="V38" s="28">
        <f>(IF($B38="","",VLOOKUP($B38,'Processed products'!$B$5:$O$104,11,FALSE)))</f>
        <v>17.43</v>
      </c>
      <c r="W38" s="28">
        <f>(IF($B38="","",VLOOKUP($B38,'Processed products'!$B$5:$O$104,12,FALSE)))</f>
        <v>5.14</v>
      </c>
      <c r="X38" s="28">
        <f>(IF($B38="","",VLOOKUP($B38,'Processed products'!$B$5:$O$104,13,FALSE)))</f>
        <v>19.63</v>
      </c>
      <c r="Z38" s="53"/>
      <c r="AA38" s="53"/>
      <c r="AB38" s="53"/>
      <c r="AC38" s="53"/>
      <c r="AD38" s="53"/>
      <c r="AF38" s="144" t="str">
        <f>IF(F24="","",F24)</f>
        <v/>
      </c>
      <c r="BJ38">
        <f t="shared" si="14"/>
        <v>101</v>
      </c>
      <c r="BK38" t="str">
        <f t="shared" si="15"/>
        <v>Dairy_heifer1_org</v>
      </c>
      <c r="BL38" t="s">
        <v>69</v>
      </c>
      <c r="BM38" t="str">
        <f>$B$28</f>
        <v>Ensilage_whole_crop_org</v>
      </c>
      <c r="BN38" t="str">
        <f t="shared" si="16"/>
        <v>Kg</v>
      </c>
      <c r="BO38">
        <f t="shared" si="16"/>
        <v>457</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36"/>
      <c r="J39" s="110" t="s">
        <v>643</v>
      </c>
      <c r="K39" s="136">
        <f>0.9*40*0.947*0.444</f>
        <v>15.136848000000001</v>
      </c>
      <c r="L39" s="136">
        <f>K39/40</f>
        <v>0.37842120000000001</v>
      </c>
      <c r="M39" s="110"/>
      <c r="N39" s="110"/>
      <c r="O39" s="26"/>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101</v>
      </c>
      <c r="BK39" t="str">
        <f t="shared" si="15"/>
        <v>Dairy_heifer1_org</v>
      </c>
      <c r="BL39" t="s">
        <v>69</v>
      </c>
      <c r="BM39" t="str">
        <f>$B$29</f>
        <v>Ensilage_majs_org</v>
      </c>
      <c r="BN39" t="str">
        <f t="shared" si="16"/>
        <v>Kg</v>
      </c>
      <c r="BO39">
        <f t="shared" si="16"/>
        <v>203</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23"/>
      <c r="L40" s="123"/>
      <c r="M40" s="110"/>
      <c r="N40" s="110"/>
      <c r="O40" s="26"/>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101</v>
      </c>
      <c r="BK40" t="str">
        <f t="shared" si="15"/>
        <v>Dairy_heifer1_org</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276" t="s">
        <v>642</v>
      </c>
      <c r="K41" s="277"/>
      <c r="L41" s="278"/>
      <c r="M41" s="279"/>
      <c r="N41" s="270">
        <f>(0.53*0.056*64+0.53*0.012*315.5+40*0.444*0.053)</f>
        <v>4.8473800000000002</v>
      </c>
      <c r="O41" s="267"/>
      <c r="P41" s="266"/>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Straw_seed_grass_org</v>
      </c>
      <c r="BJ41">
        <f t="shared" si="14"/>
        <v>101</v>
      </c>
      <c r="BK41" t="str">
        <f t="shared" si="15"/>
        <v>Dairy_heifer1_org</v>
      </c>
      <c r="BL41" t="s">
        <v>126</v>
      </c>
      <c r="BM41" t="str">
        <f>$B$35</f>
        <v>Kvaeg_affald_org</v>
      </c>
      <c r="BN41" t="str">
        <f>C35</f>
        <v>Kg</v>
      </c>
      <c r="BO41" s="64">
        <f>P35</f>
        <v>0</v>
      </c>
    </row>
    <row r="42" spans="1:67" x14ac:dyDescent="0.3">
      <c r="A42" s="33" t="s">
        <v>61</v>
      </c>
      <c r="B42" s="39"/>
      <c r="C42" s="28" t="s">
        <v>43</v>
      </c>
      <c r="D42" s="34">
        <f>SUM(D35:D41)</f>
        <v>85.161999999999992</v>
      </c>
      <c r="E42" s="24"/>
      <c r="I42" s="124"/>
      <c r="J42" s="263" t="s">
        <v>646</v>
      </c>
      <c r="K42" s="263"/>
      <c r="L42" s="263"/>
      <c r="M42" s="263">
        <f>503*0.1*0.444</f>
        <v>22.333200000000001</v>
      </c>
      <c r="N42" s="246"/>
      <c r="P42" s="93"/>
      <c r="Q42" s="25"/>
      <c r="Z42" s="53"/>
      <c r="AA42" s="53"/>
      <c r="AB42" s="53"/>
      <c r="AC42" s="53"/>
      <c r="AD42" s="53"/>
      <c r="AF42" s="144" t="str">
        <f t="shared" si="18"/>
        <v/>
      </c>
      <c r="BJ42">
        <f t="shared" si="14"/>
        <v>101</v>
      </c>
      <c r="BK42" t="str">
        <f t="shared" si="15"/>
        <v>Dairy_heifer1_org</v>
      </c>
      <c r="BL42" t="s">
        <v>126</v>
      </c>
      <c r="BM42" t="str">
        <f>$B$36</f>
        <v>Tilvaekst_kvaeg_org</v>
      </c>
      <c r="BN42" t="str">
        <f t="shared" ref="BN42:BN47" si="19">C35</f>
        <v>Kg</v>
      </c>
      <c r="BO42" s="64">
        <f t="shared" ref="BO42:BO47" si="20">P35</f>
        <v>0</v>
      </c>
    </row>
    <row r="43" spans="1:67" x14ac:dyDescent="0.3">
      <c r="J43" s="246" t="s">
        <v>645</v>
      </c>
      <c r="K43" s="265">
        <f>0.9*503*0.444</f>
        <v>200.99879999999999</v>
      </c>
      <c r="L43" s="263">
        <f>K43/503</f>
        <v>0.39959999999999996</v>
      </c>
      <c r="M43" s="263"/>
      <c r="N43" s="266"/>
      <c r="Z43" s="53"/>
      <c r="AA43" s="53"/>
      <c r="AB43" s="53"/>
      <c r="AC43" s="53"/>
      <c r="AD43" s="53"/>
      <c r="AF43" s="144" t="str">
        <f t="shared" si="18"/>
        <v/>
      </c>
      <c r="BJ43">
        <f t="shared" si="14"/>
        <v>101</v>
      </c>
      <c r="BK43" t="str">
        <f t="shared" si="15"/>
        <v>Dairy_heifer1_org</v>
      </c>
      <c r="BL43" t="s">
        <v>126</v>
      </c>
      <c r="BM43" t="str">
        <f>$B$37</f>
        <v>Foster_kvaeg_dairy_heavy_org</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101</v>
      </c>
      <c r="BK44" t="str">
        <f t="shared" si="15"/>
        <v>Dairy_heifer1_org</v>
      </c>
      <c r="BL44" t="s">
        <v>126</v>
      </c>
      <c r="BM44" t="str">
        <f>$B$38</f>
        <v>Tilvaekst_heifer_heavy_org</v>
      </c>
      <c r="BN44" t="str">
        <f t="shared" si="19"/>
        <v>Kg</v>
      </c>
      <c r="BO44" s="64">
        <f t="shared" si="20"/>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v>450</v>
      </c>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101</v>
      </c>
      <c r="BK45" t="str">
        <f t="shared" si="15"/>
        <v>Dairy_heifer1_org</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101</v>
      </c>
      <c r="BK46" t="str">
        <f t="shared" si="15"/>
        <v>Dairy_heifer1_org</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101</v>
      </c>
      <c r="BK47" t="str">
        <f t="shared" si="15"/>
        <v>Dairy_heifer1_org</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101</v>
      </c>
      <c r="BK48" t="str">
        <f t="shared" si="15"/>
        <v>Dairy_heifer1_org</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101</v>
      </c>
      <c r="BK49" t="str">
        <f t="shared" si="15"/>
        <v>Dairy_heifer1_org</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101</v>
      </c>
      <c r="BK50" t="str">
        <f t="shared" si="15"/>
        <v>Dairy_heifer1_org</v>
      </c>
      <c r="BL50" t="s">
        <v>127</v>
      </c>
      <c r="BM50">
        <f t="shared" si="22"/>
        <v>0</v>
      </c>
      <c r="BN50" s="32">
        <f>$AH$34</f>
        <v>0</v>
      </c>
      <c r="BO50" s="32">
        <f>AH45</f>
        <v>0</v>
      </c>
    </row>
    <row r="51" spans="1:67" ht="15" thickBot="1" x14ac:dyDescent="0.35">
      <c r="A51" s="18" t="s">
        <v>56</v>
      </c>
      <c r="B51" s="9"/>
      <c r="C51" s="28" t="s">
        <v>43</v>
      </c>
      <c r="D51" s="51">
        <f>SUM(D42,D45:D50)</f>
        <v>85.161999999999992</v>
      </c>
      <c r="I51" s="93"/>
      <c r="J51" s="93"/>
      <c r="K51" s="93"/>
      <c r="L51" s="93"/>
      <c r="M51" s="93"/>
      <c r="N51" s="93"/>
      <c r="O51" s="135"/>
      <c r="P51" s="93"/>
      <c r="Q51" s="47"/>
      <c r="Z51" s="53"/>
      <c r="AA51" s="53"/>
      <c r="AB51" s="53"/>
      <c r="AC51" s="53"/>
      <c r="AD51" s="53"/>
      <c r="AF51" s="145" t="str">
        <f t="shared" si="21"/>
        <v/>
      </c>
      <c r="BJ51">
        <f t="shared" si="14"/>
        <v>101</v>
      </c>
      <c r="BK51" t="str">
        <f t="shared" si="15"/>
        <v>Dairy_heifer1_org</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101</v>
      </c>
      <c r="BK52" t="str">
        <f t="shared" si="15"/>
        <v>Dairy_heifer1_org</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101</v>
      </c>
      <c r="BK53" t="str">
        <f t="shared" si="15"/>
        <v>Dairy_heifer1_org</v>
      </c>
      <c r="BL53" t="s">
        <v>127</v>
      </c>
      <c r="BM53">
        <f t="shared" ref="BM53:BM58" si="23">$B$46</f>
        <v>0</v>
      </c>
      <c r="BN53" t="str">
        <f>C46</f>
        <v>Kg</v>
      </c>
      <c r="BO53" s="64">
        <f>P46</f>
        <v>0</v>
      </c>
    </row>
    <row r="54" spans="1:67" x14ac:dyDescent="0.3">
      <c r="A54" s="18" t="s">
        <v>220</v>
      </c>
      <c r="B54" s="50" t="s">
        <v>527</v>
      </c>
      <c r="C54" s="50" t="s">
        <v>43</v>
      </c>
      <c r="D54" s="138"/>
      <c r="E54" s="53"/>
      <c r="F54" s="138"/>
      <c r="G54" s="53"/>
      <c r="H54" s="138"/>
      <c r="I54" s="138"/>
      <c r="AF54" s="32"/>
      <c r="BJ54">
        <f t="shared" si="14"/>
        <v>101</v>
      </c>
      <c r="BK54" t="str">
        <f t="shared" si="15"/>
        <v>Dairy_heifer1_org</v>
      </c>
      <c r="BL54" t="s">
        <v>127</v>
      </c>
      <c r="BM54">
        <f t="shared" si="23"/>
        <v>0</v>
      </c>
      <c r="BN54" t="str">
        <f>$AF$34</f>
        <v/>
      </c>
      <c r="BO54" s="32" t="str">
        <f>AF$46</f>
        <v/>
      </c>
    </row>
    <row r="55" spans="1:67" x14ac:dyDescent="0.3">
      <c r="A55" s="18" t="s">
        <v>254</v>
      </c>
      <c r="B55" s="50" t="s">
        <v>531</v>
      </c>
      <c r="C55" s="50" t="s">
        <v>43</v>
      </c>
      <c r="D55" s="138"/>
      <c r="E55" s="53"/>
      <c r="F55" s="138"/>
      <c r="G55" s="53"/>
      <c r="H55" s="138"/>
      <c r="I55" s="138"/>
      <c r="BJ55">
        <f t="shared" si="14"/>
        <v>101</v>
      </c>
      <c r="BK55" t="str">
        <f t="shared" si="15"/>
        <v>Dairy_heifer1_org</v>
      </c>
      <c r="BL55" t="s">
        <v>127</v>
      </c>
      <c r="BM55">
        <f t="shared" si="23"/>
        <v>0</v>
      </c>
      <c r="BN55">
        <f>$AG$34</f>
        <v>0</v>
      </c>
      <c r="BO55" s="32">
        <f>AG$46</f>
        <v>0</v>
      </c>
    </row>
    <row r="56" spans="1:67" x14ac:dyDescent="0.3">
      <c r="A56" s="18" t="s">
        <v>35</v>
      </c>
      <c r="B56" s="50"/>
      <c r="C56" s="50"/>
      <c r="D56" s="138"/>
      <c r="E56" s="53"/>
      <c r="F56" s="138"/>
      <c r="G56" s="53"/>
      <c r="H56" s="138"/>
      <c r="I56" s="138"/>
      <c r="BJ56">
        <f t="shared" si="14"/>
        <v>101</v>
      </c>
      <c r="BK56" t="str">
        <f t="shared" si="15"/>
        <v>Dairy_heifer1_org</v>
      </c>
      <c r="BL56" t="s">
        <v>127</v>
      </c>
      <c r="BM56">
        <f t="shared" si="23"/>
        <v>0</v>
      </c>
      <c r="BN56" s="32">
        <f>$AH$34</f>
        <v>0</v>
      </c>
      <c r="BO56" s="32">
        <f>AH$46</f>
        <v>0</v>
      </c>
    </row>
    <row r="57" spans="1:67" x14ac:dyDescent="0.3">
      <c r="A57" s="18" t="s">
        <v>36</v>
      </c>
      <c r="B57" s="50"/>
      <c r="C57" s="50"/>
      <c r="D57" s="138"/>
      <c r="E57" s="53"/>
      <c r="F57" s="138"/>
      <c r="G57" s="53"/>
      <c r="H57" s="138"/>
      <c r="I57" s="138"/>
      <c r="BJ57">
        <f t="shared" si="14"/>
        <v>101</v>
      </c>
      <c r="BK57" t="str">
        <f t="shared" si="15"/>
        <v>Dairy_heifer1_org</v>
      </c>
      <c r="BL57" t="s">
        <v>127</v>
      </c>
      <c r="BM57">
        <f t="shared" si="23"/>
        <v>0</v>
      </c>
      <c r="BN57">
        <f>$AI$34</f>
        <v>0</v>
      </c>
      <c r="BO57" s="32">
        <f>AI$46</f>
        <v>0</v>
      </c>
    </row>
    <row r="58" spans="1:67" x14ac:dyDescent="0.3">
      <c r="A58" s="18" t="s">
        <v>37</v>
      </c>
      <c r="B58" s="50"/>
      <c r="C58" s="50"/>
      <c r="D58" s="138"/>
      <c r="E58" s="53"/>
      <c r="F58" s="138"/>
      <c r="G58" s="53"/>
      <c r="H58" s="138"/>
      <c r="I58" s="138"/>
      <c r="BJ58">
        <f t="shared" si="14"/>
        <v>101</v>
      </c>
      <c r="BK58" t="str">
        <f t="shared" si="15"/>
        <v>Dairy_heifer1_org</v>
      </c>
      <c r="BL58" t="s">
        <v>127</v>
      </c>
      <c r="BM58">
        <f t="shared" si="23"/>
        <v>0</v>
      </c>
      <c r="BN58">
        <f>$AJ$34</f>
        <v>0</v>
      </c>
      <c r="BO58" s="32">
        <f>AJ$46</f>
        <v>0</v>
      </c>
    </row>
    <row r="59" spans="1:67" x14ac:dyDescent="0.3">
      <c r="A59" s="18" t="s">
        <v>56</v>
      </c>
      <c r="B59" s="24"/>
      <c r="D59" s="32"/>
      <c r="F59" s="32"/>
      <c r="H59" s="138"/>
      <c r="I59" s="138"/>
      <c r="BJ59">
        <f t="shared" si="14"/>
        <v>101</v>
      </c>
      <c r="BK59" t="str">
        <f t="shared" si="15"/>
        <v>Dairy_heifer1_org</v>
      </c>
      <c r="BL59" t="s">
        <v>127</v>
      </c>
      <c r="BM59">
        <f t="shared" ref="BL59:BM62" si="24">$B$47</f>
        <v>0</v>
      </c>
      <c r="BN59">
        <f>$AG$34</f>
        <v>0</v>
      </c>
      <c r="BO59" s="32">
        <f>AG$47</f>
        <v>0</v>
      </c>
    </row>
    <row r="60" spans="1:67" x14ac:dyDescent="0.3">
      <c r="BJ60">
        <f t="shared" si="14"/>
        <v>101</v>
      </c>
      <c r="BK60" t="str">
        <f t="shared" si="15"/>
        <v>Dairy_heifer1_org</v>
      </c>
      <c r="BL60" t="s">
        <v>127</v>
      </c>
      <c r="BM60">
        <f t="shared" si="24"/>
        <v>0</v>
      </c>
      <c r="BN60" s="32">
        <f>$AH$34</f>
        <v>0</v>
      </c>
      <c r="BO60" s="32">
        <f>AH$47</f>
        <v>0</v>
      </c>
    </row>
    <row r="61" spans="1:67" ht="17.399999999999999" x14ac:dyDescent="0.3">
      <c r="A61" s="31" t="s">
        <v>104</v>
      </c>
      <c r="BJ61">
        <f t="shared" si="14"/>
        <v>101</v>
      </c>
      <c r="BK61" t="str">
        <f t="shared" si="15"/>
        <v>Dairy_heifer1_org</v>
      </c>
      <c r="BL61" t="s">
        <v>127</v>
      </c>
      <c r="BM61">
        <f t="shared" si="24"/>
        <v>0</v>
      </c>
      <c r="BN61">
        <f>$AI$34</f>
        <v>0</v>
      </c>
      <c r="BO61" s="32">
        <f>AI$47</f>
        <v>0</v>
      </c>
    </row>
    <row r="62" spans="1:67" x14ac:dyDescent="0.3">
      <c r="A62" s="21" t="s">
        <v>280</v>
      </c>
      <c r="B62" s="10" t="s">
        <v>101</v>
      </c>
      <c r="C62" s="10" t="s">
        <v>102</v>
      </c>
      <c r="D62" s="10" t="s">
        <v>103</v>
      </c>
      <c r="BI62">
        <f t="shared" si="14"/>
        <v>101</v>
      </c>
      <c r="BJ62" t="str">
        <f t="shared" si="15"/>
        <v>Dairy_heifer1_org</v>
      </c>
      <c r="BK62" t="s">
        <v>127</v>
      </c>
      <c r="BL62">
        <f t="shared" si="24"/>
        <v>0</v>
      </c>
      <c r="BM62">
        <f>$AJ$34</f>
        <v>0</v>
      </c>
      <c r="BN62" s="32">
        <f>AJ$47</f>
        <v>0</v>
      </c>
    </row>
    <row r="63" spans="1:67" x14ac:dyDescent="0.3">
      <c r="A63" s="18" t="s">
        <v>86</v>
      </c>
      <c r="B63" s="19"/>
      <c r="C63" s="11">
        <v>60</v>
      </c>
      <c r="D63" s="11">
        <v>2</v>
      </c>
      <c r="E63" t="s">
        <v>278</v>
      </c>
      <c r="F63" t="s">
        <v>370</v>
      </c>
      <c r="BI63">
        <f t="shared" ref="BI63:BJ91" si="25">$BM$32</f>
        <v>101</v>
      </c>
      <c r="BJ63" t="str">
        <f t="shared" ref="BJ63:BK91" si="26">$BM$33</f>
        <v>Dairy_heifer1_org</v>
      </c>
      <c r="BK63" t="s">
        <v>127</v>
      </c>
      <c r="BL63">
        <f t="shared" ref="BL63:BM68" si="27">$B$48</f>
        <v>0</v>
      </c>
      <c r="BM63" s="64" t="str">
        <f>C48</f>
        <v>Kg</v>
      </c>
      <c r="BN63" s="32">
        <f>P48</f>
        <v>0</v>
      </c>
    </row>
    <row r="64" spans="1:67" x14ac:dyDescent="0.3">
      <c r="A64" s="18" t="s">
        <v>87</v>
      </c>
      <c r="B64" s="19"/>
      <c r="C64" s="11"/>
      <c r="D64" s="11"/>
      <c r="BI64">
        <f t="shared" si="25"/>
        <v>101</v>
      </c>
      <c r="BJ64" t="str">
        <f t="shared" si="26"/>
        <v>Dairy_heifer1_org</v>
      </c>
      <c r="BK64" t="s">
        <v>127</v>
      </c>
      <c r="BL64">
        <f t="shared" si="27"/>
        <v>0</v>
      </c>
      <c r="BM64" t="str">
        <f>$AF$34</f>
        <v/>
      </c>
      <c r="BN64" s="32" t="str">
        <f>AF$48</f>
        <v/>
      </c>
    </row>
    <row r="65" spans="1:67" x14ac:dyDescent="0.3">
      <c r="A65" s="156" t="s">
        <v>56</v>
      </c>
      <c r="B65" s="159">
        <f>SUM(B63:B64)</f>
        <v>0</v>
      </c>
      <c r="C65" s="159">
        <f>SUM(C63:C64)</f>
        <v>60</v>
      </c>
      <c r="D65" s="159">
        <f>SUM(D63:D64)</f>
        <v>2</v>
      </c>
      <c r="BJ65">
        <f t="shared" si="25"/>
        <v>101</v>
      </c>
      <c r="BK65" t="str">
        <f t="shared" si="26"/>
        <v>Dairy_heifer1_org</v>
      </c>
      <c r="BL65" t="s">
        <v>127</v>
      </c>
      <c r="BM65">
        <f t="shared" si="27"/>
        <v>0</v>
      </c>
      <c r="BN65">
        <f>$AG$34</f>
        <v>0</v>
      </c>
      <c r="BO65" s="32">
        <f>AG$48</f>
        <v>0</v>
      </c>
    </row>
    <row r="66" spans="1:67" ht="17.399999999999999" x14ac:dyDescent="0.3">
      <c r="P66" s="31" t="s">
        <v>266</v>
      </c>
      <c r="Q66" s="31"/>
      <c r="BJ66">
        <f t="shared" si="25"/>
        <v>101</v>
      </c>
      <c r="BK66" t="str">
        <f t="shared" si="26"/>
        <v>Dairy_heifer1_org</v>
      </c>
      <c r="BL66" t="s">
        <v>127</v>
      </c>
      <c r="BM66">
        <f t="shared" si="27"/>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5"/>
        <v>101</v>
      </c>
      <c r="BK67" t="str">
        <f t="shared" si="26"/>
        <v>Dairy_heifer1_org</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t="e">
        <f t="shared" ref="R68:R76" si="29">SUMPRODUCT(($D$68:$D$81=P68)*$L$68:$L$81)</f>
        <v>#N/A</v>
      </c>
      <c r="S68" s="49" t="e">
        <f t="shared" ref="S68:S76" si="30">IF(P68="","0",SUMPRODUCT(($D$68:$D$81=P68)*$K$68:$K$81))</f>
        <v>#N/A</v>
      </c>
      <c r="T68" s="49" t="e">
        <f>IF(R68&gt;0,0,(S68*VLOOKUP(P68,Other_tables!$L$5:$O$13,2,FALSE))/1000)</f>
        <v>#N/A</v>
      </c>
      <c r="U68" s="95"/>
      <c r="BJ68">
        <f t="shared" si="25"/>
        <v>101</v>
      </c>
      <c r="BK68" t="str">
        <f t="shared" si="26"/>
        <v>Dairy_heifer1_org</v>
      </c>
      <c r="BL68" t="s">
        <v>127</v>
      </c>
      <c r="BM68">
        <f t="shared" si="27"/>
        <v>0</v>
      </c>
      <c r="BN68">
        <f>$AJ$34</f>
        <v>0</v>
      </c>
      <c r="BO68" s="32">
        <f>AJ$48</f>
        <v>0</v>
      </c>
    </row>
    <row r="69" spans="1:67" x14ac:dyDescent="0.3">
      <c r="A69" s="18" t="s">
        <v>45</v>
      </c>
      <c r="B69" s="38" t="s">
        <v>442</v>
      </c>
      <c r="C69" s="19">
        <v>168</v>
      </c>
      <c r="D69" s="11" t="s">
        <v>225</v>
      </c>
      <c r="E69" s="11" t="s">
        <v>81</v>
      </c>
      <c r="F69" s="5">
        <v>100</v>
      </c>
      <c r="G69" t="s">
        <v>230</v>
      </c>
      <c r="K69" s="49">
        <f t="shared" si="28"/>
        <v>3.9327300238575527</v>
      </c>
      <c r="L69" s="49">
        <f>IF(E69="Diesel",VLOOKUP(D69,Other_tables!$L$5:$O$13,2,FALSE)*K69,0)</f>
        <v>0</v>
      </c>
      <c r="P69" s="30" t="str">
        <f>Other_tables!L6</f>
        <v>Lastbil &gt; 20 T</v>
      </c>
      <c r="Q69" s="44"/>
      <c r="R69" s="159" t="e">
        <f t="shared" si="29"/>
        <v>#N/A</v>
      </c>
      <c r="S69" s="49" t="e">
        <f t="shared" si="30"/>
        <v>#N/A</v>
      </c>
      <c r="T69" s="49" t="e">
        <f>IF(R69&gt;0,0,(S69*VLOOKUP(P69,Other_tables!$L$5:$O$13,2,FALSE))/1000)</f>
        <v>#N/A</v>
      </c>
      <c r="U69" s="95"/>
      <c r="BJ69">
        <f t="shared" si="25"/>
        <v>101</v>
      </c>
      <c r="BK69" t="str">
        <f t="shared" si="26"/>
        <v>Dairy_heifer1_org</v>
      </c>
      <c r="BL69" t="s">
        <v>127</v>
      </c>
      <c r="BM69">
        <f t="shared" ref="BM69:BM74" si="31">$B$49</f>
        <v>0</v>
      </c>
      <c r="BN69" s="64" t="str">
        <f>C49</f>
        <v>Kg</v>
      </c>
      <c r="BO69" s="32">
        <f>P49</f>
        <v>0</v>
      </c>
    </row>
    <row r="70" spans="1:67" x14ac:dyDescent="0.3">
      <c r="A70" s="18" t="s">
        <v>46</v>
      </c>
      <c r="B70" s="38" t="s">
        <v>444</v>
      </c>
      <c r="C70" s="19">
        <v>133</v>
      </c>
      <c r="D70" s="11" t="s">
        <v>226</v>
      </c>
      <c r="E70" s="11" t="s">
        <v>81</v>
      </c>
      <c r="F70" s="5">
        <v>80</v>
      </c>
      <c r="G70" t="s">
        <v>683</v>
      </c>
      <c r="K70" s="49">
        <f t="shared" si="28"/>
        <v>11.264342130490419</v>
      </c>
      <c r="L70" s="49">
        <f>IF(E70="Diesel",VLOOKUP(D70,Other_tables!$L$5:$O$13,2,FALSE)*K70,0)</f>
        <v>0</v>
      </c>
      <c r="P70" s="30" t="str">
        <f>Other_tables!L7</f>
        <v>Lastbil 10-20 T</v>
      </c>
      <c r="Q70" s="44"/>
      <c r="R70" s="159" t="e">
        <f t="shared" si="29"/>
        <v>#N/A</v>
      </c>
      <c r="S70" s="49" t="e">
        <f t="shared" si="30"/>
        <v>#N/A</v>
      </c>
      <c r="T70" s="49" t="e">
        <f>IF(R70&gt;0,0,(S70*VLOOKUP(P70,Other_tables!$L$5:$O$13,2,FALSE))/1000)</f>
        <v>#N/A</v>
      </c>
      <c r="BJ70">
        <f t="shared" si="25"/>
        <v>101</v>
      </c>
      <c r="BK70" t="str">
        <f t="shared" si="26"/>
        <v>Dairy_heifer1_org</v>
      </c>
      <c r="BL70" t="s">
        <v>127</v>
      </c>
      <c r="BM70">
        <f t="shared" si="31"/>
        <v>0</v>
      </c>
      <c r="BN70" t="str">
        <f>$AF$34</f>
        <v/>
      </c>
      <c r="BO70" s="32" t="str">
        <f>AF$49</f>
        <v/>
      </c>
    </row>
    <row r="71" spans="1:67" x14ac:dyDescent="0.3">
      <c r="A71" s="18" t="s">
        <v>47</v>
      </c>
      <c r="B71" s="38" t="s">
        <v>444</v>
      </c>
      <c r="C71" s="19">
        <v>5</v>
      </c>
      <c r="D71" s="11" t="s">
        <v>229</v>
      </c>
      <c r="E71" s="11" t="s">
        <v>17</v>
      </c>
      <c r="F71" s="5">
        <v>20</v>
      </c>
      <c r="K71" s="49">
        <f t="shared" si="28"/>
        <v>0.10586787716626334</v>
      </c>
      <c r="L71" s="49">
        <f>IF(E71="Diesel",VLOOKUP(D71,Other_tables!$L$5:$O$13,2,FALSE)*K71,0)</f>
        <v>2.117357543325267E-2</v>
      </c>
      <c r="P71" s="30" t="str">
        <f>Other_tables!L8</f>
        <v>Lastbil &lt; 10 T</v>
      </c>
      <c r="Q71" s="44"/>
      <c r="R71" s="159" t="e">
        <f t="shared" si="29"/>
        <v>#N/A</v>
      </c>
      <c r="S71" s="49" t="e">
        <f t="shared" si="30"/>
        <v>#N/A</v>
      </c>
      <c r="T71" s="49" t="e">
        <f>IF(R71&gt;0,0,(S71*VLOOKUP(P71,Other_tables!$L$5:$O$13,2,FALSE))/1000)</f>
        <v>#N/A</v>
      </c>
      <c r="BJ71">
        <f t="shared" si="25"/>
        <v>101</v>
      </c>
      <c r="BK71" t="str">
        <f t="shared" si="26"/>
        <v>Dairy_heifer1_org</v>
      </c>
      <c r="BL71" t="s">
        <v>127</v>
      </c>
      <c r="BM71">
        <f t="shared" si="31"/>
        <v>0</v>
      </c>
      <c r="BN71">
        <f>$AG$34</f>
        <v>0</v>
      </c>
      <c r="BO71" s="32">
        <f>AG$49</f>
        <v>0</v>
      </c>
    </row>
    <row r="72" spans="1:67" x14ac:dyDescent="0.3">
      <c r="A72" s="18" t="s">
        <v>67</v>
      </c>
      <c r="B72" s="38" t="s">
        <v>664</v>
      </c>
      <c r="C72" s="19">
        <v>15</v>
      </c>
      <c r="D72" s="11" t="s">
        <v>229</v>
      </c>
      <c r="E72" s="11" t="s">
        <v>17</v>
      </c>
      <c r="F72" s="5">
        <v>100</v>
      </c>
      <c r="G72" t="s">
        <v>578</v>
      </c>
      <c r="K72" s="49" t="e">
        <f t="shared" si="28"/>
        <v>#N/A</v>
      </c>
      <c r="L72" s="49" t="e">
        <f>IF(E72="Diesel",VLOOKUP(D72,Other_tables!$L$5:$O$13,2,FALSE)*K72,0)</f>
        <v>#N/A</v>
      </c>
      <c r="P72" s="30" t="str">
        <f>Other_tables!L9</f>
        <v>Fragttog Europa</v>
      </c>
      <c r="Q72" s="44"/>
      <c r="R72" s="159" t="e">
        <f t="shared" si="29"/>
        <v>#N/A</v>
      </c>
      <c r="S72" s="49" t="e">
        <f t="shared" si="30"/>
        <v>#N/A</v>
      </c>
      <c r="T72" s="49" t="e">
        <f>IF(R72&gt;0,0,(S72*VLOOKUP(P72,Other_tables!$L$5:$O$13,2,FALSE))/1000)</f>
        <v>#N/A</v>
      </c>
      <c r="BJ72">
        <f t="shared" si="25"/>
        <v>101</v>
      </c>
      <c r="BK72" t="str">
        <f t="shared" si="26"/>
        <v>Dairy_heifer1_org</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t="e">
        <f t="shared" si="29"/>
        <v>#N/A</v>
      </c>
      <c r="S73" s="49" t="e">
        <f t="shared" si="30"/>
        <v>#N/A</v>
      </c>
      <c r="T73" s="49" t="e">
        <f>IF(R73&gt;0,0,(S73*VLOOKUP(P73,Other_tables!$L$5:$O$13,2,FALSE))/1000)</f>
        <v>#N/A</v>
      </c>
      <c r="BJ73">
        <f t="shared" si="25"/>
        <v>101</v>
      </c>
      <c r="BK73" t="str">
        <f t="shared" si="26"/>
        <v>Dairy_heifer1_org</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t="e">
        <f t="shared" si="29"/>
        <v>#N/A</v>
      </c>
      <c r="S74" s="49" t="e">
        <f t="shared" si="30"/>
        <v>#N/A</v>
      </c>
      <c r="T74" s="49" t="e">
        <f>IF(R74&gt;0,0,(S74*VLOOKUP(P74,Other_tables!$L$5:$O$13,2,FALSE))/1000)</f>
        <v>#N/A</v>
      </c>
      <c r="BJ74">
        <f t="shared" si="25"/>
        <v>101</v>
      </c>
      <c r="BK74" t="str">
        <f t="shared" si="26"/>
        <v>Dairy_heifer1_org</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t="e">
        <f t="shared" si="29"/>
        <v>#N/A</v>
      </c>
      <c r="S75" s="49" t="e">
        <f t="shared" si="30"/>
        <v>#N/A</v>
      </c>
      <c r="T75" s="49" t="e">
        <f>IF(R75&gt;0,0,(S75*VLOOKUP(P75,Other_tables!$L$5:$O$13,2,FALSE))/1000)</f>
        <v>#N/A</v>
      </c>
      <c r="BJ75">
        <f t="shared" si="25"/>
        <v>101</v>
      </c>
      <c r="BK75" t="str">
        <f t="shared" si="26"/>
        <v>Dairy_heifer1_org</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t="e">
        <f t="shared" si="29"/>
        <v>#N/A</v>
      </c>
      <c r="S76" s="49" t="e">
        <f t="shared" si="30"/>
        <v>#N/A</v>
      </c>
      <c r="T76" s="49" t="e">
        <f>IF(R76&gt;0,0,(S76*VLOOKUP(P76,Other_tables!$L$5:$O$13,2,FALSE))/1000)</f>
        <v>#N/A</v>
      </c>
      <c r="BJ76">
        <f t="shared" si="25"/>
        <v>101</v>
      </c>
      <c r="BK76" t="str">
        <f t="shared" si="26"/>
        <v>Dairy_heifer1_org</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t="e">
        <f>SUM(R68:R76)</f>
        <v>#N/A</v>
      </c>
      <c r="S77" s="57"/>
      <c r="T77" s="58" t="e">
        <f>SUM(T68:T76)</f>
        <v>#N/A</v>
      </c>
      <c r="BJ77">
        <f t="shared" si="25"/>
        <v>101</v>
      </c>
      <c r="BK77" t="str">
        <f t="shared" si="26"/>
        <v>Dairy_heifer1_org</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101</v>
      </c>
      <c r="BK78" t="str">
        <f t="shared" si="26"/>
        <v>Dairy_heifer1_org</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101</v>
      </c>
      <c r="BK79" t="str">
        <f t="shared" si="26"/>
        <v>Dairy_heifer1_org</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101</v>
      </c>
      <c r="BK80" t="str">
        <f t="shared" si="26"/>
        <v>Dairy_heifer1_org</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101</v>
      </c>
      <c r="BK81" t="str">
        <f t="shared" si="26"/>
        <v>Dairy_heifer1_org</v>
      </c>
      <c r="BL81" t="s">
        <v>118</v>
      </c>
      <c r="BM81" t="s">
        <v>118</v>
      </c>
      <c r="BN81">
        <f>I53</f>
        <v>0</v>
      </c>
      <c r="BO81" s="47">
        <f>I59</f>
        <v>0</v>
      </c>
    </row>
    <row r="82" spans="1:67" ht="17.399999999999999" x14ac:dyDescent="0.3">
      <c r="A82" s="25"/>
      <c r="B82" s="25"/>
      <c r="C82" s="24"/>
      <c r="D82" s="24"/>
      <c r="P82" s="31" t="s">
        <v>95</v>
      </c>
      <c r="Q82" s="55"/>
      <c r="BJ82">
        <f t="shared" si="25"/>
        <v>101</v>
      </c>
      <c r="BK82" t="str">
        <f t="shared" si="26"/>
        <v>Dairy_heifer1_org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101</v>
      </c>
      <c r="BK83" t="str">
        <f t="shared" si="26"/>
        <v>Dairy_heifer1_org</v>
      </c>
      <c r="BL83" t="str">
        <f>$A$67</f>
        <v>Transport</v>
      </c>
      <c r="BM83" t="str">
        <f>BL83</f>
        <v>Transport</v>
      </c>
      <c r="BN83" t="str">
        <f>R67</f>
        <v>Diesel (L)</v>
      </c>
      <c r="BO83" s="47" t="e">
        <f>R77</f>
        <v>#N/A</v>
      </c>
    </row>
    <row r="84" spans="1:67" x14ac:dyDescent="0.3">
      <c r="A84" s="18" t="s">
        <v>33</v>
      </c>
      <c r="B84" s="38" t="s">
        <v>444</v>
      </c>
      <c r="C84" s="19" t="s">
        <v>217</v>
      </c>
      <c r="D84" s="28">
        <f>IF(B84="","",VLOOKUP(C84,Other_tables!$S$5:$AA$22,7,FALSE))</f>
        <v>2.148148148148148E-2</v>
      </c>
      <c r="E84" s="28">
        <f>IF(B84="","",VLOOKUP(C84,Other_tables!$S$5:$AA$22,3,FALSE))</f>
        <v>2.839506172839506E-3</v>
      </c>
      <c r="F84" s="5">
        <v>100</v>
      </c>
      <c r="P84" s="30" t="str">
        <f t="shared" ref="P84:P92" si="34">B84</f>
        <v>Grain_org</v>
      </c>
      <c r="Q84" s="44"/>
      <c r="R84" s="49">
        <f>IF(D84="",0,VLOOKUP(P84,$B$12:$D$18,3,FALSE)*D84)</f>
        <v>1.9333333333333331</v>
      </c>
      <c r="S84" s="49">
        <f>IF(E84="",0,VLOOKUP(P84,$B$12:$D$18,3,FALSE)*E84)</f>
        <v>0.25555555555555554</v>
      </c>
      <c r="BJ84">
        <f t="shared" si="25"/>
        <v>101</v>
      </c>
      <c r="BK84" t="str">
        <f t="shared" si="26"/>
        <v>Dairy_heifer1_org</v>
      </c>
      <c r="BL84" t="str">
        <f>$A$67</f>
        <v>Transport</v>
      </c>
      <c r="BM84" t="str">
        <f>BL84</f>
        <v>Transport</v>
      </c>
      <c r="BN84" t="str">
        <f>T67</f>
        <v>kg CO₂eq for T/km</v>
      </c>
      <c r="BO84" s="47" t="e">
        <f>T77</f>
        <v>#N/A</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101</v>
      </c>
      <c r="BK85" t="str">
        <f t="shared" si="26"/>
        <v>Dairy_heifer1_org</v>
      </c>
      <c r="BL85" t="s">
        <v>120</v>
      </c>
      <c r="BM85" t="s">
        <v>120</v>
      </c>
      <c r="BN85" t="str">
        <f>R83</f>
        <v>EL (KWh)</v>
      </c>
      <c r="BO85" s="47">
        <f>R93</f>
        <v>1.9333333333333331</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101</v>
      </c>
      <c r="BK86" t="str">
        <f t="shared" si="26"/>
        <v>Dairy_heifer1_org</v>
      </c>
      <c r="BL86" t="s">
        <v>120</v>
      </c>
      <c r="BM86" t="s">
        <v>120</v>
      </c>
      <c r="BN86" t="str">
        <f>S83</f>
        <v>Diesel (L)</v>
      </c>
      <c r="BO86" s="47">
        <f>S93</f>
        <v>0.25555555555555554</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101</v>
      </c>
      <c r="BK87" t="str">
        <f t="shared" si="26"/>
        <v>Dairy_heifer1_org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101</v>
      </c>
      <c r="BK88" t="str">
        <f t="shared" si="26"/>
        <v>Dairy_heifer1_org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101</v>
      </c>
      <c r="BK89" t="str">
        <f t="shared" si="26"/>
        <v>Dairy_heifer1_org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101</v>
      </c>
      <c r="BK90" t="str">
        <f t="shared" si="26"/>
        <v>Dairy_heifer1_org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101</v>
      </c>
      <c r="BK91" t="str">
        <f t="shared" si="26"/>
        <v>Dairy_heifer1_org</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1.9333333333333331</v>
      </c>
      <c r="S93" s="58">
        <f>SUM(S84:S92)</f>
        <v>0.25555555555555554</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545</v>
      </c>
      <c r="B122" s="158"/>
      <c r="C122" s="248">
        <v>0.1563760489513692</v>
      </c>
      <c r="D122" s="6" t="s">
        <v>432</v>
      </c>
      <c r="E122" s="252">
        <v>181.03087500000001</v>
      </c>
      <c r="F122" s="164">
        <f>VLOOKUP(A122,'Stable systems'!$A$4:$AK$105,35,FALSE)</f>
        <v>0</v>
      </c>
      <c r="G122" s="164">
        <f>VLOOKUP(A122,'Stable systems'!$A$4:$AK$105,36,FALSE)</f>
        <v>0</v>
      </c>
      <c r="H122" s="164">
        <f>VLOOKUP(A122,'Stable systems'!$A$4:$AK$105,37,FALSE)</f>
        <v>0</v>
      </c>
      <c r="M122" s="173">
        <f>(C122/100)*E122</f>
        <v>0.28308892970709199</v>
      </c>
    </row>
    <row r="123" spans="1:13" x14ac:dyDescent="0.3">
      <c r="A123" s="158" t="s">
        <v>546</v>
      </c>
      <c r="B123" s="158"/>
      <c r="C123" s="248">
        <v>0.1474212725475314</v>
      </c>
      <c r="D123" s="6" t="s">
        <v>432</v>
      </c>
      <c r="E123" s="252">
        <v>181.03087500000001</v>
      </c>
      <c r="F123" s="164">
        <f>VLOOKUP(A123,'Stable systems'!$A$4:$AK$105,35,FALSE)</f>
        <v>0</v>
      </c>
      <c r="G123" s="164">
        <f>VLOOKUP(A123,'Stable systems'!$A$4:$AK$105,36,FALSE)</f>
        <v>0</v>
      </c>
      <c r="H123" s="164">
        <f>VLOOKUP(A123,'Stable systems'!$A$4:$AK$105,37,FALSE)</f>
        <v>0</v>
      </c>
      <c r="M123" s="173">
        <f t="shared" ref="M123:M131" si="41">(C123/100)*E123</f>
        <v>0.26687801962893093</v>
      </c>
    </row>
    <row r="124" spans="1:13" x14ac:dyDescent="0.3">
      <c r="A124" s="158" t="s">
        <v>547</v>
      </c>
      <c r="B124" s="158"/>
      <c r="C124" s="248">
        <v>7.2184880140342571</v>
      </c>
      <c r="D124" s="6" t="s">
        <v>432</v>
      </c>
      <c r="E124" s="252">
        <v>72.412350000000004</v>
      </c>
      <c r="F124" s="164">
        <f>VLOOKUP(A124,'Stable systems'!$A$4:$AK$105,35,FALSE)</f>
        <v>0</v>
      </c>
      <c r="G124" s="164">
        <f>VLOOKUP(A124,'Stable systems'!$A$4:$AK$105,36,FALSE)</f>
        <v>0</v>
      </c>
      <c r="H124" s="164">
        <f>VLOOKUP(A124,'Stable systems'!$A$4:$AK$105,37,FALSE)</f>
        <v>0</v>
      </c>
      <c r="M124" s="173">
        <f t="shared" si="41"/>
        <v>5.2270768054305359</v>
      </c>
    </row>
    <row r="125" spans="1:13" x14ac:dyDescent="0.3">
      <c r="A125" s="158" t="s">
        <v>548</v>
      </c>
      <c r="B125" s="158"/>
      <c r="C125" s="248">
        <v>7.1595812620938917</v>
      </c>
      <c r="D125" s="6" t="s">
        <v>432</v>
      </c>
      <c r="E125" s="252">
        <v>72.412350000000004</v>
      </c>
      <c r="F125" s="164">
        <f>VLOOKUP(A125,'Stable systems'!$A$4:$AK$105,35,FALSE)</f>
        <v>0</v>
      </c>
      <c r="G125" s="164">
        <f>VLOOKUP(A125,'Stable systems'!$A$4:$AK$105,36,FALSE)</f>
        <v>0</v>
      </c>
      <c r="H125" s="164">
        <f>VLOOKUP(A125,'Stable systems'!$A$4:$AK$105,37,FALSE)</f>
        <v>0</v>
      </c>
      <c r="M125" s="173">
        <f t="shared" si="41"/>
        <v>5.1844210420418468</v>
      </c>
    </row>
    <row r="126" spans="1:13" x14ac:dyDescent="0.3">
      <c r="A126" s="158" t="s">
        <v>549</v>
      </c>
      <c r="B126" s="158"/>
      <c r="C126" s="248">
        <v>21.093379615523418</v>
      </c>
      <c r="D126" s="6" t="s">
        <v>432</v>
      </c>
      <c r="E126" s="252">
        <v>72.412350000000004</v>
      </c>
      <c r="F126" s="164">
        <f>VLOOKUP(A126,'Stable systems'!$A$4:$AK$105,35,FALSE)</f>
        <v>0</v>
      </c>
      <c r="G126" s="164">
        <f>VLOOKUP(A126,'Stable systems'!$A$4:$AK$105,36,FALSE)</f>
        <v>0</v>
      </c>
      <c r="H126" s="164">
        <f>VLOOKUP(A126,'Stable systems'!$A$4:$AK$105,37,FALSE)</f>
        <v>0</v>
      </c>
      <c r="M126" s="173">
        <f t="shared" si="41"/>
        <v>15.274211874021471</v>
      </c>
    </row>
    <row r="127" spans="1:13" x14ac:dyDescent="0.3">
      <c r="A127" s="158" t="s">
        <v>551</v>
      </c>
      <c r="B127" s="158"/>
      <c r="C127" s="248">
        <v>46.791920296539089</v>
      </c>
      <c r="D127" s="6" t="s">
        <v>432</v>
      </c>
      <c r="E127" s="252">
        <v>1551.56025</v>
      </c>
      <c r="F127" s="164">
        <f>VLOOKUP(A127,'Stable systems'!$A$4:$AK$105,35,FALSE)</f>
        <v>0</v>
      </c>
      <c r="G127" s="164">
        <f>VLOOKUP(A127,'Stable systems'!$A$4:$AK$105,36,FALSE)</f>
        <v>0</v>
      </c>
      <c r="H127" s="164">
        <f>VLOOKUP(A127,'Stable systems'!$A$4:$AK$105,37,FALSE)</f>
        <v>0</v>
      </c>
      <c r="M127" s="173">
        <f t="shared" si="41"/>
        <v>726.00483553278264</v>
      </c>
    </row>
    <row r="128" spans="1:13" x14ac:dyDescent="0.3">
      <c r="A128" s="158" t="s">
        <v>552</v>
      </c>
      <c r="B128" s="158"/>
      <c r="C128" s="248">
        <v>2.4965158522958433</v>
      </c>
      <c r="D128" s="6" t="s">
        <v>432</v>
      </c>
      <c r="E128" s="252">
        <v>1310.1857499999999</v>
      </c>
      <c r="F128" s="164">
        <f>VLOOKUP(A128,'Stable systems'!$A$4:$AK$105,35,FALSE)</f>
        <v>0</v>
      </c>
      <c r="G128" s="164">
        <f>VLOOKUP(A128,'Stable systems'!$A$4:$AK$105,36,FALSE)</f>
        <v>0</v>
      </c>
      <c r="H128" s="164">
        <f>VLOOKUP(A128,'Stable systems'!$A$4:$AK$105,37,FALSE)</f>
        <v>0</v>
      </c>
      <c r="M128" s="173">
        <f t="shared" si="41"/>
        <v>32.708994943271179</v>
      </c>
    </row>
    <row r="129" spans="1:16" x14ac:dyDescent="0.3">
      <c r="A129" s="158" t="s">
        <v>553</v>
      </c>
      <c r="B129" s="158"/>
      <c r="C129" s="248">
        <v>3.5440130926960682</v>
      </c>
      <c r="D129" s="6" t="s">
        <v>432</v>
      </c>
      <c r="E129" s="252">
        <v>1206.8725000000002</v>
      </c>
      <c r="F129" s="164">
        <f>VLOOKUP(A129,'Stable systems'!$A$4:$AK$105,35,FALSE)</f>
        <v>0</v>
      </c>
      <c r="G129" s="164">
        <f>VLOOKUP(A129,'Stable systems'!$A$4:$AK$105,36,FALSE)</f>
        <v>0</v>
      </c>
      <c r="H129" s="164">
        <f>VLOOKUP(A129,'Stable systems'!$A$4:$AK$105,37,FALSE)</f>
        <v>0</v>
      </c>
      <c r="M129" s="173">
        <f t="shared" si="41"/>
        <v>42.771719412148364</v>
      </c>
    </row>
    <row r="130" spans="1:16" x14ac:dyDescent="0.3">
      <c r="A130" s="158" t="s">
        <v>554</v>
      </c>
      <c r="B130" s="158"/>
      <c r="C130" s="248">
        <v>4.6500229894602638</v>
      </c>
      <c r="D130" s="6" t="s">
        <v>432</v>
      </c>
      <c r="E130" s="252">
        <v>1206.8725000000002</v>
      </c>
      <c r="F130" s="164">
        <f>VLOOKUP(A130,'Stable systems'!$A$4:$AK$105,35,FALSE)</f>
        <v>0</v>
      </c>
      <c r="G130" s="164">
        <f>VLOOKUP(A130,'Stable systems'!$A$4:$AK$105,36,FALSE)</f>
        <v>0</v>
      </c>
      <c r="H130" s="164">
        <f>VLOOKUP(A130,'Stable systems'!$A$4:$AK$105,37,FALSE)</f>
        <v>0</v>
      </c>
      <c r="M130" s="173">
        <f t="shared" si="41"/>
        <v>56.119848703473835</v>
      </c>
    </row>
    <row r="131" spans="1:16" x14ac:dyDescent="0.3">
      <c r="A131" s="158" t="s">
        <v>555</v>
      </c>
      <c r="B131" s="158"/>
      <c r="C131" s="248">
        <v>2.8662410309047957</v>
      </c>
      <c r="D131" s="6" t="s">
        <v>432</v>
      </c>
      <c r="E131" s="252">
        <v>1206.8725000000002</v>
      </c>
      <c r="F131" s="164">
        <f>VLOOKUP(A131,'Stable systems'!$A$4:$AK$105,35,FALSE)</f>
        <v>0</v>
      </c>
      <c r="G131" s="164">
        <f>VLOOKUP(A131,'Stable systems'!$A$4:$AK$105,36,FALSE)</f>
        <v>0</v>
      </c>
      <c r="H131" s="164">
        <f>VLOOKUP(A131,'Stable systems'!$A$4:$AK$105,37,FALSE)</f>
        <v>0</v>
      </c>
      <c r="M131" s="173">
        <f t="shared" si="41"/>
        <v>34.591874785706487</v>
      </c>
    </row>
    <row r="132" spans="1:16" x14ac:dyDescent="0.3">
      <c r="A132" s="158" t="s">
        <v>556</v>
      </c>
      <c r="B132" s="158"/>
      <c r="C132" s="248">
        <v>2.6529178296239806</v>
      </c>
      <c r="D132" s="6"/>
      <c r="E132" s="252">
        <v>0</v>
      </c>
      <c r="F132" s="164">
        <f>VLOOKUP(A132,'Stable systems'!$A$4:$AK$105,35,FALSE)</f>
        <v>0</v>
      </c>
      <c r="G132" s="164">
        <f>VLOOKUP(A132,'Stable systems'!$A$4:$AK$105,36,FALSE)</f>
        <v>0</v>
      </c>
      <c r="H132" s="164">
        <f>VLOOKUP(A132,'Stable systems'!$A$4:$AK$105,37,FALSE)</f>
        <v>0</v>
      </c>
      <c r="M132" s="173">
        <f>(C132/100)*E132</f>
        <v>0</v>
      </c>
    </row>
    <row r="133" spans="1:16" x14ac:dyDescent="0.3">
      <c r="A133" s="158" t="s">
        <v>550</v>
      </c>
      <c r="B133" s="158"/>
      <c r="C133" s="248">
        <v>1.2231226953295065</v>
      </c>
      <c r="D133" s="6" t="s">
        <v>432</v>
      </c>
      <c r="E133" s="252">
        <v>72.412350000000004</v>
      </c>
      <c r="F133" s="164">
        <f>VLOOKUP(A133,'Stable systems'!$A$4:$AK$105,35,FALSE)</f>
        <v>0</v>
      </c>
      <c r="G133" s="164">
        <f>VLOOKUP(A133,'Stable systems'!$A$4:$AK$105,36,FALSE)</f>
        <v>0</v>
      </c>
      <c r="H133" s="164">
        <f>VLOOKUP(A133,'Stable systems'!$A$4:$AK$105,37,FALSE)</f>
        <v>0</v>
      </c>
      <c r="M133" s="173">
        <f t="shared" ref="M133:M134" si="42">(C133/100)*E133</f>
        <v>0.88569188707143587</v>
      </c>
    </row>
    <row r="134" spans="1:16" x14ac:dyDescent="0.3">
      <c r="A134" s="158"/>
      <c r="B134" s="158"/>
      <c r="C134" s="19"/>
      <c r="D134" s="6"/>
      <c r="E134" s="5">
        <v>0</v>
      </c>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t="s">
        <v>570</v>
      </c>
      <c r="B136" s="158"/>
      <c r="C136" s="205">
        <f>((SUM(D24:D25)/D32)*100)</f>
        <v>39.947437582128778</v>
      </c>
      <c r="D136" s="12"/>
      <c r="M136" s="154"/>
    </row>
    <row r="137" spans="1:16" x14ac:dyDescent="0.3">
      <c r="B137" s="156" t="s">
        <v>56</v>
      </c>
      <c r="C137" s="245">
        <f>SUM(C122:C134)</f>
        <v>100.00000000000001</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552.0744012673124</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3.2438025029782276</v>
      </c>
      <c r="L146" s="49">
        <f>IF(E146="Diesel",VLOOKUP(D146,Other_tables!$L$5:$O$13,2,FALSE)*K146,0)</f>
        <v>0.64876050059564561</v>
      </c>
      <c r="P146" s="30" t="str">
        <f>Other_tables!L5</f>
        <v>Traktor</v>
      </c>
      <c r="Q146" s="44"/>
      <c r="R146" s="103">
        <f t="shared" ref="R146:R154" si="44">SUMPRODUCT(($D$146:$D$149=P146)*$L$146:$L$149)</f>
        <v>0.64876050059564561</v>
      </c>
      <c r="S146" s="114">
        <f t="shared" ref="S146:S154" si="45">IF(P146="","0",SUMPRODUCT(($D$146:$D$149=P146)*$K$146:$K$149))</f>
        <v>3.2438025029782276</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0.64876050059564561</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0.32665091204990748</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1.3066036481996299</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0.32665091204990748</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1.9599054722994449</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t="e">
        <f t="shared" ref="R171:R179" si="46">SUMPRODUCT(($P$68:$P$76=P171)*$R$68:$R$76)+SUMPRODUCT(($P$146:$P$154=P171)*$R$146:$R$154)</f>
        <v>#N/A</v>
      </c>
      <c r="S171" s="179"/>
      <c r="T171" s="103" t="e">
        <f t="shared" ref="T171:T179" si="47">SUMPRODUCT(($P$68:$P$76=P171)*$T$68:$T$76)+SUMPRODUCT(($P$146:$P$154=P171)*$T$146:$T$154)</f>
        <v>#N/A</v>
      </c>
    </row>
    <row r="172" spans="1:20" x14ac:dyDescent="0.3">
      <c r="A172" s="25"/>
      <c r="B172" s="138"/>
      <c r="C172" s="138"/>
      <c r="P172" s="30" t="s">
        <v>225</v>
      </c>
      <c r="Q172" s="44"/>
      <c r="R172" s="103" t="e">
        <f t="shared" si="46"/>
        <v>#N/A</v>
      </c>
      <c r="S172" s="179"/>
      <c r="T172" s="103" t="e">
        <f t="shared" si="47"/>
        <v>#N/A</v>
      </c>
    </row>
    <row r="173" spans="1:20" x14ac:dyDescent="0.3">
      <c r="A173" s="25"/>
      <c r="B173" s="138"/>
      <c r="C173" s="138"/>
      <c r="P173" s="30" t="s">
        <v>226</v>
      </c>
      <c r="Q173" s="44"/>
      <c r="R173" s="103" t="e">
        <f t="shared" si="46"/>
        <v>#N/A</v>
      </c>
      <c r="S173" s="179"/>
      <c r="T173" s="103" t="e">
        <f t="shared" si="47"/>
        <v>#N/A</v>
      </c>
    </row>
    <row r="174" spans="1:20" x14ac:dyDescent="0.3">
      <c r="A174" s="25"/>
      <c r="B174" s="138"/>
      <c r="C174" s="138"/>
      <c r="P174" s="30" t="s">
        <v>267</v>
      </c>
      <c r="Q174" s="44"/>
      <c r="R174" s="103" t="e">
        <f t="shared" si="46"/>
        <v>#N/A</v>
      </c>
      <c r="S174" s="179"/>
      <c r="T174" s="103" t="e">
        <f t="shared" si="47"/>
        <v>#N/A</v>
      </c>
    </row>
    <row r="175" spans="1:20" x14ac:dyDescent="0.3">
      <c r="A175" s="25"/>
      <c r="B175" s="24"/>
      <c r="P175" s="30" t="s">
        <v>268</v>
      </c>
      <c r="Q175" s="44"/>
      <c r="R175" s="103" t="e">
        <f t="shared" si="46"/>
        <v>#N/A</v>
      </c>
      <c r="S175" s="179"/>
      <c r="T175" s="103" t="e">
        <f t="shared" si="47"/>
        <v>#N/A</v>
      </c>
    </row>
    <row r="176" spans="1:20" x14ac:dyDescent="0.3">
      <c r="G176" s="181" t="s">
        <v>101</v>
      </c>
      <c r="H176" s="181" t="s">
        <v>102</v>
      </c>
      <c r="I176" s="181" t="s">
        <v>103</v>
      </c>
      <c r="J176" s="182" t="s">
        <v>129</v>
      </c>
      <c r="P176" s="30" t="s">
        <v>269</v>
      </c>
      <c r="Q176" s="44"/>
      <c r="R176" s="103" t="e">
        <f t="shared" si="46"/>
        <v>#N/A</v>
      </c>
      <c r="S176" s="179"/>
      <c r="T176" s="103" t="e">
        <f t="shared" si="47"/>
        <v>#N/A</v>
      </c>
    </row>
    <row r="177" spans="6:20" x14ac:dyDescent="0.3">
      <c r="F177" s="183" t="s">
        <v>279</v>
      </c>
      <c r="G177" s="81">
        <f>B65+R106+C156</f>
        <v>0</v>
      </c>
      <c r="H177" s="81">
        <f>AC31+C65+R93+S106+D118+D156+D168</f>
        <v>61.93333333333333</v>
      </c>
      <c r="I177" s="81" t="e">
        <f>AB31+R77+D65+S93+T106+E118+R155+E156+E168</f>
        <v>#N/A</v>
      </c>
      <c r="J177" s="114" t="e">
        <f>AD31+T77+T155</f>
        <v>#N/A</v>
      </c>
      <c r="P177" s="30" t="s">
        <v>270</v>
      </c>
      <c r="Q177" s="44"/>
      <c r="R177" s="103" t="e">
        <f t="shared" si="46"/>
        <v>#N/A</v>
      </c>
      <c r="S177" s="179"/>
      <c r="T177" s="103" t="e">
        <f t="shared" si="47"/>
        <v>#N/A</v>
      </c>
    </row>
    <row r="178" spans="6:20" x14ac:dyDescent="0.3">
      <c r="P178" s="30" t="s">
        <v>271</v>
      </c>
      <c r="Q178" s="44"/>
      <c r="R178" s="103" t="e">
        <f t="shared" si="46"/>
        <v>#N/A</v>
      </c>
      <c r="S178" s="179"/>
      <c r="T178" s="103" t="e">
        <f t="shared" si="47"/>
        <v>#N/A</v>
      </c>
    </row>
    <row r="179" spans="6:20" x14ac:dyDescent="0.3">
      <c r="P179" s="30">
        <v>0</v>
      </c>
      <c r="Q179" s="44"/>
      <c r="R179" s="103" t="e">
        <f t="shared" si="46"/>
        <v>#N/A</v>
      </c>
      <c r="S179" s="179"/>
      <c r="T179" s="103" t="e">
        <f t="shared" si="47"/>
        <v>#N/A</v>
      </c>
    </row>
    <row r="180" spans="6:20" x14ac:dyDescent="0.3">
      <c r="P180" s="59" t="s">
        <v>56</v>
      </c>
      <c r="R180" s="178" t="e">
        <f>SUM(R171:R179)</f>
        <v>#N/A</v>
      </c>
      <c r="S180" s="47"/>
      <c r="T180" s="178" t="e">
        <f>SUM(T171:T179)</f>
        <v>#N/A</v>
      </c>
    </row>
    <row r="199" spans="1:4" x14ac:dyDescent="0.3">
      <c r="B199" t="s">
        <v>347</v>
      </c>
      <c r="C199" t="s">
        <v>348</v>
      </c>
      <c r="D199" t="s">
        <v>352</v>
      </c>
    </row>
    <row r="200" spans="1:4" x14ac:dyDescent="0.3">
      <c r="A200" t="s">
        <v>349</v>
      </c>
      <c r="B200">
        <v>0.222</v>
      </c>
      <c r="C200">
        <v>0.77800000000000002</v>
      </c>
      <c r="D200" t="s">
        <v>186</v>
      </c>
    </row>
    <row r="201" spans="1:4" x14ac:dyDescent="0.3">
      <c r="A201" t="s">
        <v>8</v>
      </c>
      <c r="B201">
        <v>1047</v>
      </c>
      <c r="C201">
        <v>2094</v>
      </c>
      <c r="D201" s="110">
        <f>$B$200*B201+$C$200*C201</f>
        <v>1861.566</v>
      </c>
    </row>
    <row r="202" spans="1:4" x14ac:dyDescent="0.3">
      <c r="A202" t="s">
        <v>354</v>
      </c>
      <c r="B202">
        <v>1138</v>
      </c>
      <c r="C202">
        <v>2610</v>
      </c>
      <c r="D202" s="110">
        <f>$B$200*B202+$C$200*C202</f>
        <v>2283.2160000000003</v>
      </c>
    </row>
    <row r="203" spans="1:4" x14ac:dyDescent="0.3">
      <c r="A203" t="s">
        <v>350</v>
      </c>
      <c r="B203">
        <v>199</v>
      </c>
      <c r="C203">
        <v>172</v>
      </c>
      <c r="D203" s="110" t="s">
        <v>186</v>
      </c>
    </row>
    <row r="204" spans="1:4" x14ac:dyDescent="0.3">
      <c r="A204" t="s">
        <v>351</v>
      </c>
      <c r="B204">
        <f>B201*B203</f>
        <v>208353</v>
      </c>
      <c r="C204">
        <f>C201*C203</f>
        <v>360168</v>
      </c>
      <c r="D204" s="110">
        <f t="shared" ref="D204" si="48">$B$200*B204+$C$200*C204</f>
        <v>326465.07</v>
      </c>
    </row>
    <row r="205" spans="1:4" x14ac:dyDescent="0.3">
      <c r="A205" t="s">
        <v>350</v>
      </c>
      <c r="D205" s="110">
        <f>D204/D201</f>
        <v>175.37120359955006</v>
      </c>
    </row>
    <row r="206" spans="1:4" x14ac:dyDescent="0.3">
      <c r="A206" t="s">
        <v>366</v>
      </c>
      <c r="D206" s="110">
        <f>D204/D202</f>
        <v>142.98475045724976</v>
      </c>
    </row>
    <row r="207" spans="1:4" x14ac:dyDescent="0.3">
      <c r="A207" t="s">
        <v>356</v>
      </c>
      <c r="B207">
        <v>4.9000000000000004</v>
      </c>
      <c r="C207">
        <v>4.04</v>
      </c>
      <c r="D207" s="110"/>
    </row>
    <row r="208" spans="1:4" x14ac:dyDescent="0.3">
      <c r="A208" t="s">
        <v>64</v>
      </c>
      <c r="B208">
        <f>B204*B207</f>
        <v>1020929.7000000001</v>
      </c>
      <c r="C208">
        <f>C204*C207</f>
        <v>1455078.72</v>
      </c>
      <c r="D208" s="110">
        <f t="shared" ref="D208" si="49">$B$200*B208+$C$200*C208</f>
        <v>1358697.6375599999</v>
      </c>
    </row>
    <row r="209" spans="1:8" x14ac:dyDescent="0.3">
      <c r="A209" t="s">
        <v>356</v>
      </c>
      <c r="D209" s="154">
        <f>D208/D204</f>
        <v>4.1618468939418234</v>
      </c>
    </row>
    <row r="210" spans="1:8" x14ac:dyDescent="0.3">
      <c r="A210" t="s">
        <v>357</v>
      </c>
      <c r="B210">
        <v>16.899999999999999</v>
      </c>
      <c r="C210">
        <v>23.5</v>
      </c>
      <c r="D210" s="110"/>
    </row>
    <row r="211" spans="1:8" x14ac:dyDescent="0.3">
      <c r="A211" t="s">
        <v>357</v>
      </c>
      <c r="B211">
        <f>B208*B210</f>
        <v>17253711.93</v>
      </c>
      <c r="C211">
        <f>C208*C210</f>
        <v>34194349.920000002</v>
      </c>
      <c r="D211" s="110">
        <f t="shared" ref="D211" si="50">$B$200*B211+$C$200*C211</f>
        <v>30433528.286220003</v>
      </c>
    </row>
    <row r="212" spans="1:8" x14ac:dyDescent="0.3">
      <c r="A212" t="s">
        <v>358</v>
      </c>
      <c r="D212" s="154">
        <f>D211/D208</f>
        <v>22.399044088185558</v>
      </c>
    </row>
    <row r="213" spans="1:8" x14ac:dyDescent="0.3">
      <c r="A213" t="s">
        <v>353</v>
      </c>
      <c r="B213">
        <v>256</v>
      </c>
      <c r="C213">
        <v>256</v>
      </c>
      <c r="D213" s="110">
        <f>$B$200*B213+$C$200*C213</f>
        <v>256</v>
      </c>
    </row>
    <row r="214" spans="1:8" x14ac:dyDescent="0.3">
      <c r="A214" t="s">
        <v>355</v>
      </c>
      <c r="B214">
        <v>0</v>
      </c>
      <c r="C214">
        <v>16</v>
      </c>
      <c r="D214" s="110">
        <f>$B$200*B214+$C$200*C214</f>
        <v>12.448</v>
      </c>
    </row>
    <row r="215" spans="1:8" x14ac:dyDescent="0.3">
      <c r="F215" t="s">
        <v>367</v>
      </c>
      <c r="H215" t="s">
        <v>368</v>
      </c>
    </row>
    <row r="216" spans="1:8" x14ac:dyDescent="0.3">
      <c r="A216" t="s">
        <v>365</v>
      </c>
      <c r="D216">
        <f>SUM(D217:D223)</f>
        <v>2283</v>
      </c>
    </row>
    <row r="217" spans="1:8" x14ac:dyDescent="0.3">
      <c r="A217" t="s">
        <v>359</v>
      </c>
      <c r="D217">
        <v>25</v>
      </c>
      <c r="E217" t="s">
        <v>359</v>
      </c>
    </row>
    <row r="218" spans="1:8" x14ac:dyDescent="0.3">
      <c r="A218" t="s">
        <v>351</v>
      </c>
      <c r="D218">
        <v>128</v>
      </c>
      <c r="E218" t="s">
        <v>351</v>
      </c>
    </row>
    <row r="219" spans="1:8" x14ac:dyDescent="0.3">
      <c r="A219" t="s">
        <v>360</v>
      </c>
      <c r="D219">
        <v>150</v>
      </c>
      <c r="E219" t="s">
        <v>360</v>
      </c>
    </row>
    <row r="220" spans="1:8" x14ac:dyDescent="0.3">
      <c r="A220" t="s">
        <v>361</v>
      </c>
      <c r="D220">
        <v>700</v>
      </c>
      <c r="E220" t="s">
        <v>361</v>
      </c>
    </row>
    <row r="221" spans="1:8" x14ac:dyDescent="0.3">
      <c r="A221" t="s">
        <v>362</v>
      </c>
      <c r="D221">
        <v>650</v>
      </c>
      <c r="E221" t="s">
        <v>362</v>
      </c>
    </row>
    <row r="222" spans="1:8" x14ac:dyDescent="0.3">
      <c r="A222" t="s">
        <v>363</v>
      </c>
      <c r="D222">
        <v>580</v>
      </c>
      <c r="E222" t="s">
        <v>363</v>
      </c>
    </row>
    <row r="223" spans="1:8" x14ac:dyDescent="0.3">
      <c r="A223" t="s">
        <v>364</v>
      </c>
      <c r="D223">
        <v>50</v>
      </c>
      <c r="E223" t="s">
        <v>364</v>
      </c>
    </row>
    <row r="224" spans="1:8" x14ac:dyDescent="0.3">
      <c r="A224" t="s">
        <v>369</v>
      </c>
      <c r="D224">
        <v>37</v>
      </c>
      <c r="E224" t="s">
        <v>369</v>
      </c>
    </row>
    <row r="227" spans="1:8" x14ac:dyDescent="0.3">
      <c r="E227" t="s">
        <v>526</v>
      </c>
      <c r="F227" t="s">
        <v>526</v>
      </c>
      <c r="G227" t="s">
        <v>526</v>
      </c>
    </row>
    <row r="228" spans="1:8" x14ac:dyDescent="0.3">
      <c r="A228" t="s">
        <v>514</v>
      </c>
      <c r="C228" s="154">
        <v>0.20099749222541027</v>
      </c>
      <c r="D228" s="154">
        <f>$B$200*B228+$C$200*C228</f>
        <v>0.1563760489513692</v>
      </c>
      <c r="F228">
        <v>0.75</v>
      </c>
      <c r="G228">
        <f>$B$200*E228+$C$200*F228</f>
        <v>0.58350000000000002</v>
      </c>
      <c r="H228">
        <f>G228*365*0.85</f>
        <v>181.03087500000001</v>
      </c>
    </row>
    <row r="229" spans="1:8" x14ac:dyDescent="0.3">
      <c r="A229" t="s">
        <v>515</v>
      </c>
      <c r="C229" s="154">
        <v>0.18948749684772673</v>
      </c>
      <c r="D229" s="154">
        <f>$B$200*B229+$C$200*C229</f>
        <v>0.1474212725475314</v>
      </c>
      <c r="F229">
        <v>0.75</v>
      </c>
      <c r="G229">
        <f t="shared" ref="G229:G232" si="51">$B$200*E229+$C$200*F229</f>
        <v>0.58350000000000002</v>
      </c>
      <c r="H229">
        <f t="shared" ref="H229:H239" si="52">G229*365*0.85</f>
        <v>181.03087500000001</v>
      </c>
    </row>
    <row r="230" spans="1:8" x14ac:dyDescent="0.3">
      <c r="A230" t="s">
        <v>516</v>
      </c>
      <c r="C230" s="154">
        <v>9.2782622288358052</v>
      </c>
      <c r="D230" s="154">
        <f t="shared" ref="D230:D239" si="53">$B$200*B230+$C$200*C230</f>
        <v>7.2184880140342571</v>
      </c>
      <c r="F230">
        <v>0.3</v>
      </c>
      <c r="G230">
        <f t="shared" si="51"/>
        <v>0.2334</v>
      </c>
      <c r="H230">
        <f t="shared" si="52"/>
        <v>72.412350000000004</v>
      </c>
    </row>
    <row r="231" spans="1:8" x14ac:dyDescent="0.3">
      <c r="A231" s="207" t="s">
        <v>517</v>
      </c>
      <c r="C231" s="154">
        <v>9.2025466093751813</v>
      </c>
      <c r="D231" s="154">
        <f t="shared" si="53"/>
        <v>7.1595812620938917</v>
      </c>
      <c r="F231">
        <v>0.3</v>
      </c>
      <c r="G231">
        <f t="shared" si="51"/>
        <v>0.2334</v>
      </c>
      <c r="H231">
        <f t="shared" si="52"/>
        <v>72.412350000000004</v>
      </c>
    </row>
    <row r="232" spans="1:8" x14ac:dyDescent="0.3">
      <c r="A232" t="s">
        <v>518</v>
      </c>
      <c r="C232" s="154">
        <v>27.112313130492822</v>
      </c>
      <c r="D232" s="154">
        <f>$B$200*B232+$C$200*C232</f>
        <v>21.093379615523418</v>
      </c>
      <c r="F232">
        <v>0.3</v>
      </c>
      <c r="G232">
        <f t="shared" si="51"/>
        <v>0.2334</v>
      </c>
      <c r="H232">
        <f t="shared" si="52"/>
        <v>72.412350000000004</v>
      </c>
    </row>
    <row r="233" spans="1:8" x14ac:dyDescent="0.3">
      <c r="A233" t="s">
        <v>519</v>
      </c>
      <c r="B233" s="154">
        <v>96.50482877431439</v>
      </c>
      <c r="C233" s="154">
        <v>32.606488828587779</v>
      </c>
      <c r="D233" s="154">
        <f>$B$200*B233+$C$200*C233</f>
        <v>46.791920296539089</v>
      </c>
      <c r="E233">
        <v>1.5</v>
      </c>
      <c r="F233" s="154">
        <v>6</v>
      </c>
      <c r="G233">
        <f>$B$200*E233+$C$200*F233</f>
        <v>5.0010000000000003</v>
      </c>
      <c r="H233">
        <f t="shared" si="52"/>
        <v>1551.56025</v>
      </c>
    </row>
    <row r="234" spans="1:8" x14ac:dyDescent="0.3">
      <c r="A234" t="s">
        <v>520</v>
      </c>
      <c r="B234" s="154">
        <v>3.4951712256856156</v>
      </c>
      <c r="C234" s="154">
        <v>2.2115524938221549</v>
      </c>
      <c r="D234" s="154">
        <f>$B$200*B234+$C$200*C234</f>
        <v>2.4965158522958433</v>
      </c>
      <c r="E234">
        <v>1.5</v>
      </c>
      <c r="F234" s="154">
        <v>5</v>
      </c>
      <c r="G234">
        <f>$B$200*E234+$C$200*F234</f>
        <v>4.2229999999999999</v>
      </c>
      <c r="H234">
        <f t="shared" si="52"/>
        <v>1310.1857499999999</v>
      </c>
    </row>
    <row r="235" spans="1:8" x14ac:dyDescent="0.3">
      <c r="A235" t="s">
        <v>521</v>
      </c>
      <c r="C235" s="154">
        <v>4.5552867515373627</v>
      </c>
      <c r="D235" s="154">
        <f t="shared" si="53"/>
        <v>3.5440130926960682</v>
      </c>
      <c r="F235">
        <v>5</v>
      </c>
      <c r="G235">
        <f t="shared" ref="G235:G239" si="54">$B$200*E235+$C$200*F235</f>
        <v>3.89</v>
      </c>
      <c r="H235">
        <f t="shared" si="52"/>
        <v>1206.8725000000002</v>
      </c>
    </row>
    <row r="236" spans="1:8" x14ac:dyDescent="0.3">
      <c r="A236" t="s">
        <v>522</v>
      </c>
      <c r="C236" s="154">
        <v>5.9768933026481541</v>
      </c>
      <c r="D236" s="154">
        <f t="shared" si="53"/>
        <v>4.6500229894602638</v>
      </c>
      <c r="F236">
        <v>5</v>
      </c>
      <c r="G236">
        <f t="shared" si="54"/>
        <v>3.89</v>
      </c>
      <c r="H236">
        <f t="shared" si="52"/>
        <v>1206.8725000000002</v>
      </c>
    </row>
    <row r="237" spans="1:8" x14ac:dyDescent="0.3">
      <c r="A237" t="s">
        <v>523</v>
      </c>
      <c r="C237" s="154">
        <v>3.6841144356102773</v>
      </c>
      <c r="D237" s="154">
        <f t="shared" si="53"/>
        <v>2.8662410309047957</v>
      </c>
      <c r="F237">
        <v>5</v>
      </c>
      <c r="G237">
        <f t="shared" si="54"/>
        <v>3.89</v>
      </c>
      <c r="H237">
        <f t="shared" si="52"/>
        <v>1206.8725000000002</v>
      </c>
    </row>
    <row r="238" spans="1:8" x14ac:dyDescent="0.3">
      <c r="A238" t="s">
        <v>524</v>
      </c>
      <c r="C238" s="154">
        <v>3.4099200894909774</v>
      </c>
      <c r="D238" s="154">
        <f t="shared" si="53"/>
        <v>2.6529178296239806</v>
      </c>
      <c r="G238">
        <f t="shared" si="54"/>
        <v>0</v>
      </c>
      <c r="H238">
        <f t="shared" si="52"/>
        <v>0</v>
      </c>
    </row>
    <row r="239" spans="1:8" x14ac:dyDescent="0.3">
      <c r="A239" t="s">
        <v>525</v>
      </c>
      <c r="C239" s="154">
        <v>1.572137140526358</v>
      </c>
      <c r="D239" s="154">
        <f t="shared" si="53"/>
        <v>1.2231226953295065</v>
      </c>
      <c r="F239">
        <v>0.3</v>
      </c>
      <c r="G239">
        <f t="shared" si="54"/>
        <v>0.2334</v>
      </c>
      <c r="H239">
        <f t="shared" si="52"/>
        <v>72.412350000000004</v>
      </c>
    </row>
  </sheetData>
  <scenarios current="0">
    <scenario name="Test1" count="1" user="Author" comment="Created by Author on 1/17/2022">
      <inputCells r="D15" val="261.747273174708" numFmtId="164"/>
    </scenario>
  </scenarios>
  <dataConsolidate link="1"/>
  <mergeCells count="23">
    <mergeCell ref="T34:X34"/>
    <mergeCell ref="AO22:AP22"/>
    <mergeCell ref="AQ22:AT22"/>
    <mergeCell ref="AU22:AZ22"/>
    <mergeCell ref="BA22:BC22"/>
    <mergeCell ref="BD22:BF22"/>
    <mergeCell ref="BG22:BH22"/>
    <mergeCell ref="A7:A9"/>
    <mergeCell ref="B7:C9"/>
    <mergeCell ref="E10:F10"/>
    <mergeCell ref="S10:Y10"/>
    <mergeCell ref="AO21:BH21"/>
    <mergeCell ref="E22:G22"/>
    <mergeCell ref="H22:I22"/>
    <mergeCell ref="K22:P22"/>
    <mergeCell ref="S22:Y22"/>
    <mergeCell ref="AB22:AD22"/>
    <mergeCell ref="B6:C6"/>
    <mergeCell ref="B3:C3"/>
    <mergeCell ref="F3:G3"/>
    <mergeCell ref="B4:C4"/>
    <mergeCell ref="I4:J4"/>
    <mergeCell ref="B5:C5"/>
  </mergeCells>
  <dataValidations count="3">
    <dataValidation type="list" allowBlank="1" showInputMessage="1" showErrorMessage="1" sqref="B97:B105 B82 B144:B145" xr:uid="{00000000-0002-0000-0900-000000000000}">
      <formula1>$B$24:$B$30</formula1>
    </dataValidation>
    <dataValidation type="list" allowBlank="1" showInputMessage="1" showErrorMessage="1" sqref="B109:B117 B84:B92 B68:B81" xr:uid="{00000000-0002-0000-0900-000001000000}">
      <formula1>$AF$3:$AF$51</formula1>
    </dataValidation>
    <dataValidation type="list" allowBlank="1" showInputMessage="1" showErrorMessage="1" sqref="B146:B149 B152:B155 B159:B167" xr:uid="{00000000-0002-0000-0900-000002000000}">
      <formula1>$B$140:$B$143</formula1>
    </dataValidation>
  </dataValidation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900-000003000000}">
          <x14:formula1>
            <xm:f>'Processed products'!$C$5:$C$104</xm:f>
          </x14:formula1>
          <xm:sqref>D4</xm:sqref>
        </x14:dataValidation>
        <x14:dataValidation type="list" allowBlank="1" showInputMessage="1" showErrorMessage="1" xr:uid="{00000000-0002-0000-0900-000004000000}">
          <x14:formula1>
            <xm:f>Other_tables!$Q$5:$Q$6</xm:f>
          </x14:formula1>
          <xm:sqref>E146:E149 E68:E82</xm:sqref>
        </x14:dataValidation>
        <x14:dataValidation type="list" allowBlank="1" showInputMessage="1" showErrorMessage="1" xr:uid="{00000000-0002-0000-0900-000005000000}">
          <x14:formula1>
            <xm:f>Other_tables!$L$5:$L$13</xm:f>
          </x14:formula1>
          <xm:sqref>D146:D149 D68:D82</xm:sqref>
        </x14:dataValidation>
        <x14:dataValidation type="list" allowBlank="1" showInputMessage="1" showErrorMessage="1" xr:uid="{00000000-0002-0000-0900-000007000000}">
          <x14:formula1>
            <xm:f>Biomass_pool_output_Tech1_modul!$A$3:$A$100</xm:f>
          </x14:formula1>
          <xm:sqref>D122:D135 E12:E18 B12:B16 B140:B143 F24:F30</xm:sqref>
        </x14:dataValidation>
        <x14:dataValidation type="list" allowBlank="1" showInputMessage="1" showErrorMessage="1" xr:uid="{00000000-0002-0000-0900-000008000000}">
          <x14:formula1>
            <xm:f>Other_tables!$A$5:$A$50</xm:f>
          </x14:formula1>
          <xm:sqref>C19 C33</xm:sqref>
        </x14:dataValidation>
        <x14:dataValidation type="list" allowBlank="1" showInputMessage="1" showErrorMessage="1" xr:uid="{00000000-0002-0000-0900-000009000000}">
          <x14:formula1>
            <xm:f>'Processed products'!$B$5:$B$104</xm:f>
          </x14:formula1>
          <xm:sqref>B35:B42 L35:M37</xm:sqref>
        </x14:dataValidation>
        <x14:dataValidation type="list" allowBlank="1" showInputMessage="1" showErrorMessage="1" xr:uid="{00000000-0002-0000-0900-00000A000000}">
          <x14:formula1>
            <xm:f>Other_tables!$S$5:$S$22</xm:f>
          </x14:formula1>
          <xm:sqref>C84:C92</xm:sqref>
        </x14:dataValidation>
        <x14:dataValidation type="list" allowBlank="1" showInputMessage="1" showErrorMessage="1" xr:uid="{00000000-0002-0000-0900-00000B000000}">
          <x14:formula1>
            <xm:f>'Diesel consumption for field op'!$B$4:$B$78</xm:f>
          </x14:formula1>
          <xm:sqref>C109:C117 C159:C167</xm:sqref>
        </x14:dataValidation>
        <x14:dataValidation type="list" allowBlank="1" showInputMessage="1" showErrorMessage="1" xr:uid="{00000000-0002-0000-0900-00000C000000}">
          <x14:formula1>
            <xm:f>Other_tables!$G$5:$G$12</xm:f>
          </x14:formula1>
          <xm:sqref>C54:C58 C172:C174</xm:sqref>
        </x14:dataValidation>
        <x14:dataValidation type="list" allowBlank="1" showInputMessage="1" showErrorMessage="1" xr:uid="{00000000-0002-0000-0900-00000D000000}">
          <x14:formula1>
            <xm:f>Converted_feedstuff!$C$5:$C$54</xm:f>
          </x14:formula1>
          <xm:sqref>B24:B30 E24:E30</xm:sqref>
        </x14:dataValidation>
        <x14:dataValidation type="list" allowBlank="1" showInputMessage="1" showErrorMessage="1" xr:uid="{00000000-0002-0000-0900-00000E000000}">
          <x14:formula1>
            <xm:f>'Imported products'!$B$5:$B$54</xm:f>
          </x14:formula1>
          <xm:sqref>F12:F18 B17:B18 G24:G30</xm:sqref>
        </x14:dataValidation>
        <x14:dataValidation type="list" allowBlank="1" showInputMessage="1" showErrorMessage="1" xr:uid="{00000000-0002-0000-0900-000010000000}">
          <x14:formula1>
            <xm:f>'Respiration and enteric gas los'!$M$4:$M$35</xm:f>
          </x14:formula1>
          <xm:sqref>B55</xm:sqref>
        </x14:dataValidation>
        <x14:dataValidation type="list" allowBlank="1" showInputMessage="1" showErrorMessage="1" xr:uid="{00000000-0002-0000-0900-000011000000}">
          <x14:formula1>
            <xm:f>'Respiration and enteric gas los'!$A$4:$A$35</xm:f>
          </x14:formula1>
          <xm:sqref>B54</xm:sqref>
        </x14:dataValidation>
        <x14:dataValidation type="list" allowBlank="1" showInputMessage="1" showErrorMessage="1" xr:uid="{00000000-0002-0000-0900-000012000000}">
          <x14:formula1>
            <xm:f>'Processed products'!$AJ$5:$AJ$104</xm:f>
          </x14:formula1>
          <xm:sqref>A136</xm:sqref>
        </x14:dataValidation>
        <x14:dataValidation type="list" allowBlank="1" showInputMessage="1" showErrorMessage="1" xr:uid="{626A78CC-52F0-4CED-BDD9-1D43D5042F06}">
          <x14:formula1>
            <xm:f>'Processed products'!$AJ$5:$AJ$250</xm:f>
          </x14:formula1>
          <xm:sqref>B45:B49</xm:sqref>
        </x14:dataValidation>
        <x14:dataValidation type="list" allowBlank="1" showInputMessage="1" showErrorMessage="1" xr:uid="{00000000-0002-0000-0900-00000F000000}">
          <x14:formula1>
            <xm:f>'Stable systems'!$A$4:$A$105</xm:f>
          </x14:formula1>
          <xm:sqref>A122:A134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O223"/>
  <sheetViews>
    <sheetView workbookViewId="0">
      <selection activeCell="B24" sqref="B24"/>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Protein_2_org</v>
      </c>
    </row>
    <row r="4" spans="1:36" x14ac:dyDescent="0.3">
      <c r="A4" s="15" t="s">
        <v>31</v>
      </c>
      <c r="B4" s="299">
        <v>110</v>
      </c>
      <c r="C4" s="299"/>
      <c r="D4" s="5" t="s">
        <v>662</v>
      </c>
      <c r="F4" s="150" t="s">
        <v>223</v>
      </c>
      <c r="G4" s="149">
        <v>17</v>
      </c>
      <c r="I4" s="302" t="s">
        <v>158</v>
      </c>
      <c r="J4" s="303"/>
      <c r="K4" s="128"/>
      <c r="L4" s="134" t="s">
        <v>207</v>
      </c>
      <c r="AF4" s="144" t="str">
        <f t="shared" ref="AF4:AF9" si="0">IF(B13="","",B13)</f>
        <v/>
      </c>
    </row>
    <row r="5" spans="1:36" x14ac:dyDescent="0.3">
      <c r="A5" s="15" t="s">
        <v>32</v>
      </c>
      <c r="B5" s="299" t="s">
        <v>423</v>
      </c>
      <c r="C5" s="299"/>
      <c r="D5" s="17" t="s">
        <v>627</v>
      </c>
      <c r="E5" t="s">
        <v>186</v>
      </c>
      <c r="F5" s="150" t="s">
        <v>224</v>
      </c>
      <c r="G5" s="149">
        <v>18</v>
      </c>
      <c r="I5" s="86" t="s">
        <v>159</v>
      </c>
      <c r="J5" s="5">
        <v>10000</v>
      </c>
      <c r="L5" s="90">
        <v>3.14</v>
      </c>
      <c r="AF5" s="144" t="str">
        <f t="shared" si="0"/>
        <v/>
      </c>
    </row>
    <row r="6" spans="1:36" x14ac:dyDescent="0.3">
      <c r="A6" s="15" t="s">
        <v>3</v>
      </c>
      <c r="B6" s="299" t="s">
        <v>424</v>
      </c>
      <c r="C6" s="299"/>
      <c r="D6" s="5">
        <v>0.3</v>
      </c>
      <c r="F6" s="151" t="s">
        <v>147</v>
      </c>
      <c r="G6" s="88">
        <f>(Y32/D32)*100</f>
        <v>15.894931435732243</v>
      </c>
      <c r="I6" s="86" t="s">
        <v>160</v>
      </c>
      <c r="J6" s="5">
        <v>4.2</v>
      </c>
      <c r="L6" s="129"/>
      <c r="AF6" s="144" t="str">
        <f t="shared" si="0"/>
        <v>Grain_org</v>
      </c>
    </row>
    <row r="7" spans="1:36" ht="14.7" customHeight="1" x14ac:dyDescent="0.3">
      <c r="A7" s="295" t="s">
        <v>55</v>
      </c>
      <c r="B7" s="296" t="s">
        <v>425</v>
      </c>
      <c r="C7" s="296"/>
      <c r="D7" s="42"/>
      <c r="F7" s="152" t="s">
        <v>187</v>
      </c>
      <c r="G7" s="209">
        <v>2961</v>
      </c>
      <c r="I7" s="86" t="s">
        <v>161</v>
      </c>
      <c r="J7" s="5">
        <v>3.4</v>
      </c>
      <c r="L7" s="131" t="s">
        <v>198</v>
      </c>
      <c r="AF7" s="144" t="str">
        <f t="shared" si="0"/>
        <v>Straw_org</v>
      </c>
    </row>
    <row r="8" spans="1:36" ht="15" thickBot="1" x14ac:dyDescent="0.35">
      <c r="A8" s="295"/>
      <c r="B8" s="296"/>
      <c r="C8" s="296"/>
      <c r="D8" s="47"/>
      <c r="F8" s="153" t="s">
        <v>197</v>
      </c>
      <c r="G8" s="102">
        <v>7885</v>
      </c>
      <c r="I8" s="86" t="s">
        <v>162</v>
      </c>
      <c r="J8" s="80">
        <f>(383 *J6 + 242 *J7 + 783.2) *J5 / 3140</f>
        <v>10237.579617834395</v>
      </c>
      <c r="L8" s="90">
        <v>6.38</v>
      </c>
      <c r="AF8" s="144" t="str">
        <f t="shared" si="0"/>
        <v/>
      </c>
    </row>
    <row r="9" spans="1:36" ht="30" customHeight="1" x14ac:dyDescent="0.3">
      <c r="A9" s="295"/>
      <c r="B9" s="296"/>
      <c r="C9" s="296"/>
      <c r="I9" s="130"/>
      <c r="L9" s="129"/>
      <c r="AF9" s="144" t="str">
        <f t="shared" si="0"/>
        <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442</v>
      </c>
      <c r="C12" s="217" t="s">
        <v>43</v>
      </c>
      <c r="D12" s="227">
        <v>1065</v>
      </c>
      <c r="E12" s="216"/>
      <c r="F12" s="216" t="s">
        <v>443</v>
      </c>
      <c r="G12" s="219"/>
      <c r="I12" s="87" t="s">
        <v>201</v>
      </c>
      <c r="J12" s="107">
        <v>1.54</v>
      </c>
      <c r="K12" s="107">
        <v>1.58</v>
      </c>
      <c r="L12" s="102">
        <v>1.58</v>
      </c>
      <c r="R12" s="51">
        <f>(IF($T12=0,"0",VLOOKUP($B12,Biomass_pool_output_Tech1_modul!$A$3:$G$100,7,FALSE)))</f>
        <v>854.36833436743996</v>
      </c>
      <c r="S12" s="44"/>
      <c r="T12" s="34">
        <f>IF($B12="","0",(VLOOKUP($B12,Biomass_pool_output_Tech1_modul!$A$3:$F$100,2,FALSE)*($D12)/1000))</f>
        <v>479.25</v>
      </c>
      <c r="U12" s="34">
        <f>IF($B12="","0",(VLOOKUP($B12,Biomass_pool_output_Tech1_modul!$A$3:$F$100,3,FALSE)*($D12)/1000))</f>
        <v>46.623503985572327</v>
      </c>
      <c r="V12" s="34">
        <f>IF($B12="","0",(VLOOKUP($B12,Biomass_pool_output_Tech1_modul!$A$3:$F$100,4,FALSE)*($D12)/1000))</f>
        <v>6.8313958442927198</v>
      </c>
      <c r="W12" s="34">
        <f>IF($B12="","0",(VLOOKUP($B12,Biomass_pool_output_Tech1_modul!$A$3:$F$100,5,FALSE)*($D12)/1000))</f>
        <v>13.554729599431164</v>
      </c>
      <c r="X12" s="34">
        <f>IF($B12="","0",(VLOOKUP($B12,Biomass_pool_output_Tech1_modul!$A$3:$F$100,6,FALSE)*$D12))</f>
        <v>21319.209188706063</v>
      </c>
      <c r="Y12" s="34">
        <f>U12*6.25</f>
        <v>291.39689990982703</v>
      </c>
      <c r="AA12" s="53"/>
      <c r="AB12" s="53"/>
      <c r="AC12" s="53"/>
      <c r="AD12" s="53"/>
      <c r="AF12" s="144" t="str">
        <f t="shared" si="1"/>
        <v/>
      </c>
      <c r="AG12" s="53"/>
      <c r="AH12" s="53"/>
      <c r="AI12" s="53"/>
      <c r="AJ12" s="53"/>
    </row>
    <row r="13" spans="1:36" x14ac:dyDescent="0.3">
      <c r="A13" s="211" t="s">
        <v>318</v>
      </c>
      <c r="B13" s="212"/>
      <c r="C13" s="213" t="s">
        <v>43</v>
      </c>
      <c r="D13" s="228"/>
      <c r="E13" s="280"/>
      <c r="F13" s="280"/>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29"/>
      <c r="E14" s="221"/>
      <c r="F14" s="221"/>
      <c r="G14" s="154"/>
      <c r="H14" s="110"/>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27">
        <v>1896</v>
      </c>
      <c r="E15" s="216"/>
      <c r="F15" s="216" t="s">
        <v>538</v>
      </c>
      <c r="G15" s="219"/>
      <c r="R15" s="51">
        <f>(IF($T15=0,"0",VLOOKUP($B15,Biomass_pool_output_Tech1_modul!$A$3:$G$100,7,FALSE)))</f>
        <v>850.11622419383002</v>
      </c>
      <c r="S15" s="44"/>
      <c r="T15" s="34">
        <f>IF($B15="","0",(VLOOKUP($B15,Biomass_pool_output_Tech1_modul!$A$3:$F$100,2,FALSE)*($D15)/1000))</f>
        <v>853.2</v>
      </c>
      <c r="U15" s="34">
        <f>IF($B15="","0",(VLOOKUP($B15,Biomass_pool_output_Tech1_modul!$A$3:$F$100,3,FALSE)*($D15)/1000))</f>
        <v>30.270748711124085</v>
      </c>
      <c r="V15" s="34">
        <f>IF($B15="","0",(VLOOKUP($B15,Biomass_pool_output_Tech1_modul!$A$3:$F$100,4,FALSE)*($D15)/1000))</f>
        <v>6.0632194614512365</v>
      </c>
      <c r="W15" s="34">
        <f>IF($B15="","0",(VLOOKUP($B15,Biomass_pool_output_Tech1_modul!$A$3:$F$100,5,FALSE)*($D15)/1000))</f>
        <v>8.8505488311253711</v>
      </c>
      <c r="X15" s="34">
        <f>IF($B15="","0",(VLOOKUP($B15,Biomass_pool_output_Tech1_modul!$A$3:$F$100,6,FALSE)*$D15))</f>
        <v>36571.690798365453</v>
      </c>
      <c r="Y15" s="34">
        <f t="shared" si="2"/>
        <v>189.19217944452552</v>
      </c>
      <c r="AA15" s="53"/>
      <c r="AB15" s="53"/>
      <c r="AC15" s="53"/>
      <c r="AD15" s="53"/>
      <c r="AF15" s="144" t="str">
        <f t="shared" si="1"/>
        <v/>
      </c>
      <c r="AG15" s="53"/>
      <c r="AH15" s="53"/>
      <c r="AI15" s="53"/>
      <c r="AJ15" s="53"/>
    </row>
    <row r="16" spans="1:36" x14ac:dyDescent="0.3">
      <c r="A16" s="211" t="s">
        <v>107</v>
      </c>
      <c r="B16" s="212" t="s">
        <v>432</v>
      </c>
      <c r="C16" s="213" t="s">
        <v>43</v>
      </c>
      <c r="D16" s="228">
        <v>78</v>
      </c>
      <c r="E16" s="280"/>
      <c r="F16" s="280"/>
      <c r="R16" s="51">
        <f>(IF($T16=0,"0",VLOOKUP($B16,Biomass_pool_output_Tech1_modul!$A$3:$G$100,7,FALSE)))</f>
        <v>850.96796238432705</v>
      </c>
      <c r="S16" s="44"/>
      <c r="T16" s="34">
        <f>IF($B16="","0",(VLOOKUP($B16,Biomass_pool_output_Tech1_modul!$A$3:$F$100,2,FALSE)*($D16)/1000))</f>
        <v>35.1</v>
      </c>
      <c r="U16" s="34">
        <f>IF($B16="","0",(VLOOKUP($B16,Biomass_pool_output_Tech1_modul!$A$3:$F$100,3,FALSE)*($D16)/1000))</f>
        <v>0.53682237005367983</v>
      </c>
      <c r="V16" s="34">
        <f>IF($B16="","0",(VLOOKUP($B16,Biomass_pool_output_Tech1_modul!$A$3:$F$100,4,FALSE)*($D16)/1000))</f>
        <v>7.9447716853243436E-2</v>
      </c>
      <c r="W16" s="34">
        <f>IF($B16="","0",(VLOOKUP($B16,Biomass_pool_output_Tech1_modul!$A$3:$F$100,5,FALSE)*($D16)/1000))</f>
        <v>1.1681279289681767</v>
      </c>
      <c r="X16" s="34">
        <f>IF($B16="","0",(VLOOKUP($B16,Biomass_pool_output_Tech1_modul!$A$3:$F$100,6,FALSE)*$D16))</f>
        <v>1416.3166741090536</v>
      </c>
      <c r="Y16" s="34">
        <f t="shared" si="2"/>
        <v>3.3551398128354988</v>
      </c>
      <c r="AA16" s="120"/>
      <c r="AB16" s="120"/>
      <c r="AC16" s="120"/>
      <c r="AD16" s="120"/>
      <c r="AE16" s="120"/>
      <c r="AF16" s="144" t="str">
        <f t="shared" si="1"/>
        <v/>
      </c>
      <c r="AG16" s="120"/>
      <c r="AH16" s="120"/>
      <c r="AI16" s="121"/>
      <c r="AJ16" s="121"/>
    </row>
    <row r="17" spans="1:65" x14ac:dyDescent="0.3">
      <c r="A17" s="18" t="s">
        <v>420</v>
      </c>
      <c r="B17" s="19"/>
      <c r="C17" s="28" t="s">
        <v>43</v>
      </c>
      <c r="D17" s="230"/>
      <c r="E17" s="221"/>
      <c r="F17" s="221"/>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Rapskage_imp_org</v>
      </c>
      <c r="AH17" s="110"/>
    </row>
    <row r="18" spans="1:65" x14ac:dyDescent="0.3">
      <c r="A18" s="18" t="s">
        <v>414</v>
      </c>
      <c r="B18" s="19"/>
      <c r="C18" s="28" t="s">
        <v>43</v>
      </c>
      <c r="D18" s="230"/>
      <c r="E18" s="19"/>
      <c r="F18" s="19"/>
      <c r="H18" s="110"/>
      <c r="I18" s="47"/>
      <c r="R18" s="51">
        <f>(IF(B18="",0,VLOOKUP($B18,'Imported products'!$B$5:$O$54,5,FALSE)))</f>
        <v>0</v>
      </c>
      <c r="S18" s="44"/>
      <c r="T18" s="34" t="str">
        <f>IF($B18="","0",(VLOOKUP($B18,'Imported products'!$B$5:$O$54,9,FALSE)*($D18)/1000))</f>
        <v>0</v>
      </c>
      <c r="U18" s="34" t="str">
        <f>IF($B18="","0",(VLOOKUP($B18,'Imported products'!$B$5:$O$54,10,FALSE)*($D18)/1000))</f>
        <v>0</v>
      </c>
      <c r="V18" s="34" t="str">
        <f>IF($B18="","0",(VLOOKUP($B18,'Imported products'!$B$5:$O$54,11,FALSE)*($D18)/1000))</f>
        <v>0</v>
      </c>
      <c r="W18" s="34" t="str">
        <f>IF($B18="","0",(VLOOKUP($B18,'Imported products'!$B$5:$O$54,12,FALSE)*($D18)/1000))</f>
        <v>0</v>
      </c>
      <c r="X18" s="34" t="str">
        <f>IF($B18="","0",(VLOOKUP($B18,'Imported products'!$B$5:$O$54,13,FALSE)*($D18)/1000))</f>
        <v>0</v>
      </c>
      <c r="Y18" s="34" t="str">
        <f>IF($B18="","0",(VLOOKUP($B18,'Imported products'!$B$5:$O$54,14,FALSE)*($D18)/1000))</f>
        <v>0</v>
      </c>
      <c r="AA18" s="110"/>
      <c r="AF18" s="144" t="str">
        <f t="shared" ref="AF18:AF23" si="3">IF(F13="","",F13)</f>
        <v/>
      </c>
      <c r="AH18" s="110"/>
    </row>
    <row r="19" spans="1:65" x14ac:dyDescent="0.3">
      <c r="A19" s="25"/>
      <c r="B19" s="25"/>
      <c r="C19" s="24"/>
      <c r="D19" s="24"/>
      <c r="R19" s="52"/>
      <c r="AA19" s="110"/>
      <c r="AF19" s="144" t="str">
        <f t="shared" si="3"/>
        <v/>
      </c>
    </row>
    <row r="20" spans="1:65" x14ac:dyDescent="0.3">
      <c r="A20" s="18" t="s">
        <v>113</v>
      </c>
      <c r="B20" s="40"/>
      <c r="C20" s="28" t="s">
        <v>43</v>
      </c>
      <c r="D20" s="28">
        <f>SUM(D12:D18)</f>
        <v>3039</v>
      </c>
      <c r="R20" s="82">
        <f>(D12*R12+D13*R13+D14*R14+D15*R15+D16*R16+D17*R17+D18*R18)/D20</f>
        <v>851.62821264850368</v>
      </c>
      <c r="S20" s="45"/>
      <c r="T20" s="116">
        <f t="shared" ref="T20:X20" si="4">SUM(T12:T18)</f>
        <v>1367.55</v>
      </c>
      <c r="U20" s="116">
        <f t="shared" si="4"/>
        <v>77.431075066750097</v>
      </c>
      <c r="V20" s="116">
        <f t="shared" si="4"/>
        <v>12.9740630225972</v>
      </c>
      <c r="W20" s="116">
        <f t="shared" si="4"/>
        <v>23.573406359524711</v>
      </c>
      <c r="X20" s="116">
        <f t="shared" si="4"/>
        <v>59307.216661180573</v>
      </c>
      <c r="Y20" s="116">
        <f>SUM(Y12:Y18)</f>
        <v>483.94421916718801</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t="s">
        <v>783</v>
      </c>
      <c r="C24" s="28" t="s">
        <v>43</v>
      </c>
      <c r="D24" s="6">
        <v>1406</v>
      </c>
      <c r="E24" s="5"/>
      <c r="F24" s="5"/>
      <c r="G24" s="5"/>
      <c r="H24" s="30" t="str">
        <f>IF(B24="","",VLOOKUP(B24,Converted_feedstuff!$C$5:$E$54,3,FALSE))</f>
        <v>Grass_and_grass_clover_org</v>
      </c>
      <c r="I24" s="80">
        <f>D24/((100-VLOOKUP(B24,Converted_feedstuff!$C$5:$F$54,4,FALSE))/100)</f>
        <v>1562.2222222222222</v>
      </c>
      <c r="K24" s="30">
        <f>IF(B24="",0,VLOOKUP(B24,Converted_feedstuff!$C$5:$D$54,2,FALSE))</f>
        <v>180</v>
      </c>
      <c r="L24" s="80">
        <f>IF($B24="","",((VLOOKUP($B24,Converted_feedstuff!$C$5:$AM$54,33,FALSE))*((100-VLOOKUP($B24,Converted_feedstuff!$C$5:$K$54,5,FALSE))/100))/((100-VLOOKUP($B24,Converted_feedstuff!$C$5:$K$54,4,FALSE))/100))</f>
        <v>450.00007165681598</v>
      </c>
      <c r="M24" s="81">
        <f>IF($B24="","",((VLOOKUP($B24,Converted_feedstuff!$C$5:$AM$54,34,FALSE))*((100-VLOOKUP($B24,Converted_feedstuff!$C$5:$K$54,6,FALSE))/100))/((100-VLOOKUP($B24,Converted_feedstuff!$C$5:$K$54,4,FALSE))/100))</f>
        <v>26.523962609150399</v>
      </c>
      <c r="N24" s="81">
        <f>IF($B24="","",((VLOOKUP($B24,Converted_feedstuff!$C$5:$AM$54,35,FALSE))*((100-VLOOKUP($B24,Converted_feedstuff!$C$5:$K$54,7,FALSE))/100))/((100-VLOOKUP($B24,Converted_feedstuff!$C$5:$K$54,4,FALSE))/100))</f>
        <v>3.6055782621371102</v>
      </c>
      <c r="O24" s="81">
        <f>IF($B24="","",((VLOOKUP($B24,Converted_feedstuff!$C$5:$AM$54,36,FALSE))*((100-VLOOKUP($B24,Converted_feedstuff!$C$5:$K$54,8,FALSE))/100))/((100-VLOOKUP($B24,Converted_feedstuff!$C$5:$K$54,4,FALSE))/100))</f>
        <v>27.561193702598601</v>
      </c>
      <c r="P24" s="81">
        <f>IF($B24="","",((VLOOKUP($B24,Converted_feedstuff!$C$5:$AM$49,37,FALSE))*((100-VLOOKUP($B24,Converted_feedstuff!$C$5:$K$54,9,FALSE))/100))/((100-VLOOKUP($B24,Converted_feedstuff!$C$5:$K$54,4,FALSE))/100))</f>
        <v>16.528960088099701</v>
      </c>
      <c r="R24" s="51">
        <f>K24</f>
        <v>180</v>
      </c>
      <c r="S24" s="44"/>
      <c r="T24" s="34">
        <f t="shared" ref="T24:W30" si="5">IF($D24="",0,$D24*(L24/1000))</f>
        <v>632.70010074948334</v>
      </c>
      <c r="U24" s="34">
        <f t="shared" si="5"/>
        <v>37.29269142846546</v>
      </c>
      <c r="V24" s="34">
        <f t="shared" si="5"/>
        <v>5.0694430365647767</v>
      </c>
      <c r="W24" s="34">
        <f t="shared" si="5"/>
        <v>38.751038345853637</v>
      </c>
      <c r="X24" s="34">
        <f>IF($D24="",0,$D24*P24)</f>
        <v>23239.717883868179</v>
      </c>
      <c r="Y24" s="81">
        <f>U24*6.25</f>
        <v>233.07932142790912</v>
      </c>
      <c r="AB24" s="114">
        <f>IF(B24="",0,(VLOOKUP(B24,Converted_feedstuff!$C$5:$BH$54,58,FALSE)*$I24))</f>
        <v>-18.970774443939682</v>
      </c>
      <c r="AC24" s="30"/>
      <c r="AD24" s="30"/>
      <c r="AF24" s="144" t="str">
        <f>IF(B24="","",B24)</f>
        <v>Afgraesning_1_grazed_org</v>
      </c>
      <c r="AO24" s="80" t="e">
        <f>IF($B24="","",(((((Converted_feedstuff!#REF!/100)*Converted_feedstuff!F5)/100)*1000)*$I24)/1000)</f>
        <v>#REF!</v>
      </c>
      <c r="AP24" s="80" t="e">
        <f>IF($B24="","",(((((Converted_feedstuff!#REF!/100)*Converted_feedstuff!F5)/100)*1000)*$I24)/1000)</f>
        <v>#REF!</v>
      </c>
      <c r="AQ24" s="80" t="e">
        <f>IF($B24="","",(((((Converted_feedstuff!#REF!/100)*Converted_feedstuff!G5)/100)*Converted_feedstuff!AI5)*$I24)/1000)</f>
        <v>#REF!</v>
      </c>
      <c r="AR24" s="80">
        <f>IF($B24="","",(((((Converted_feedstuff!U5/100)*Converted_feedstuff!G5)/100)*Converted_feedstuff!AI5)*$I24)/1000)</f>
        <v>0</v>
      </c>
      <c r="AS24" s="80">
        <f>IF($B24="","",(((((Converted_feedstuff!V5/100)*Converted_feedstuff!G5)/100)*Converted_feedstuff!AI5)*$I24)/1000)</f>
        <v>0</v>
      </c>
      <c r="AT24" s="80">
        <f>IF($B24="","",(((((Converted_feedstuff!W5/100)*Converted_feedstuff!G5)/100)*Converted_feedstuff!AI5)*$I24)/1000)</f>
        <v>0</v>
      </c>
      <c r="AU24" s="80" t="e">
        <f>IF($B24="","",(((((Converted_feedstuff!#REF!/100)*Converted_feedstuff!H5)/100)*Converted_feedstuff!AJ5)*$I24)/1000)</f>
        <v>#REF!</v>
      </c>
      <c r="AV24" s="80">
        <f>IF($B24="","",(((((Converted_feedstuff!X5/100)*Converted_feedstuff!H5)/100)*Converted_feedstuff!AJ5)*$I24)/1000)</f>
        <v>0</v>
      </c>
      <c r="AW24" s="80">
        <f>IF($B24="","",(((((Converted_feedstuff!Y5/100)*Converted_feedstuff!H5)/100)*Converted_feedstuff!AJ5)*$I24)/1000)</f>
        <v>0</v>
      </c>
      <c r="AX24" s="80">
        <f>IF($B24="","",(((((Converted_feedstuff!Z5/100)*Converted_feedstuff!H5)/100)*Converted_feedstuff!AJ5)*$I24)/1000)</f>
        <v>0</v>
      </c>
      <c r="AY24" s="80">
        <f>IF($B24="","",(((((Converted_feedstuff!AA5/100)*Converted_feedstuff!H5)/100)*Converted_feedstuff!AJ5)*$I24)/1000)</f>
        <v>0</v>
      </c>
      <c r="AZ24" s="80">
        <f>IF($B24="","",(((((Converted_feedstuff!AB5/100)*Converted_feedstuff!H5)/100)*Converted_feedstuff!AJ5)*$I24)/1000)</f>
        <v>0</v>
      </c>
      <c r="BA24" s="80" t="e">
        <f>IF($B24="","",(((((Converted_feedstuff!#REF!/100)*Converted_feedstuff!I5)/100)*Converted_feedstuff!AK5)*$I24)/1000)</f>
        <v>#REF!</v>
      </c>
      <c r="BB24" s="80">
        <f>IF($B24="","",(((((Converted_feedstuff!AC5/100)*Converted_feedstuff!I5)/100)*Converted_feedstuff!AK5)*$I24)/1000)</f>
        <v>0</v>
      </c>
      <c r="BC24" s="80">
        <f>IF($B24="","",(((((Converted_feedstuff!AD5/100)*Converted_feedstuff!I5)/100)*Converted_feedstuff!AK5)*$I24)/1000)</f>
        <v>0</v>
      </c>
      <c r="BD24" s="80" t="e">
        <f>IF($B24="","",(((((Converted_feedstuff!#REF!/100)*Converted_feedstuff!J5)/100)*Converted_feedstuff!AL5)*$I24)/1000)</f>
        <v>#REF!</v>
      </c>
      <c r="BE24" s="80">
        <f>IF($B24="","",(((((Converted_feedstuff!AE5/100)*Converted_feedstuff!J5)/100)*Converted_feedstuff!AL5)*$I24)/1000)</f>
        <v>0</v>
      </c>
      <c r="BF24" s="80">
        <f>IF($B24="","",(((((Converted_feedstuff!AF5/100)*Converted_feedstuff!J5)/100)*Converted_feedstuff!AL5)*$I24)/1000)</f>
        <v>0</v>
      </c>
      <c r="BG24" s="80" t="e">
        <f>IF($B24="","",((((Converted_feedstuff!#REF!/100)*Converted_feedstuff!K5)/100)*Converted_feedstuff!AM5)*$I24)</f>
        <v>#REF!</v>
      </c>
      <c r="BH24" s="80" t="e">
        <f>IF($B24="","",((((Converted_feedstuff!#REF!/100)*Converted_feedstuff!K5)/100)*Converted_feedstuff!AM5)*$I24)</f>
        <v>#REF!</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t="s">
        <v>430</v>
      </c>
      <c r="C27" s="28" t="s">
        <v>43</v>
      </c>
      <c r="D27" s="6">
        <v>2000</v>
      </c>
      <c r="E27" s="126"/>
      <c r="F27" s="5"/>
      <c r="G27" s="126"/>
      <c r="H27" s="30" t="str">
        <f>IF(B27="","",VLOOKUP(B27,Converted_feedstuff!$C$5:$E$54,3,FALSE))</f>
        <v>Grass_and_grass_clover_org</v>
      </c>
      <c r="I27" s="80">
        <f>D27/((100-VLOOKUP(B27,Converted_feedstuff!$C$5:$F$54,4,FALSE))/100)</f>
        <v>2355.7126030624263</v>
      </c>
      <c r="K27" s="30">
        <f>IF(B27="",0,VLOOKUP(B27,Converted_feedstuff!$C$5:$D$54,2,FALSE))</f>
        <v>359</v>
      </c>
      <c r="L27" s="80">
        <f>IF($B27="","",((VLOOKUP($B27,Converted_feedstuff!$C$5:$AM$54,33,FALSE))*((100-VLOOKUP($B27,Converted_feedstuff!$C$5:$K$54,5,FALSE))/100))/((100-VLOOKUP($B27,Converted_feedstuff!$C$5:$K$54,4,FALSE))/100))</f>
        <v>450.00007165681598</v>
      </c>
      <c r="M27" s="81">
        <f>IF($B27="","",((VLOOKUP($B27,Converted_feedstuff!$C$5:$AM$54,34,FALSE))*((100-VLOOKUP($B27,Converted_feedstuff!$C$5:$K$54,6,FALSE))/100))/((100-VLOOKUP($B27,Converted_feedstuff!$C$5:$K$54,4,FALSE))/100))</f>
        <v>30.023001257236196</v>
      </c>
      <c r="N27" s="81">
        <f>IF($B27="","",((VLOOKUP($B27,Converted_feedstuff!$C$5:$AM$54,35,FALSE))*((100-VLOOKUP($B27,Converted_feedstuff!$C$5:$K$54,7,FALSE))/100))/((100-VLOOKUP($B27,Converted_feedstuff!$C$5:$K$54,4,FALSE))/100))</f>
        <v>4.2468530767221555</v>
      </c>
      <c r="O27" s="81">
        <f>IF($B27="","",((VLOOKUP($B27,Converted_feedstuff!$C$5:$AM$54,36,FALSE))*((100-VLOOKUP($B27,Converted_feedstuff!$C$5:$K$54,8,FALSE))/100))/((100-VLOOKUP($B27,Converted_feedstuff!$C$5:$K$54,4,FALSE))/100))</f>
        <v>32.463125680328147</v>
      </c>
      <c r="P27" s="81">
        <f>IF($B27="","",((VLOOKUP($B27,Converted_feedstuff!$C$5:$AM$49,37,FALSE))*((100-VLOOKUP($B27,Converted_feedstuff!$C$5:$K$54,9,FALSE))/100))/((100-VLOOKUP($B27,Converted_feedstuff!$C$5:$K$54,4,FALSE))/100))</f>
        <v>16.528960088099701</v>
      </c>
      <c r="R27" s="51">
        <f t="shared" si="6"/>
        <v>359</v>
      </c>
      <c r="S27" s="44"/>
      <c r="T27" s="34">
        <f t="shared" si="5"/>
        <v>900.00014331363195</v>
      </c>
      <c r="U27" s="34">
        <f t="shared" si="5"/>
        <v>60.046002514472391</v>
      </c>
      <c r="V27" s="34">
        <f t="shared" si="5"/>
        <v>8.493706153444311</v>
      </c>
      <c r="W27" s="34">
        <f t="shared" si="5"/>
        <v>64.926251360656295</v>
      </c>
      <c r="X27" s="34">
        <f t="shared" si="7"/>
        <v>33057.920176199405</v>
      </c>
      <c r="Y27" s="81">
        <f t="shared" si="8"/>
        <v>375.28751571545246</v>
      </c>
      <c r="AB27" s="114">
        <f>IF(B27="",0,(VLOOKUP(B27,Converted_feedstuff!$C$5:$BH$54,58,FALSE)*$I27))</f>
        <v>19.50442415752245</v>
      </c>
      <c r="AC27" s="30"/>
      <c r="AD27" s="30"/>
      <c r="AF27" s="144" t="str">
        <f t="shared" si="9"/>
        <v>Ensilage_graes_org</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t="s">
        <v>438</v>
      </c>
      <c r="C28" s="28" t="s">
        <v>43</v>
      </c>
      <c r="D28" s="6">
        <v>640</v>
      </c>
      <c r="E28" s="5" t="s">
        <v>430</v>
      </c>
      <c r="F28" s="5"/>
      <c r="G28" s="126"/>
      <c r="H28" s="30" t="str">
        <f>IF(B28="","",VLOOKUP(B28,Converted_feedstuff!$C$5:$E$54,3,FALSE))</f>
        <v>Whole_crop_org</v>
      </c>
      <c r="I28" s="80">
        <f>D28/((100-VLOOKUP(B28,Converted_feedstuff!$C$5:$F$54,4,FALSE))/100)</f>
        <v>753.82803297997634</v>
      </c>
      <c r="K28" s="30">
        <f>IF(B28="",0,VLOOKUP(B28,Converted_feedstuff!$C$5:$D$54,2,FALSE))</f>
        <v>333</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23.72504122497055</v>
      </c>
      <c r="N28" s="81">
        <f>IF($B28="","",((VLOOKUP($B28,Converted_feedstuff!$C$5:$AM$54,35,FALSE))*((100-VLOOKUP($B28,Converted_feedstuff!$C$5:$K$54,7,FALSE))/100))/((100-VLOOKUP($B28,Converted_feedstuff!$C$5:$K$54,4,FALSE))/100))</f>
        <v>3.6513545347467606</v>
      </c>
      <c r="O28" s="81">
        <f>IF($B28="","",((VLOOKUP($B28,Converted_feedstuff!$C$5:$AM$54,36,FALSE))*((100-VLOOKUP($B28,Converted_feedstuff!$C$5:$K$54,8,FALSE))/100))/((100-VLOOKUP($B28,Converted_feedstuff!$C$5:$K$54,4,FALSE))/100))</f>
        <v>22.025912838633683</v>
      </c>
      <c r="P28" s="81">
        <f>IF($B28="","",((VLOOKUP($B28,Converted_feedstuff!$C$5:$AM$49,37,FALSE))*((100-VLOOKUP($B28,Converted_feedstuff!$C$5:$K$54,9,FALSE))/100))/((100-VLOOKUP($B28,Converted_feedstuff!$C$5:$K$54,4,FALSE))/100))</f>
        <v>18.399999999999999</v>
      </c>
      <c r="R28" s="51">
        <f t="shared" si="6"/>
        <v>333</v>
      </c>
      <c r="S28" s="44"/>
      <c r="T28" s="34">
        <f t="shared" si="5"/>
        <v>288</v>
      </c>
      <c r="U28" s="34">
        <f t="shared" si="5"/>
        <v>15.184026383981152</v>
      </c>
      <c r="V28" s="34">
        <f t="shared" si="5"/>
        <v>2.3368669022379267</v>
      </c>
      <c r="W28" s="34">
        <f t="shared" si="5"/>
        <v>14.096584216725558</v>
      </c>
      <c r="X28" s="34">
        <f t="shared" si="7"/>
        <v>11776</v>
      </c>
      <c r="Y28" s="81">
        <f t="shared" si="8"/>
        <v>94.900164899882199</v>
      </c>
      <c r="AB28" s="114">
        <f>IF(B28="",0,(VLOOKUP(B28,Converted_feedstuff!$C$5:$BH$54,58,FALSE)*$I28))</f>
        <v>3.3553176542135441</v>
      </c>
      <c r="AC28" s="30"/>
      <c r="AD28" s="30"/>
      <c r="AF28" s="144" t="str">
        <f t="shared" si="9"/>
        <v>Ensilage_whole_crop_org</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51.222622997543802</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0.77978575585912113</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t="s">
        <v>431</v>
      </c>
      <c r="C29" s="28" t="s">
        <v>43</v>
      </c>
      <c r="D29" s="6">
        <v>800</v>
      </c>
      <c r="E29" s="5" t="s">
        <v>430</v>
      </c>
      <c r="F29" s="5"/>
      <c r="G29" s="126"/>
      <c r="H29" s="30" t="str">
        <f>IF(B29="","",VLOOKUP(B29,Converted_feedstuff!$C$5:$E$54,3,FALSE))</f>
        <v>Maize_whole_crop_fresh_org</v>
      </c>
      <c r="I29" s="80">
        <f>D29/((100-VLOOKUP(B29,Converted_feedstuff!$C$5:$F$54,4,FALSE))/100)</f>
        <v>942.28504122497043</v>
      </c>
      <c r="K29" s="30">
        <f>IF(B29="",0,VLOOKUP(B29,Converted_feedstuff!$C$5:$D$54,2,FALSE))</f>
        <v>349</v>
      </c>
      <c r="L29" s="80">
        <f>IF($B29="","",((VLOOKUP($B29,Converted_feedstuff!$C$5:$AM$54,33,FALSE))*((100-VLOOKUP($B29,Converted_feedstuff!$C$5:$K$54,5,FALSE))/100))/((100-VLOOKUP($B29,Converted_feedstuff!$C$5:$K$54,4,FALSE))/100))</f>
        <v>449.99999999999994</v>
      </c>
      <c r="M29" s="81">
        <f>IF($B29="","",((VLOOKUP($B29,Converted_feedstuff!$C$5:$AM$54,34,FALSE))*((100-VLOOKUP($B29,Converted_feedstuff!$C$5:$K$54,6,FALSE))/100))/((100-VLOOKUP($B29,Converted_feedstuff!$C$5:$K$54,4,FALSE))/100))</f>
        <v>13.220824499411071</v>
      </c>
      <c r="N29" s="81">
        <f>IF($B29="","",((VLOOKUP($B29,Converted_feedstuff!$C$5:$AM$54,35,FALSE))*((100-VLOOKUP($B29,Converted_feedstuff!$C$5:$K$54,7,FALSE))/100))/((100-VLOOKUP($B29,Converted_feedstuff!$C$5:$K$54,4,FALSE))/100))</f>
        <v>2.5912838633686688</v>
      </c>
      <c r="O29" s="81">
        <f>IF($B29="","",((VLOOKUP($B29,Converted_feedstuff!$C$5:$AM$54,36,FALSE))*((100-VLOOKUP($B29,Converted_feedstuff!$C$5:$K$54,8,FALSE))/100))/((100-VLOOKUP($B29,Converted_feedstuff!$C$5:$K$54,4,FALSE))/100))</f>
        <v>13.309776207302708</v>
      </c>
      <c r="P29" s="81">
        <f>IF($B29="","",((VLOOKUP($B29,Converted_feedstuff!$C$5:$AM$49,37,FALSE))*((100-VLOOKUP($B29,Converted_feedstuff!$C$5:$K$54,9,FALSE))/100))/((100-VLOOKUP($B29,Converted_feedstuff!$C$5:$K$54,4,FALSE))/100))</f>
        <v>17.7</v>
      </c>
      <c r="R29" s="51">
        <f t="shared" si="6"/>
        <v>349</v>
      </c>
      <c r="S29" s="44"/>
      <c r="T29" s="34">
        <f t="shared" si="5"/>
        <v>359.99999999999994</v>
      </c>
      <c r="U29" s="34">
        <f t="shared" si="5"/>
        <v>10.576659599528856</v>
      </c>
      <c r="V29" s="34">
        <f t="shared" si="5"/>
        <v>2.0730270906949353</v>
      </c>
      <c r="W29" s="34">
        <f t="shared" si="5"/>
        <v>10.647820965842167</v>
      </c>
      <c r="X29" s="34">
        <f t="shared" si="7"/>
        <v>14160</v>
      </c>
      <c r="Y29" s="81">
        <f t="shared" si="8"/>
        <v>66.104122497055357</v>
      </c>
      <c r="AB29" s="114">
        <f>IF(B29="",0,(VLOOKUP(B29,Converted_feedstuff!$C$5:$BH$54,58,FALSE)*$I29))</f>
        <v>4.4447407604951445</v>
      </c>
      <c r="AC29" s="30"/>
      <c r="AD29" s="30"/>
      <c r="AF29" s="144" t="str">
        <f t="shared" si="9"/>
        <v>Ensilage_majs_org</v>
      </c>
      <c r="AO29" s="80" t="e">
        <f>IF($B29="","",(((((Converted_feedstuff!#REF!/100)*Converted_feedstuff!F10)/100)*1000)*$I29)/1000)</f>
        <v>#REF!</v>
      </c>
      <c r="AP29" s="80" t="e">
        <f>IF($B29="","",(((((Converted_feedstuff!#REF!/100)*Converted_feedstuff!F10)/100)*1000)*$I29)/1000)</f>
        <v>#REF!</v>
      </c>
      <c r="AQ29" s="80" t="e">
        <f>IF($B29="","",(((((Converted_feedstuff!#REF!/100)*Converted_feedstuff!G10)/100)*Converted_feedstuff!AI10)*$I29)/1000)</f>
        <v>#REF!</v>
      </c>
      <c r="AR29" s="80">
        <f>IF($B29="","",(((((Converted_feedstuff!U10/100)*Converted_feedstuff!G10)/100)*Converted_feedstuff!AI10)*$I29)/1000)</f>
        <v>64.028268551236749</v>
      </c>
      <c r="AS29" s="80">
        <f>IF($B29="","",(((((Converted_feedstuff!V10/100)*Converted_feedstuff!G10)/100)*Converted_feedstuff!AI10)*$I29)/1000)</f>
        <v>0</v>
      </c>
      <c r="AT29" s="80">
        <f>IF($B29="","",(((((Converted_feedstuff!W10/100)*Converted_feedstuff!G10)/100)*Converted_feedstuff!AI10)*$I29)/1000)</f>
        <v>0</v>
      </c>
      <c r="AU29" s="80" t="e">
        <f>IF($B29="","",(((((Converted_feedstuff!#REF!/100)*Converted_feedstuff!H10)/100)*Converted_feedstuff!AJ10)*$I29)/1000)</f>
        <v>#REF!</v>
      </c>
      <c r="AV29" s="80">
        <f>IF($B29="","",(((((Converted_feedstuff!X10/100)*Converted_feedstuff!H10)/100)*Converted_feedstuff!AJ10)*$I29)/1000)</f>
        <v>0.42922968197879852</v>
      </c>
      <c r="AW29" s="80">
        <f>IF($B29="","",(((((Converted_feedstuff!Y10/100)*Converted_feedstuff!H10)/100)*Converted_feedstuff!AJ10)*$I29)/1000)</f>
        <v>0</v>
      </c>
      <c r="AX29" s="80">
        <f>IF($B29="","",(((((Converted_feedstuff!Z10/100)*Converted_feedstuff!H10)/100)*Converted_feedstuff!AJ10)*$I29)/1000)</f>
        <v>0</v>
      </c>
      <c r="AY29" s="80">
        <f>IF($B29="","",(((((Converted_feedstuff!AA10/100)*Converted_feedstuff!H10)/100)*Converted_feedstuff!AJ10)*$I29)/1000)</f>
        <v>0</v>
      </c>
      <c r="AZ29" s="80">
        <f>IF($B29="","",(((((Converted_feedstuff!AB10/100)*Converted_feedstuff!H10)/100)*Converted_feedstuff!AJ10)*$I29)/1000)</f>
        <v>0</v>
      </c>
      <c r="BA29" s="80" t="e">
        <f>IF($B29="","",(((((Converted_feedstuff!#REF!/100)*Converted_feedstuff!I10)/100)*Converted_feedstuff!AK10)*$I29)/1000)</f>
        <v>#REF!</v>
      </c>
      <c r="BB29" s="80">
        <f>IF($B29="","",(((((Converted_feedstuff!AC10/100)*Converted_feedstuff!I10)/100)*Converted_feedstuff!AK10)*$I29)/1000)</f>
        <v>0</v>
      </c>
      <c r="BC29" s="80">
        <f>IF($B29="","",(((((Converted_feedstuff!AD10/100)*Converted_feedstuff!I10)/100)*Converted_feedstuff!AK10)*$I29)/1000)</f>
        <v>0</v>
      </c>
      <c r="BD29" s="80" t="e">
        <f>IF($B29="","",(((((Converted_feedstuff!#REF!/100)*Converted_feedstuff!J10)/100)*Converted_feedstuff!AL10)*$I29)/1000)</f>
        <v>#REF!</v>
      </c>
      <c r="BE29" s="80">
        <f>IF($B29="","",(((((Converted_feedstuff!AE10/100)*Converted_feedstuff!J10)/100)*Converted_feedstuff!AL10)*$I29)/1000)</f>
        <v>0</v>
      </c>
      <c r="BF29" s="80">
        <f>IF($B29="","",(((((Converted_feedstuff!AF10/100)*Converted_feedstuff!J10)/100)*Converted_feedstuff!AL10)*$I29)/1000)</f>
        <v>0</v>
      </c>
      <c r="BG29" s="80" t="e">
        <f>IF($B29="","",((((Converted_feedstuff!#REF!/100)*Converted_feedstuff!K10)/100)*Converted_feedstuff!AM10)*$I29)</f>
        <v>#REF!</v>
      </c>
      <c r="BH29" s="80" t="e">
        <f>IF($B29="","",((((Converted_feedstuff!#REF!/100)*Converted_feedstuff!K10)/100)*Converted_feedstuff!AM10)*$I29)</f>
        <v>#REF!</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4846</v>
      </c>
      <c r="E31" s="24"/>
      <c r="K31" t="s">
        <v>175</v>
      </c>
      <c r="L31" s="24"/>
      <c r="M31" s="24"/>
      <c r="N31" s="24"/>
      <c r="O31" s="24"/>
      <c r="P31" s="24"/>
      <c r="Q31" s="25"/>
      <c r="R31" s="82">
        <f>(D24*R24+D25*R25+D26*R26+D27*R27+D28*R28+D29*R29+D30*R30)/D31</f>
        <v>301.98101527032605</v>
      </c>
      <c r="S31" s="45"/>
      <c r="T31" s="116">
        <f t="shared" ref="T31:Y31" si="10">SUM(T24:T30)</f>
        <v>2180.7002440631154</v>
      </c>
      <c r="U31" s="116">
        <f t="shared" si="10"/>
        <v>123.09937992644785</v>
      </c>
      <c r="V31" s="116">
        <f t="shared" si="10"/>
        <v>17.97304318294195</v>
      </c>
      <c r="W31" s="116">
        <f t="shared" si="10"/>
        <v>128.42169488907766</v>
      </c>
      <c r="X31" s="116">
        <f>SUM(X24:X30)</f>
        <v>82233.638060067577</v>
      </c>
      <c r="Y31" s="116">
        <f t="shared" si="10"/>
        <v>769.37112454029921</v>
      </c>
      <c r="AA31" s="113" t="s">
        <v>61</v>
      </c>
      <c r="AB31" s="115">
        <f>SUM(AB24:AB30)</f>
        <v>8.3337081282914571</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115.25089154878054</v>
      </c>
      <c r="AS31" s="92">
        <f t="shared" si="11"/>
        <v>0</v>
      </c>
      <c r="AT31" s="92">
        <f t="shared" si="11"/>
        <v>0</v>
      </c>
      <c r="AU31" s="92" t="e">
        <f t="shared" si="11"/>
        <v>#REF!</v>
      </c>
      <c r="AV31" s="92">
        <f t="shared" si="11"/>
        <v>1.2090154378379196</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7885</v>
      </c>
      <c r="E32" s="24"/>
      <c r="I32" s="24"/>
      <c r="J32" s="24"/>
      <c r="K32" s="24"/>
      <c r="L32" s="24"/>
      <c r="M32" s="24"/>
      <c r="N32" s="24"/>
      <c r="P32" s="25"/>
      <c r="Q32" s="25"/>
      <c r="R32" s="84">
        <f>(D20*R20+D31*R31)/D32</f>
        <v>513.82347980200416</v>
      </c>
      <c r="S32" s="85"/>
      <c r="T32" s="117">
        <f>T20+T31</f>
        <v>3548.2502440631151</v>
      </c>
      <c r="U32" s="117">
        <f t="shared" ref="U32:Y32" si="12">U20+U31</f>
        <v>200.53045499319796</v>
      </c>
      <c r="V32" s="117">
        <f t="shared" si="12"/>
        <v>30.94710620553915</v>
      </c>
      <c r="W32" s="117">
        <f t="shared" si="12"/>
        <v>151.99510124860237</v>
      </c>
      <c r="X32" s="117">
        <f t="shared" si="12"/>
        <v>141540.85472124815</v>
      </c>
      <c r="Y32" s="117">
        <f t="shared" si="12"/>
        <v>1253.3153437074873</v>
      </c>
      <c r="AF32" s="144" t="str">
        <f t="shared" ref="AF32:AF37" si="13">IF(E25="","",E25)</f>
        <v/>
      </c>
      <c r="BL32" t="str">
        <f>A4</f>
        <v>ID-nummer</v>
      </c>
      <c r="BM32">
        <f>B4</f>
        <v>110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Dairy_cow1_org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110</v>
      </c>
      <c r="BK34" t="str">
        <f t="shared" ref="BJ34:BK62" si="15">$BM$33</f>
        <v>Dairy_cow1_org</v>
      </c>
      <c r="BL34" t="s">
        <v>69</v>
      </c>
      <c r="BM34" t="str">
        <f>$B$24</f>
        <v>Afgraesning_1_grazed_org</v>
      </c>
      <c r="BN34" t="str">
        <f t="shared" ref="BN34:BO40" si="16">C24</f>
        <v>Kg</v>
      </c>
      <c r="BO34">
        <f t="shared" si="16"/>
        <v>1406</v>
      </c>
    </row>
    <row r="35" spans="1:67" ht="15.6" x14ac:dyDescent="0.3">
      <c r="A35" s="18" t="s">
        <v>631</v>
      </c>
      <c r="B35" s="19" t="s">
        <v>441</v>
      </c>
      <c r="C35" s="28" t="s">
        <v>43</v>
      </c>
      <c r="D35" s="34">
        <f>H35*(R35/1000)</f>
        <v>1.9004999999999999</v>
      </c>
      <c r="E35" s="30" t="str">
        <f>IF(B35="","",VLOOKUP(B35,'Processed products'!$B$5:$E$104,2,FALSE))</f>
        <v>Beef_meat_org</v>
      </c>
      <c r="F35" s="30" t="str">
        <f>IF(B35="","",VLOOKUP(B35,'Processed products'!$B$5:$E$104,3,FALSE))</f>
        <v>Meat</v>
      </c>
      <c r="G35" s="30" t="str">
        <f>IF(B35="","",VLOOKUP(B35,'Processed products'!$B$5:$E$104,4,FALSE))</f>
        <v>Exit_model</v>
      </c>
      <c r="H35" s="5">
        <v>5.43</v>
      </c>
      <c r="I35" s="4"/>
      <c r="K35" s="97" t="s">
        <v>654</v>
      </c>
      <c r="L35" s="132" t="s">
        <v>541</v>
      </c>
      <c r="M35" s="132" t="s">
        <v>641</v>
      </c>
      <c r="N35" s="272">
        <v>2.08</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Ensilage_graes_org</v>
      </c>
      <c r="AJ35" s="32"/>
      <c r="BJ35">
        <f t="shared" si="14"/>
        <v>110</v>
      </c>
      <c r="BK35" t="str">
        <f t="shared" si="15"/>
        <v>Dairy_cow1_org</v>
      </c>
      <c r="BL35" t="s">
        <v>69</v>
      </c>
      <c r="BM35">
        <f>$B$25</f>
        <v>0</v>
      </c>
      <c r="BN35" t="str">
        <f t="shared" si="16"/>
        <v>Kg</v>
      </c>
      <c r="BO35">
        <f t="shared" si="16"/>
        <v>0</v>
      </c>
    </row>
    <row r="36" spans="1:67" ht="15.6" x14ac:dyDescent="0.3">
      <c r="A36" s="18" t="s">
        <v>632</v>
      </c>
      <c r="B36" s="19" t="s">
        <v>441</v>
      </c>
      <c r="C36" s="28" t="s">
        <v>43</v>
      </c>
      <c r="D36" s="34">
        <f t="shared" ref="D36" si="17">H36*(R36/1000)</f>
        <v>14</v>
      </c>
      <c r="E36" s="30" t="str">
        <f>IF(B36="","",VLOOKUP(B36,'Processed products'!$B$5:$E$104,2,FALSE))</f>
        <v>Beef_meat_org</v>
      </c>
      <c r="F36" s="30" t="str">
        <f>IF(B36="","",VLOOKUP(B36,'Processed products'!$B$5:$E$104,3,FALSE))</f>
        <v>Meat</v>
      </c>
      <c r="G36" s="30" t="str">
        <f>IF(B36="","",VLOOKUP(B36,'Processed products'!$B$5:$E$104,4,FALSE))</f>
        <v>Exit_model</v>
      </c>
      <c r="H36" s="5">
        <v>40</v>
      </c>
      <c r="I36" s="4"/>
      <c r="K36" s="97" t="s">
        <v>655</v>
      </c>
      <c r="L36" s="132" t="s">
        <v>652</v>
      </c>
      <c r="M36" s="132" t="s">
        <v>653</v>
      </c>
      <c r="N36" s="272">
        <v>26.16</v>
      </c>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Ensilage_graes_org</v>
      </c>
      <c r="BJ36">
        <f t="shared" si="14"/>
        <v>110</v>
      </c>
      <c r="BK36" t="str">
        <f t="shared" si="15"/>
        <v>Dairy_cow1_org</v>
      </c>
      <c r="BL36" t="s">
        <v>69</v>
      </c>
      <c r="BM36">
        <f>$B$26</f>
        <v>0</v>
      </c>
      <c r="BN36" t="str">
        <f t="shared" si="16"/>
        <v>Kg</v>
      </c>
      <c r="BO36">
        <f t="shared" si="16"/>
        <v>0</v>
      </c>
    </row>
    <row r="37" spans="1:67" ht="16.2" thickBot="1" x14ac:dyDescent="0.35">
      <c r="A37" s="18" t="s">
        <v>647</v>
      </c>
      <c r="B37" s="19" t="s">
        <v>541</v>
      </c>
      <c r="C37" s="28" t="s">
        <v>43</v>
      </c>
      <c r="D37" s="34">
        <f>H37*(R37/1000)</f>
        <v>7.9554999999999998</v>
      </c>
      <c r="E37" s="30" t="str">
        <f>IF(B37="","",VLOOKUP(B37,'Processed products'!$B$5:$E$104,2,FALSE))</f>
        <v>Calf_dairy_heavy_live_org</v>
      </c>
      <c r="F37" s="30" t="str">
        <f>IF(B37="","",VLOOKUP(B37,'Processed products'!$B$5:$E$104,3,FALSE))</f>
        <v>Cattle_heavy_live_org</v>
      </c>
      <c r="G37" s="30" t="str">
        <f>IF(B37="","",VLOOKUP(B37,'Processed products'!$B$5:$E$104,4,FALSE))</f>
        <v>Livestock_balance</v>
      </c>
      <c r="H37" s="5">
        <v>22.73</v>
      </c>
      <c r="I37" s="5">
        <v>0.56999999999999995</v>
      </c>
      <c r="K37" s="273" t="s">
        <v>656</v>
      </c>
      <c r="L37" s="260"/>
      <c r="M37" s="260"/>
      <c r="N37" s="261"/>
      <c r="Q37" s="25"/>
      <c r="R37" s="51">
        <f>(IF($B37="",0,VLOOKUP($B37,'Processed products'!$B$5:$O$104,5,FALSE)))</f>
        <v>350</v>
      </c>
      <c r="S37" s="44"/>
      <c r="T37" s="28">
        <f>(IF($B37="","",VLOOKUP($B37,'Processed products'!$B$5:$O$104,9,FALSE)))</f>
        <v>680</v>
      </c>
      <c r="U37" s="34">
        <f>(IF($B37="","",VLOOKUP($B37,'Processed products'!$B$5:$O$104,10,FALSE)))</f>
        <v>84.569919999999996</v>
      </c>
      <c r="V37" s="28">
        <f>(IF($B37="","",VLOOKUP($B37,'Processed products'!$B$5:$O$104,11,FALSE)))</f>
        <v>29.14</v>
      </c>
      <c r="W37" s="28">
        <f>(IF($B37="","",VLOOKUP($B37,'Processed products'!$B$5:$O$104,12,FALSE)))</f>
        <v>6</v>
      </c>
      <c r="X37" s="28">
        <f>(IF($B37="","",VLOOKUP($B37,'Processed products'!$B$5:$O$104,13,FALSE)))</f>
        <v>19.63</v>
      </c>
      <c r="Z37" s="53"/>
      <c r="AA37" s="53"/>
      <c r="AB37" s="53"/>
      <c r="AC37" s="53"/>
      <c r="AD37" s="53"/>
      <c r="AF37" s="144" t="str">
        <f t="shared" si="13"/>
        <v/>
      </c>
      <c r="BJ37">
        <f t="shared" si="14"/>
        <v>110</v>
      </c>
      <c r="BK37" t="str">
        <f t="shared" si="15"/>
        <v>Dairy_cow1_org</v>
      </c>
      <c r="BL37" t="s">
        <v>69</v>
      </c>
      <c r="BM37" t="str">
        <f>$B$27</f>
        <v>Ensilage_graes_org</v>
      </c>
      <c r="BN37" t="str">
        <f t="shared" si="16"/>
        <v>Kg</v>
      </c>
      <c r="BO37">
        <f t="shared" si="16"/>
        <v>2000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110</v>
      </c>
      <c r="BK38" t="str">
        <f t="shared" si="15"/>
        <v>Dairy_cow1_org</v>
      </c>
      <c r="BL38" t="s">
        <v>69</v>
      </c>
      <c r="BM38" t="str">
        <f>$B$28</f>
        <v>Ensilage_whole_crop_org</v>
      </c>
      <c r="BN38" t="str">
        <f t="shared" si="16"/>
        <v>Kg</v>
      </c>
      <c r="BO38">
        <f t="shared" si="16"/>
        <v>640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36"/>
      <c r="J39" s="123"/>
      <c r="K39" s="53"/>
      <c r="L39" s="123"/>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110</v>
      </c>
      <c r="BK39" t="str">
        <f t="shared" si="15"/>
        <v>Dairy_cow1_org</v>
      </c>
      <c r="BL39" t="s">
        <v>69</v>
      </c>
      <c r="BM39" t="str">
        <f>$B$29</f>
        <v>Ensilage_majs_org</v>
      </c>
      <c r="BN39" t="str">
        <f t="shared" si="16"/>
        <v>Kg</v>
      </c>
      <c r="BO39">
        <f t="shared" si="16"/>
        <v>800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110</v>
      </c>
      <c r="BK40" t="str">
        <f t="shared" si="15"/>
        <v>Dairy_cow1_org</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K41" s="32">
        <f>40*0.052</f>
        <v>2.08</v>
      </c>
      <c r="L41" s="110"/>
      <c r="M41" s="110"/>
      <c r="N41" s="136">
        <f>503*0.052</f>
        <v>26.155999999999999</v>
      </c>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110</v>
      </c>
      <c r="BK41" t="str">
        <f t="shared" si="15"/>
        <v>Dairy_cow1_org</v>
      </c>
      <c r="BL41" t="s">
        <v>126</v>
      </c>
      <c r="BM41" t="str">
        <f>$B$35</f>
        <v>Tilvaekst_kvaeg_org</v>
      </c>
      <c r="BN41" t="str">
        <f>C35</f>
        <v>Kg</v>
      </c>
      <c r="BO41" s="64">
        <f>P35</f>
        <v>0</v>
      </c>
    </row>
    <row r="42" spans="1:67" x14ac:dyDescent="0.3">
      <c r="A42" s="33" t="s">
        <v>61</v>
      </c>
      <c r="B42" s="39"/>
      <c r="C42" s="28" t="s">
        <v>43</v>
      </c>
      <c r="D42" s="34">
        <f>SUM(D35:D41)</f>
        <v>23.855999999999998</v>
      </c>
      <c r="E42" s="24"/>
      <c r="I42" s="124"/>
      <c r="J42" s="246" t="s">
        <v>649</v>
      </c>
      <c r="K42" s="123"/>
      <c r="L42" s="123"/>
      <c r="M42" s="136">
        <f>80*0.052+0.053*40*0.6</f>
        <v>5.4320000000000004</v>
      </c>
      <c r="N42" s="124"/>
      <c r="P42" s="93"/>
      <c r="Q42" s="25"/>
      <c r="Z42" s="53"/>
      <c r="AA42" s="53"/>
      <c r="AB42" s="53"/>
      <c r="AC42" s="53"/>
      <c r="AD42" s="53"/>
      <c r="AF42" s="144" t="str">
        <f t="shared" si="18"/>
        <v/>
      </c>
      <c r="BJ42">
        <f t="shared" si="14"/>
        <v>110</v>
      </c>
      <c r="BK42" t="str">
        <f t="shared" si="15"/>
        <v>Dairy_cow1_org</v>
      </c>
      <c r="BL42" t="s">
        <v>126</v>
      </c>
      <c r="BM42" t="str">
        <f>$B$36</f>
        <v>Tilvaekst_kvaeg_org</v>
      </c>
      <c r="BN42" t="str">
        <f t="shared" ref="BN42:BN47" si="19">C35</f>
        <v>Kg</v>
      </c>
      <c r="BO42" s="64">
        <f t="shared" ref="BO42:BO47" si="20">P35</f>
        <v>0</v>
      </c>
    </row>
    <row r="43" spans="1:67" x14ac:dyDescent="0.3">
      <c r="J43" s="123" t="s">
        <v>651</v>
      </c>
      <c r="K43" s="136">
        <f>24*0.947</f>
        <v>22.727999999999998</v>
      </c>
      <c r="L43" s="136">
        <f>K43/40</f>
        <v>0.56819999999999993</v>
      </c>
      <c r="M43" s="123"/>
      <c r="Z43" s="53"/>
      <c r="AA43" s="53"/>
      <c r="AB43" s="53"/>
      <c r="AC43" s="53"/>
      <c r="AD43" s="53"/>
      <c r="AF43" s="144" t="str">
        <f t="shared" si="18"/>
        <v/>
      </c>
      <c r="BJ43">
        <f t="shared" si="14"/>
        <v>110</v>
      </c>
      <c r="BK43" t="str">
        <f t="shared" si="15"/>
        <v>Dairy_cow1_org</v>
      </c>
      <c r="BL43" t="s">
        <v>126</v>
      </c>
      <c r="BM43" t="str">
        <f>$B$37</f>
        <v>Foster_kvaeg_dairy_heavy_org</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110</v>
      </c>
      <c r="BK44" t="str">
        <f t="shared" si="15"/>
        <v>Dairy_cow1_org</v>
      </c>
      <c r="BL44" t="s">
        <v>126</v>
      </c>
      <c r="BM44">
        <f>$B$38</f>
        <v>0</v>
      </c>
      <c r="BN44" t="str">
        <f t="shared" si="19"/>
        <v>Kg</v>
      </c>
      <c r="BO44" s="64">
        <f t="shared" si="20"/>
        <v>0</v>
      </c>
    </row>
    <row r="45" spans="1:67" x14ac:dyDescent="0.3">
      <c r="A45" s="18" t="s">
        <v>163</v>
      </c>
      <c r="B45" s="19" t="s">
        <v>440</v>
      </c>
      <c r="C45" s="28" t="s">
        <v>43</v>
      </c>
      <c r="D45" s="51">
        <f>H45*(I45/1000)</f>
        <v>1350</v>
      </c>
      <c r="E45" s="28" t="str">
        <f>IF(B45="","",VLOOKUP(B45,'Processed products'!$AJ$5:$AO$250,2,FALSE))</f>
        <v>Maelk_EKM_org</v>
      </c>
      <c r="F45" s="28" t="str">
        <f>IF(B45="","",VLOOKUP(B45,'Processed products'!$AJ$5:$AO$250,3,FALSE))</f>
        <v>Maelk_EKM</v>
      </c>
      <c r="G45" s="28" t="str">
        <f>IF(B45="","",VLOOKUP(B45,'Processed products'!$AJ$5:$AO$250,4,FALSE))</f>
        <v>Exit_model</v>
      </c>
      <c r="H45" s="51">
        <f>J8</f>
        <v>10237.579617834395</v>
      </c>
      <c r="I45" s="51">
        <f>((IF(B45="","",VLOOKUP(B45,'Processed products'!$AJ$5:$AO$250,5,FALSE)))*J5)/J8</f>
        <v>131.86710632738132</v>
      </c>
      <c r="J45" s="132">
        <v>450</v>
      </c>
      <c r="K45" s="34">
        <f>IF(H45=0,0,(((J5*(J7/100))/L8)/D45)*1000)</f>
        <v>39.475211889004996</v>
      </c>
      <c r="L45" s="34">
        <f>IF(H45=0,0,(J5*L11)/D45)</f>
        <v>7.1111111111111107</v>
      </c>
      <c r="M45" s="34">
        <f>IF(H45=0,0,(J5*L12)/D45)</f>
        <v>11.703703703703704</v>
      </c>
      <c r="N45" s="34">
        <f>IF(H45=0,0,(L5*J8)/D45)</f>
        <v>23.811851851851856</v>
      </c>
      <c r="O45" s="81">
        <f>K45*6.38</f>
        <v>251.85185185185188</v>
      </c>
      <c r="P45" s="93"/>
      <c r="Q45" s="47"/>
      <c r="R45" s="123"/>
      <c r="Z45" s="53"/>
      <c r="AA45" s="53"/>
      <c r="AB45" s="53"/>
      <c r="AC45" s="53"/>
      <c r="AD45" s="53"/>
      <c r="AF45" s="144" t="str">
        <f>IF(G24="","",G24)</f>
        <v/>
      </c>
      <c r="AG45" s="136"/>
      <c r="AH45" s="136"/>
      <c r="AI45" s="136"/>
      <c r="AJ45" s="136"/>
      <c r="BJ45">
        <f t="shared" si="14"/>
        <v>110</v>
      </c>
      <c r="BK45" t="str">
        <f t="shared" si="15"/>
        <v>Dairy_cow1_org</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110</v>
      </c>
      <c r="BK46" t="str">
        <f t="shared" si="15"/>
        <v>Dairy_cow1_org</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110</v>
      </c>
      <c r="BK47" t="str">
        <f t="shared" si="15"/>
        <v>Dairy_cow1_org</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110</v>
      </c>
      <c r="BK48" t="str">
        <f t="shared" si="15"/>
        <v>Dairy_cow1_org</v>
      </c>
      <c r="BL48" t="s">
        <v>127</v>
      </c>
      <c r="BM48" t="str">
        <f t="shared" ref="BM48:BM52" si="22">$B$45</f>
        <v>Soedmaelk_tung_EKM_org</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110</v>
      </c>
      <c r="BK49" t="str">
        <f t="shared" si="15"/>
        <v>Dairy_cow1_org</v>
      </c>
      <c r="BL49" t="s">
        <v>127</v>
      </c>
      <c r="BM49" t="str">
        <f t="shared" si="22"/>
        <v>Soedmaelk_tung_EKM_org</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110</v>
      </c>
      <c r="BK50" t="str">
        <f t="shared" si="15"/>
        <v>Dairy_cow1_org</v>
      </c>
      <c r="BL50" t="s">
        <v>127</v>
      </c>
      <c r="BM50" t="str">
        <f t="shared" si="22"/>
        <v>Soedmaelk_tung_EKM_org</v>
      </c>
      <c r="BN50" s="32">
        <f>$AH$34</f>
        <v>0</v>
      </c>
      <c r="BO50" s="32">
        <f>AH45</f>
        <v>0</v>
      </c>
    </row>
    <row r="51" spans="1:67" ht="15" thickBot="1" x14ac:dyDescent="0.35">
      <c r="A51" s="18" t="s">
        <v>56</v>
      </c>
      <c r="B51" s="9"/>
      <c r="C51" s="28" t="s">
        <v>43</v>
      </c>
      <c r="D51" s="34">
        <f>SUM(D42,D45:D50)</f>
        <v>1373.856</v>
      </c>
      <c r="I51" s="93"/>
      <c r="J51" s="93"/>
      <c r="K51" s="93"/>
      <c r="L51" s="93"/>
      <c r="M51" s="93"/>
      <c r="N51" s="93"/>
      <c r="O51" s="135"/>
      <c r="P51" s="93"/>
      <c r="Q51" s="47"/>
      <c r="Z51" s="53"/>
      <c r="AA51" s="53"/>
      <c r="AB51" s="53"/>
      <c r="AC51" s="53"/>
      <c r="AD51" s="53"/>
      <c r="AF51" s="145" t="str">
        <f t="shared" si="21"/>
        <v/>
      </c>
      <c r="BJ51">
        <f t="shared" si="14"/>
        <v>110</v>
      </c>
      <c r="BK51" t="str">
        <f t="shared" si="15"/>
        <v>Dairy_cow1_org</v>
      </c>
      <c r="BL51" t="s">
        <v>127</v>
      </c>
      <c r="BM51" t="str">
        <f t="shared" si="22"/>
        <v>Soedmaelk_tung_EKM_org</v>
      </c>
      <c r="BN51">
        <f>$AI$34</f>
        <v>0</v>
      </c>
      <c r="BO51" s="32">
        <f>AI45</f>
        <v>0</v>
      </c>
    </row>
    <row r="52" spans="1:67" x14ac:dyDescent="0.3">
      <c r="C52" s="25"/>
      <c r="H52" s="137"/>
      <c r="I52" s="137"/>
      <c r="Y52" s="29"/>
      <c r="Z52" s="136"/>
      <c r="AA52" s="136"/>
      <c r="AB52" s="136"/>
      <c r="AC52" s="136"/>
      <c r="AD52" s="136"/>
      <c r="AF52" s="32"/>
      <c r="BJ52">
        <f t="shared" si="14"/>
        <v>110</v>
      </c>
      <c r="BK52" t="str">
        <f t="shared" si="15"/>
        <v>Dairy_cow1_org</v>
      </c>
      <c r="BL52" t="s">
        <v>127</v>
      </c>
      <c r="BM52" t="str">
        <f t="shared" si="22"/>
        <v>Soedmaelk_tung_EKM_org</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110</v>
      </c>
      <c r="BK53" t="str">
        <f t="shared" si="15"/>
        <v>Dairy_cow1_org</v>
      </c>
      <c r="BL53" t="s">
        <v>127</v>
      </c>
      <c r="BM53">
        <f t="shared" ref="BM53:BM58" si="23">$B$46</f>
        <v>0</v>
      </c>
      <c r="BN53" t="str">
        <f>C46</f>
        <v>Kg</v>
      </c>
      <c r="BO53" s="64">
        <f>P46</f>
        <v>0</v>
      </c>
    </row>
    <row r="54" spans="1:67" x14ac:dyDescent="0.3">
      <c r="A54" s="18" t="s">
        <v>220</v>
      </c>
      <c r="B54" s="50" t="s">
        <v>233</v>
      </c>
      <c r="C54" s="50" t="s">
        <v>43</v>
      </c>
      <c r="D54" s="138"/>
      <c r="E54" s="53"/>
      <c r="F54" s="138"/>
      <c r="G54" s="53"/>
      <c r="H54" s="138"/>
      <c r="I54" s="138"/>
      <c r="AF54" s="32"/>
      <c r="BJ54">
        <f t="shared" si="14"/>
        <v>110</v>
      </c>
      <c r="BK54" t="str">
        <f t="shared" si="15"/>
        <v>Dairy_cow1_org</v>
      </c>
      <c r="BL54" t="s">
        <v>127</v>
      </c>
      <c r="BM54">
        <f t="shared" si="23"/>
        <v>0</v>
      </c>
      <c r="BN54" t="str">
        <f>$AF$34</f>
        <v/>
      </c>
      <c r="BO54" s="32" t="str">
        <f>AF$46</f>
        <v/>
      </c>
    </row>
    <row r="55" spans="1:67" x14ac:dyDescent="0.3">
      <c r="A55" s="18" t="s">
        <v>254</v>
      </c>
      <c r="B55" s="50" t="s">
        <v>233</v>
      </c>
      <c r="C55" s="50" t="s">
        <v>43</v>
      </c>
      <c r="D55" s="138"/>
      <c r="E55" s="53"/>
      <c r="F55" s="138"/>
      <c r="G55" s="53"/>
      <c r="H55" s="138"/>
      <c r="I55" s="138"/>
      <c r="BJ55">
        <f t="shared" si="14"/>
        <v>110</v>
      </c>
      <c r="BK55" t="str">
        <f t="shared" si="15"/>
        <v>Dairy_cow1_org</v>
      </c>
      <c r="BL55" t="s">
        <v>127</v>
      </c>
      <c r="BM55">
        <f t="shared" si="23"/>
        <v>0</v>
      </c>
      <c r="BN55">
        <f>$AG$34</f>
        <v>0</v>
      </c>
      <c r="BO55" s="32">
        <f>AG$46</f>
        <v>0</v>
      </c>
    </row>
    <row r="56" spans="1:67" x14ac:dyDescent="0.3">
      <c r="A56" s="18" t="s">
        <v>35</v>
      </c>
      <c r="B56" s="50"/>
      <c r="C56" s="50"/>
      <c r="D56" s="138"/>
      <c r="E56" s="53"/>
      <c r="F56" s="138"/>
      <c r="G56" s="53"/>
      <c r="H56" s="138"/>
      <c r="I56" s="138"/>
      <c r="BJ56">
        <f t="shared" si="14"/>
        <v>110</v>
      </c>
      <c r="BK56" t="str">
        <f t="shared" si="15"/>
        <v>Dairy_cow1_org</v>
      </c>
      <c r="BL56" t="s">
        <v>127</v>
      </c>
      <c r="BM56">
        <f t="shared" si="23"/>
        <v>0</v>
      </c>
      <c r="BN56" s="32">
        <f>$AH$34</f>
        <v>0</v>
      </c>
      <c r="BO56" s="32">
        <f>AH$46</f>
        <v>0</v>
      </c>
    </row>
    <row r="57" spans="1:67" x14ac:dyDescent="0.3">
      <c r="A57" s="18" t="s">
        <v>36</v>
      </c>
      <c r="B57" s="50"/>
      <c r="C57" s="50"/>
      <c r="D57" s="138"/>
      <c r="E57" s="53"/>
      <c r="F57" s="138"/>
      <c r="G57" s="53"/>
      <c r="H57" s="138"/>
      <c r="I57" s="138"/>
      <c r="BJ57">
        <f t="shared" si="14"/>
        <v>110</v>
      </c>
      <c r="BK57" t="str">
        <f t="shared" si="15"/>
        <v>Dairy_cow1_org</v>
      </c>
      <c r="BL57" t="s">
        <v>127</v>
      </c>
      <c r="BM57">
        <f t="shared" si="23"/>
        <v>0</v>
      </c>
      <c r="BN57">
        <f>$AI$34</f>
        <v>0</v>
      </c>
      <c r="BO57" s="32">
        <f>AI$46</f>
        <v>0</v>
      </c>
    </row>
    <row r="58" spans="1:67" x14ac:dyDescent="0.3">
      <c r="A58" s="18" t="s">
        <v>37</v>
      </c>
      <c r="B58" s="50"/>
      <c r="C58" s="50"/>
      <c r="D58" s="138"/>
      <c r="E58" s="53"/>
      <c r="F58" s="138"/>
      <c r="G58" s="53"/>
      <c r="H58" s="138"/>
      <c r="I58" s="138"/>
      <c r="BJ58">
        <f t="shared" si="14"/>
        <v>110</v>
      </c>
      <c r="BK58" t="str">
        <f t="shared" si="15"/>
        <v>Dairy_cow1_org</v>
      </c>
      <c r="BL58" t="s">
        <v>127</v>
      </c>
      <c r="BM58">
        <f t="shared" si="23"/>
        <v>0</v>
      </c>
      <c r="BN58">
        <f>$AJ$34</f>
        <v>0</v>
      </c>
      <c r="BO58" s="32">
        <f>AJ$46</f>
        <v>0</v>
      </c>
    </row>
    <row r="59" spans="1:67" x14ac:dyDescent="0.3">
      <c r="A59" s="18" t="s">
        <v>56</v>
      </c>
      <c r="B59" s="24"/>
      <c r="D59" s="32"/>
      <c r="F59" s="32"/>
      <c r="H59" s="138"/>
      <c r="I59" s="138"/>
      <c r="BJ59">
        <f t="shared" si="14"/>
        <v>110</v>
      </c>
      <c r="BK59" t="str">
        <f t="shared" si="15"/>
        <v>Dairy_cow1_org</v>
      </c>
      <c r="BL59" t="s">
        <v>127</v>
      </c>
      <c r="BM59">
        <f t="shared" ref="BL59:BM62" si="24">$B$47</f>
        <v>0</v>
      </c>
      <c r="BN59">
        <f>$AG$34</f>
        <v>0</v>
      </c>
      <c r="BO59" s="32">
        <f>AG$47</f>
        <v>0</v>
      </c>
    </row>
    <row r="60" spans="1:67" x14ac:dyDescent="0.3">
      <c r="BJ60">
        <f t="shared" si="14"/>
        <v>110</v>
      </c>
      <c r="BK60" t="str">
        <f t="shared" si="15"/>
        <v>Dairy_cow1_org</v>
      </c>
      <c r="BL60" t="s">
        <v>127</v>
      </c>
      <c r="BM60">
        <f t="shared" si="24"/>
        <v>0</v>
      </c>
      <c r="BN60" s="32">
        <f>$AH$34</f>
        <v>0</v>
      </c>
      <c r="BO60" s="32">
        <f>AH$47</f>
        <v>0</v>
      </c>
    </row>
    <row r="61" spans="1:67" ht="17.399999999999999" x14ac:dyDescent="0.3">
      <c r="A61" s="31" t="s">
        <v>104</v>
      </c>
      <c r="BJ61">
        <f t="shared" si="14"/>
        <v>110</v>
      </c>
      <c r="BK61" t="str">
        <f t="shared" si="15"/>
        <v>Dairy_cow1_org</v>
      </c>
      <c r="BL61" t="s">
        <v>127</v>
      </c>
      <c r="BM61">
        <f t="shared" si="24"/>
        <v>0</v>
      </c>
      <c r="BN61">
        <f>$AI$34</f>
        <v>0</v>
      </c>
      <c r="BO61" s="32">
        <f>AI$47</f>
        <v>0</v>
      </c>
    </row>
    <row r="62" spans="1:67" x14ac:dyDescent="0.3">
      <c r="A62" s="21" t="s">
        <v>280</v>
      </c>
      <c r="B62" s="10" t="s">
        <v>101</v>
      </c>
      <c r="C62" s="10" t="s">
        <v>102</v>
      </c>
      <c r="D62" s="10" t="s">
        <v>103</v>
      </c>
      <c r="BI62">
        <f t="shared" si="14"/>
        <v>110</v>
      </c>
      <c r="BJ62" t="str">
        <f t="shared" si="15"/>
        <v>Dairy_cow1_org</v>
      </c>
      <c r="BK62" t="s">
        <v>127</v>
      </c>
      <c r="BL62">
        <f t="shared" si="24"/>
        <v>0</v>
      </c>
      <c r="BM62">
        <f>$AJ$34</f>
        <v>0</v>
      </c>
      <c r="BN62" s="32">
        <f>AJ$47</f>
        <v>0</v>
      </c>
    </row>
    <row r="63" spans="1:67" x14ac:dyDescent="0.3">
      <c r="A63" s="18" t="s">
        <v>86</v>
      </c>
      <c r="B63" s="19"/>
      <c r="C63" s="11">
        <v>600</v>
      </c>
      <c r="D63" s="11">
        <v>8</v>
      </c>
      <c r="E63" t="s">
        <v>278</v>
      </c>
      <c r="BI63">
        <f t="shared" ref="BI63:BJ91" si="25">$BM$32</f>
        <v>110</v>
      </c>
      <c r="BJ63" t="str">
        <f t="shared" ref="BJ63:BK91" si="26">$BM$33</f>
        <v>Dairy_cow1_org</v>
      </c>
      <c r="BK63" t="s">
        <v>127</v>
      </c>
      <c r="BL63">
        <f t="shared" ref="BL63:BM68" si="27">$B$48</f>
        <v>0</v>
      </c>
      <c r="BM63" s="64" t="str">
        <f>C48</f>
        <v>Kg</v>
      </c>
      <c r="BN63" s="32">
        <f>P48</f>
        <v>0</v>
      </c>
    </row>
    <row r="64" spans="1:67" x14ac:dyDescent="0.3">
      <c r="A64" s="18" t="s">
        <v>87</v>
      </c>
      <c r="B64" s="19"/>
      <c r="C64" s="11"/>
      <c r="D64" s="11"/>
      <c r="BI64">
        <f t="shared" si="25"/>
        <v>110</v>
      </c>
      <c r="BJ64" t="str">
        <f t="shared" si="26"/>
        <v>Dairy_cow1_org</v>
      </c>
      <c r="BK64" t="s">
        <v>127</v>
      </c>
      <c r="BL64">
        <f t="shared" si="27"/>
        <v>0</v>
      </c>
      <c r="BM64" t="str">
        <f>$AF$34</f>
        <v/>
      </c>
      <c r="BN64" s="32" t="str">
        <f>AF$48</f>
        <v/>
      </c>
    </row>
    <row r="65" spans="1:67" x14ac:dyDescent="0.3">
      <c r="A65" s="156" t="s">
        <v>56</v>
      </c>
      <c r="B65" s="159">
        <f>SUM(B63:B64)</f>
        <v>0</v>
      </c>
      <c r="C65" s="159">
        <f>SUM(C63:C64)</f>
        <v>600</v>
      </c>
      <c r="D65" s="159">
        <f>SUM(D63:D64)</f>
        <v>8</v>
      </c>
      <c r="BJ65">
        <f t="shared" si="25"/>
        <v>110</v>
      </c>
      <c r="BK65" t="str">
        <f t="shared" si="26"/>
        <v>Dairy_cow1_org</v>
      </c>
      <c r="BL65" t="s">
        <v>127</v>
      </c>
      <c r="BM65">
        <f t="shared" si="27"/>
        <v>0</v>
      </c>
      <c r="BN65">
        <f>$AG$34</f>
        <v>0</v>
      </c>
      <c r="BO65" s="32">
        <f>AG$48</f>
        <v>0</v>
      </c>
    </row>
    <row r="66" spans="1:67" ht="17.399999999999999" x14ac:dyDescent="0.3">
      <c r="P66" s="31" t="s">
        <v>266</v>
      </c>
      <c r="Q66" s="31"/>
      <c r="BJ66">
        <f t="shared" si="25"/>
        <v>110</v>
      </c>
      <c r="BK66" t="str">
        <f t="shared" si="26"/>
        <v>Dairy_cow1_org</v>
      </c>
      <c r="BL66" t="s">
        <v>127</v>
      </c>
      <c r="BM66">
        <f t="shared" si="27"/>
        <v>0</v>
      </c>
      <c r="BN66" s="32">
        <f>$AH$34</f>
        <v>0</v>
      </c>
      <c r="BO66" s="32">
        <f>AH$48</f>
        <v>0</v>
      </c>
    </row>
    <row r="67" spans="1:67" x14ac:dyDescent="0.3">
      <c r="A67" s="21" t="s">
        <v>18</v>
      </c>
      <c r="B67" s="37" t="s">
        <v>69</v>
      </c>
      <c r="C67" s="17" t="s">
        <v>70</v>
      </c>
      <c r="D67" s="17" t="s">
        <v>74</v>
      </c>
      <c r="E67" s="17" t="s">
        <v>80</v>
      </c>
      <c r="F67" s="17" t="s">
        <v>227</v>
      </c>
      <c r="I67" s="42"/>
      <c r="K67" s="17" t="s">
        <v>82</v>
      </c>
      <c r="L67" s="17" t="s">
        <v>17</v>
      </c>
      <c r="P67" s="17" t="str">
        <f>Other_tables!L4</f>
        <v>Transportmiddel</v>
      </c>
      <c r="Q67" s="54"/>
      <c r="R67" s="17" t="s">
        <v>119</v>
      </c>
      <c r="S67" s="17" t="s">
        <v>83</v>
      </c>
      <c r="T67" s="17" t="s">
        <v>97</v>
      </c>
      <c r="BJ67">
        <f t="shared" si="25"/>
        <v>110</v>
      </c>
      <c r="BK67" t="str">
        <f t="shared" si="26"/>
        <v>Dairy_cow1_org</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t="e">
        <f t="shared" ref="R68:R76" si="29">SUMPRODUCT(($D$68:$D$81=P68)*$L$68:$L$81)</f>
        <v>#N/A</v>
      </c>
      <c r="S68" s="49" t="e">
        <f t="shared" ref="S68:S76" si="30">IF(P68="","0",SUMPRODUCT(($D$68:$D$81=P68)*$K$68:$K$81))</f>
        <v>#N/A</v>
      </c>
      <c r="T68" s="49" t="e">
        <f>IF(R68&gt;0,0,(S68*VLOOKUP(P68,Other_tables!$L$5:$O$13,2,FALSE))/1000)</f>
        <v>#N/A</v>
      </c>
      <c r="U68" s="95"/>
      <c r="BJ68">
        <f t="shared" si="25"/>
        <v>110</v>
      </c>
      <c r="BK68" t="str">
        <f t="shared" si="26"/>
        <v>Dairy_cow1_org</v>
      </c>
      <c r="BL68" t="s">
        <v>127</v>
      </c>
      <c r="BM68">
        <f t="shared" si="27"/>
        <v>0</v>
      </c>
      <c r="BN68">
        <f>$AJ$34</f>
        <v>0</v>
      </c>
      <c r="BO68" s="32">
        <f>AJ$48</f>
        <v>0</v>
      </c>
    </row>
    <row r="69" spans="1:67" x14ac:dyDescent="0.3">
      <c r="A69" s="18" t="s">
        <v>45</v>
      </c>
      <c r="B69" s="38" t="s">
        <v>442</v>
      </c>
      <c r="C69" s="19">
        <v>168</v>
      </c>
      <c r="D69" s="11" t="s">
        <v>225</v>
      </c>
      <c r="E69" s="11" t="s">
        <v>81</v>
      </c>
      <c r="F69" s="5">
        <v>100</v>
      </c>
      <c r="K69" s="49">
        <f t="shared" si="28"/>
        <v>209.41787377041467</v>
      </c>
      <c r="L69" s="49">
        <f>IF(E69="Diesel",VLOOKUP(D69,Other_tables!$L$5:$O$13,2,FALSE)*K69,0)</f>
        <v>0</v>
      </c>
      <c r="P69" s="30" t="str">
        <f>Other_tables!L6</f>
        <v>Lastbil &gt; 20 T</v>
      </c>
      <c r="Q69" s="44"/>
      <c r="R69" s="159" t="e">
        <f t="shared" si="29"/>
        <v>#N/A</v>
      </c>
      <c r="S69" s="49" t="e">
        <f t="shared" si="30"/>
        <v>#N/A</v>
      </c>
      <c r="T69" s="49" t="e">
        <f>IF(R69&gt;0,0,(S69*VLOOKUP(P69,Other_tables!$L$5:$O$13,2,FALSE))/1000)</f>
        <v>#N/A</v>
      </c>
      <c r="U69" s="95"/>
      <c r="BJ69">
        <f t="shared" si="25"/>
        <v>110</v>
      </c>
      <c r="BK69" t="str">
        <f t="shared" si="26"/>
        <v>Dairy_cow1_org</v>
      </c>
      <c r="BL69" t="s">
        <v>127</v>
      </c>
      <c r="BM69">
        <f t="shared" ref="BM69:BM74" si="31">$B$49</f>
        <v>0</v>
      </c>
      <c r="BN69" s="64" t="str">
        <f>C49</f>
        <v>Kg</v>
      </c>
      <c r="BO69" s="32">
        <f>P49</f>
        <v>0</v>
      </c>
    </row>
    <row r="70" spans="1:67" x14ac:dyDescent="0.3">
      <c r="A70" s="18" t="s">
        <v>46</v>
      </c>
      <c r="B70" s="38" t="s">
        <v>444</v>
      </c>
      <c r="C70" s="19">
        <v>133</v>
      </c>
      <c r="D70" s="11" t="s">
        <v>226</v>
      </c>
      <c r="E70" s="11" t="s">
        <v>81</v>
      </c>
      <c r="F70" s="5">
        <v>80</v>
      </c>
      <c r="G70" t="s">
        <v>683</v>
      </c>
      <c r="K70" s="49">
        <f t="shared" si="28"/>
        <v>237.30214088233151</v>
      </c>
      <c r="L70" s="49">
        <f>IF(E70="Diesel",VLOOKUP(D70,Other_tables!$L$5:$O$13,2,FALSE)*K70,0)</f>
        <v>0</v>
      </c>
      <c r="P70" s="30" t="str">
        <f>Other_tables!L7</f>
        <v>Lastbil 10-20 T</v>
      </c>
      <c r="Q70" s="44"/>
      <c r="R70" s="159" t="e">
        <f t="shared" si="29"/>
        <v>#N/A</v>
      </c>
      <c r="S70" s="49" t="e">
        <f t="shared" si="30"/>
        <v>#N/A</v>
      </c>
      <c r="T70" s="49" t="e">
        <f>IF(R70&gt;0,0,(S70*VLOOKUP(P70,Other_tables!$L$5:$O$13,2,FALSE))/1000)</f>
        <v>#N/A</v>
      </c>
      <c r="BJ70">
        <f t="shared" si="25"/>
        <v>110</v>
      </c>
      <c r="BK70" t="str">
        <f t="shared" si="26"/>
        <v>Dairy_cow1_org</v>
      </c>
      <c r="BL70" t="s">
        <v>127</v>
      </c>
      <c r="BM70">
        <f t="shared" si="31"/>
        <v>0</v>
      </c>
      <c r="BN70" t="str">
        <f>$AF$34</f>
        <v/>
      </c>
      <c r="BO70" s="32" t="str">
        <f>AF$49</f>
        <v/>
      </c>
    </row>
    <row r="71" spans="1:67" x14ac:dyDescent="0.3">
      <c r="A71" s="18" t="s">
        <v>47</v>
      </c>
      <c r="B71" s="38" t="s">
        <v>444</v>
      </c>
      <c r="C71" s="19">
        <v>5</v>
      </c>
      <c r="D71" s="11" t="s">
        <v>229</v>
      </c>
      <c r="E71" s="11" t="s">
        <v>17</v>
      </c>
      <c r="F71" s="5">
        <v>20</v>
      </c>
      <c r="K71" s="49">
        <f t="shared" si="28"/>
        <v>2.2302832789692815</v>
      </c>
      <c r="L71" s="49">
        <f>IF(E71="Diesel",VLOOKUP(D71,Other_tables!$L$5:$O$13,2,FALSE)*K71,0)</f>
        <v>0.44605665579385634</v>
      </c>
      <c r="P71" s="30" t="str">
        <f>Other_tables!L8</f>
        <v>Lastbil &lt; 10 T</v>
      </c>
      <c r="Q71" s="44"/>
      <c r="R71" s="159" t="e">
        <f t="shared" si="29"/>
        <v>#N/A</v>
      </c>
      <c r="S71" s="49" t="e">
        <f t="shared" si="30"/>
        <v>#N/A</v>
      </c>
      <c r="T71" s="49" t="e">
        <f>IF(R71&gt;0,0,(S71*VLOOKUP(P71,Other_tables!$L$5:$O$13,2,FALSE))/1000)</f>
        <v>#N/A</v>
      </c>
      <c r="BJ71">
        <f t="shared" si="25"/>
        <v>110</v>
      </c>
      <c r="BK71" t="str">
        <f t="shared" si="26"/>
        <v>Dairy_cow1_org</v>
      </c>
      <c r="BL71" t="s">
        <v>127</v>
      </c>
      <c r="BM71">
        <f t="shared" si="31"/>
        <v>0</v>
      </c>
      <c r="BN71">
        <f>$AG$34</f>
        <v>0</v>
      </c>
      <c r="BO71" s="32">
        <f>AG$49</f>
        <v>0</v>
      </c>
    </row>
    <row r="72" spans="1:67" x14ac:dyDescent="0.3">
      <c r="A72" s="18" t="s">
        <v>67</v>
      </c>
      <c r="B72" s="38" t="s">
        <v>432</v>
      </c>
      <c r="C72" s="19">
        <v>5</v>
      </c>
      <c r="D72" s="11" t="s">
        <v>229</v>
      </c>
      <c r="E72" s="11" t="s">
        <v>17</v>
      </c>
      <c r="F72" s="5">
        <v>100</v>
      </c>
      <c r="K72" s="49">
        <f t="shared" si="28"/>
        <v>0.45830162501918292</v>
      </c>
      <c r="L72" s="49">
        <f>IF(E72="Diesel",VLOOKUP(D72,Other_tables!$L$5:$O$13,2,FALSE)*K72,0)</f>
        <v>9.1660325003836585E-2</v>
      </c>
      <c r="P72" s="30" t="str">
        <f>Other_tables!L9</f>
        <v>Fragttog Europa</v>
      </c>
      <c r="Q72" s="44"/>
      <c r="R72" s="159" t="e">
        <f t="shared" si="29"/>
        <v>#N/A</v>
      </c>
      <c r="S72" s="49" t="e">
        <f t="shared" si="30"/>
        <v>#N/A</v>
      </c>
      <c r="T72" s="49" t="e">
        <f>IF(R72&gt;0,0,(S72*VLOOKUP(P72,Other_tables!$L$5:$O$13,2,FALSE))/1000)</f>
        <v>#N/A</v>
      </c>
      <c r="BJ72">
        <f t="shared" si="25"/>
        <v>110</v>
      </c>
      <c r="BK72" t="str">
        <f t="shared" si="26"/>
        <v>Dairy_cow1_org</v>
      </c>
      <c r="BL72" t="s">
        <v>127</v>
      </c>
      <c r="BM72">
        <f t="shared" si="31"/>
        <v>0</v>
      </c>
      <c r="BN72" s="32">
        <f>$AH$34</f>
        <v>0</v>
      </c>
      <c r="BO72" s="32">
        <f>AH$49</f>
        <v>0</v>
      </c>
    </row>
    <row r="73" spans="1:67" x14ac:dyDescent="0.3">
      <c r="A73" s="18" t="s">
        <v>68</v>
      </c>
      <c r="B73" s="38" t="s">
        <v>663</v>
      </c>
      <c r="C73" s="19">
        <v>10</v>
      </c>
      <c r="D73" s="11" t="s">
        <v>229</v>
      </c>
      <c r="E73" s="11" t="s">
        <v>17</v>
      </c>
      <c r="F73" s="5">
        <v>100</v>
      </c>
      <c r="K73" s="49" t="e">
        <f>IF(B73="",0,((((VLOOKUP(B73,$B$12:$D$18,3,FALSE))/1000)*C73)/(VLOOKUP(B73,$B$12:$R$18,17,FALSE)/1000))*(F73/100))</f>
        <v>#N/A</v>
      </c>
      <c r="L73" s="49" t="e">
        <f>IF(E73="Diesel",VLOOKUP(D73,Other_tables!$L$5:$O$13,2,FALSE)*K73,0)</f>
        <v>#N/A</v>
      </c>
      <c r="P73" s="30" t="str">
        <f>Other_tables!L10</f>
        <v>Skib Oversøisk</v>
      </c>
      <c r="Q73" s="44"/>
      <c r="R73" s="159" t="e">
        <f t="shared" si="29"/>
        <v>#N/A</v>
      </c>
      <c r="S73" s="49" t="e">
        <f t="shared" si="30"/>
        <v>#N/A</v>
      </c>
      <c r="T73" s="49" t="e">
        <f>IF(R73&gt;0,0,(S73*VLOOKUP(P73,Other_tables!$L$5:$O$13,2,FALSE))/1000)</f>
        <v>#N/A</v>
      </c>
      <c r="BJ73">
        <f t="shared" si="25"/>
        <v>110</v>
      </c>
      <c r="BK73" t="str">
        <f t="shared" si="26"/>
        <v>Dairy_cow1_org</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t="e">
        <f t="shared" si="29"/>
        <v>#N/A</v>
      </c>
      <c r="S74" s="49" t="e">
        <f t="shared" si="30"/>
        <v>#N/A</v>
      </c>
      <c r="T74" s="49" t="e">
        <f>IF(R74&gt;0,0,(S74*VLOOKUP(P74,Other_tables!$L$5:$O$13,2,FALSE))/1000)</f>
        <v>#N/A</v>
      </c>
      <c r="BJ74">
        <f t="shared" si="25"/>
        <v>110</v>
      </c>
      <c r="BK74" t="str">
        <f t="shared" si="26"/>
        <v>Dairy_cow1_org</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t="e">
        <f t="shared" si="29"/>
        <v>#N/A</v>
      </c>
      <c r="S75" s="49" t="e">
        <f t="shared" si="30"/>
        <v>#N/A</v>
      </c>
      <c r="T75" s="49" t="e">
        <f>IF(R75&gt;0,0,(S75*VLOOKUP(P75,Other_tables!$L$5:$O$13,2,FALSE))/1000)</f>
        <v>#N/A</v>
      </c>
      <c r="BJ75">
        <f t="shared" si="25"/>
        <v>110</v>
      </c>
      <c r="BK75" t="str">
        <f t="shared" si="26"/>
        <v>Dairy_cow1_org</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t="e">
        <f t="shared" si="29"/>
        <v>#N/A</v>
      </c>
      <c r="S76" s="49" t="e">
        <f t="shared" si="30"/>
        <v>#N/A</v>
      </c>
      <c r="T76" s="49" t="e">
        <f>IF(R76&gt;0,0,(S76*VLOOKUP(P76,Other_tables!$L$5:$O$13,2,FALSE))/1000)</f>
        <v>#N/A</v>
      </c>
      <c r="BJ76">
        <f t="shared" si="25"/>
        <v>110</v>
      </c>
      <c r="BK76" t="str">
        <f t="shared" si="26"/>
        <v>Dairy_cow1_org</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t="e">
        <f>SUM(R68:R76)</f>
        <v>#N/A</v>
      </c>
      <c r="S77" s="57"/>
      <c r="T77" s="58" t="e">
        <f>SUM(T68:T76)</f>
        <v>#N/A</v>
      </c>
      <c r="BJ77">
        <f t="shared" si="25"/>
        <v>110</v>
      </c>
      <c r="BK77" t="str">
        <f t="shared" si="26"/>
        <v>Dairy_cow1_org</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110</v>
      </c>
      <c r="BK78" t="str">
        <f t="shared" si="26"/>
        <v>Dairy_cow1_org</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110</v>
      </c>
      <c r="BK79" t="str">
        <f t="shared" si="26"/>
        <v>Dairy_cow1_org</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110</v>
      </c>
      <c r="BK80" t="str">
        <f t="shared" si="26"/>
        <v>Dairy_cow1_org</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110</v>
      </c>
      <c r="BK81" t="str">
        <f t="shared" si="26"/>
        <v>Dairy_cow1_org</v>
      </c>
      <c r="BL81" t="s">
        <v>118</v>
      </c>
      <c r="BM81" t="s">
        <v>118</v>
      </c>
      <c r="BN81">
        <f>I53</f>
        <v>0</v>
      </c>
      <c r="BO81" s="47">
        <f>I59</f>
        <v>0</v>
      </c>
    </row>
    <row r="82" spans="1:67" ht="17.399999999999999" x14ac:dyDescent="0.3">
      <c r="A82" s="25"/>
      <c r="B82" s="25"/>
      <c r="C82" s="24"/>
      <c r="D82" s="24"/>
      <c r="P82" s="31" t="s">
        <v>95</v>
      </c>
      <c r="Q82" s="55"/>
      <c r="BJ82">
        <f t="shared" si="25"/>
        <v>110</v>
      </c>
      <c r="BK82" t="str">
        <f t="shared" si="26"/>
        <v>Dairy_cow1_org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110</v>
      </c>
      <c r="BK83" t="str">
        <f t="shared" si="26"/>
        <v>Dairy_cow1_org</v>
      </c>
      <c r="BL83" t="str">
        <f>$A$67</f>
        <v>Transport</v>
      </c>
      <c r="BM83" t="str">
        <f>BL83</f>
        <v>Transport</v>
      </c>
      <c r="BN83" t="str">
        <f>R67</f>
        <v>Diesel (L)</v>
      </c>
      <c r="BO83" s="47" t="e">
        <f>R77</f>
        <v>#N/A</v>
      </c>
    </row>
    <row r="84" spans="1:67" x14ac:dyDescent="0.3">
      <c r="A84" s="18" t="s">
        <v>33</v>
      </c>
      <c r="B84" s="38" t="s">
        <v>408</v>
      </c>
      <c r="C84" s="19" t="s">
        <v>217</v>
      </c>
      <c r="D84" s="28">
        <v>2.148148148148148E-2</v>
      </c>
      <c r="E84" s="28">
        <v>2.839506172839506E-3</v>
      </c>
      <c r="F84" s="5">
        <v>100</v>
      </c>
      <c r="P84" s="30" t="str">
        <f t="shared" ref="P84:P92" si="34">B84</f>
        <v>Grain_conv</v>
      </c>
      <c r="Q84" s="44"/>
      <c r="R84" s="49" t="e">
        <f>IF(D84="",0,VLOOKUP(P84,$B$12:$D$18,3,FALSE)*D84)</f>
        <v>#N/A</v>
      </c>
      <c r="S84" s="49" t="e">
        <f>IF(E84="",0,VLOOKUP(P84,$B$12:$D$18,3,FALSE)*E84)</f>
        <v>#N/A</v>
      </c>
      <c r="BJ84">
        <f t="shared" si="25"/>
        <v>110</v>
      </c>
      <c r="BK84" t="str">
        <f t="shared" si="26"/>
        <v>Dairy_cow1_org</v>
      </c>
      <c r="BL84" t="str">
        <f>$A$67</f>
        <v>Transport</v>
      </c>
      <c r="BM84" t="str">
        <f>BL84</f>
        <v>Transport</v>
      </c>
      <c r="BN84" t="str">
        <f>T67</f>
        <v>kg CO₂eq for T/km</v>
      </c>
      <c r="BO84" s="47" t="e">
        <f>T77</f>
        <v>#N/A</v>
      </c>
    </row>
    <row r="85" spans="1:67" x14ac:dyDescent="0.3">
      <c r="A85" s="18" t="s">
        <v>34</v>
      </c>
      <c r="B85" s="38"/>
      <c r="C85" s="19"/>
      <c r="D85" s="28" t="s">
        <v>445</v>
      </c>
      <c r="E85" s="28" t="s">
        <v>445</v>
      </c>
      <c r="F85" s="5">
        <v>100</v>
      </c>
      <c r="P85" s="30">
        <f t="shared" si="34"/>
        <v>0</v>
      </c>
      <c r="Q85" s="44"/>
      <c r="R85" s="49">
        <f t="shared" ref="R85:R92" si="35">IF(D85="",0,VLOOKUP(P85,$B$12:$D$18,3,FALSE)*D85)</f>
        <v>0</v>
      </c>
      <c r="S85" s="49">
        <f t="shared" ref="S85:S92" si="36">IF(E85="",0,VLOOKUP(P85,$B$12:$D$18,3,FALSE)*E85)</f>
        <v>0</v>
      </c>
      <c r="BJ85">
        <f t="shared" si="25"/>
        <v>110</v>
      </c>
      <c r="BK85" t="str">
        <f t="shared" si="26"/>
        <v>Dairy_cow1_org</v>
      </c>
      <c r="BL85" t="s">
        <v>120</v>
      </c>
      <c r="BM85" t="s">
        <v>120</v>
      </c>
      <c r="BN85" t="str">
        <f>R83</f>
        <v>EL (KWh)</v>
      </c>
      <c r="BO85" s="47" t="e">
        <f>R93</f>
        <v>#N/A</v>
      </c>
    </row>
    <row r="86" spans="1:67" x14ac:dyDescent="0.3">
      <c r="A86" s="18" t="s">
        <v>35</v>
      </c>
      <c r="B86" s="38"/>
      <c r="C86" s="19"/>
      <c r="D86" s="28">
        <v>2.0092378752886834E-2</v>
      </c>
      <c r="E86" s="28">
        <v>2.6558891454965356E-3</v>
      </c>
      <c r="F86" s="5">
        <v>100</v>
      </c>
      <c r="P86" s="30">
        <f t="shared" si="34"/>
        <v>0</v>
      </c>
      <c r="Q86" s="44"/>
      <c r="R86" s="49" t="e">
        <f>IF(D86="",0,VLOOKUP(P86,$B$12:$D$18,3,FALSE)*D86)</f>
        <v>#N/A</v>
      </c>
      <c r="S86" s="49" t="e">
        <f t="shared" si="36"/>
        <v>#N/A</v>
      </c>
      <c r="BJ86">
        <f t="shared" si="25"/>
        <v>110</v>
      </c>
      <c r="BK86" t="str">
        <f t="shared" si="26"/>
        <v>Dairy_cow1_org</v>
      </c>
      <c r="BL86" t="s">
        <v>120</v>
      </c>
      <c r="BM86" t="s">
        <v>120</v>
      </c>
      <c r="BN86" t="str">
        <f>S83</f>
        <v>Diesel (L)</v>
      </c>
      <c r="BO86" s="47" t="e">
        <f>S93</f>
        <v>#N/A</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110</v>
      </c>
      <c r="BK87" t="str">
        <f t="shared" si="26"/>
        <v>Dairy_cow1_org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110</v>
      </c>
      <c r="BK88" t="str">
        <f t="shared" si="26"/>
        <v>Dairy_cow1_org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110</v>
      </c>
      <c r="BK89" t="str">
        <f t="shared" si="26"/>
        <v>Dairy_cow1_org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110</v>
      </c>
      <c r="BK90" t="str">
        <f t="shared" si="26"/>
        <v>Dairy_cow1_org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110</v>
      </c>
      <c r="BK91" t="str">
        <f t="shared" si="26"/>
        <v>Dairy_cow1_org</v>
      </c>
      <c r="BL91" t="s">
        <v>125</v>
      </c>
      <c r="BM91" t="s">
        <v>125</v>
      </c>
      <c r="BN91" t="str">
        <f>T96</f>
        <v>Diesel (L)</v>
      </c>
      <c r="BO91" t="e">
        <f>E118</f>
        <v>#N/A</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t="e">
        <f>SUM(R84:R92)</f>
        <v>#N/A</v>
      </c>
      <c r="S93" s="58" t="e">
        <f>SUM(S84:S92)</f>
        <v>#N/A</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432</v>
      </c>
      <c r="C109" s="19" t="s">
        <v>169</v>
      </c>
      <c r="D109" s="11"/>
      <c r="E109" s="206">
        <f>IF(C109="","",IF(VLOOKUP(C109,'Diesel consumption for field op'!$B$4:$E$78,3,FALSE)="L / ton",((VLOOKUP(C109,'Diesel consumption for field op'!$B$4:$E$78,2,FALSE)*1.007)*(VLOOKUP(B109,$B$12:$D$30,3,FALSE)/1000)/(VLOOKUP(B109,$B$12:$R$30,17,FALSE)/1000)),0))</f>
        <v>4.6150973639431714E-2</v>
      </c>
    </row>
    <row r="110" spans="1:20" x14ac:dyDescent="0.3">
      <c r="A110" s="18" t="s">
        <v>87</v>
      </c>
      <c r="B110" s="38" t="s">
        <v>432</v>
      </c>
      <c r="C110" s="19" t="s">
        <v>219</v>
      </c>
      <c r="D110" s="11"/>
      <c r="E110" s="206">
        <f>IF(C110="","",IF(VLOOKUP(C110,'Diesel consumption for field op'!$B$4:$E$78,3,FALSE)="L / ton",((VLOOKUP(C110,'Diesel consumption for field op'!$B$4:$E$78,2,FALSE)*1.007)*(VLOOKUP(B110,$B$12:$D$30,3,FALSE)/1000)/(VLOOKUP(B110,$B$12:$R$30,17,FALSE)/1000)),0))</f>
        <v>0.18460389455772686</v>
      </c>
    </row>
    <row r="111" spans="1:20" x14ac:dyDescent="0.3">
      <c r="A111" s="18" t="s">
        <v>88</v>
      </c>
      <c r="B111" s="38" t="s">
        <v>432</v>
      </c>
      <c r="C111" s="19" t="s">
        <v>173</v>
      </c>
      <c r="D111" s="11"/>
      <c r="E111" s="206">
        <f>IF(C111="","",IF(VLOOKUP(C111,'Diesel consumption for field op'!$B$4:$E$78,3,FALSE)="L / ton",((VLOOKUP(C111,'Diesel consumption for field op'!$B$4:$E$78,2,FALSE)*1.007)*(VLOOKUP(B111,$B$12:$D$30,3,FALSE)/1000)/(VLOOKUP(B111,$B$12:$R$30,17,FALSE)/1000)),0))</f>
        <v>4.6150973639431714E-2</v>
      </c>
    </row>
    <row r="112" spans="1:20" x14ac:dyDescent="0.3">
      <c r="A112" s="18" t="s">
        <v>89</v>
      </c>
      <c r="B112" s="38" t="s">
        <v>663</v>
      </c>
      <c r="C112" s="19" t="s">
        <v>169</v>
      </c>
      <c r="D112" s="11"/>
      <c r="E112" s="206" t="e">
        <f>IF(C112="","",IF(VLOOKUP(C112,'Diesel consumption for field op'!$B$4:$E$78,3,FALSE)="L / ton",((VLOOKUP(C112,'Diesel consumption for field op'!$B$4:$E$78,2,FALSE)*1.007)*(VLOOKUP(B112,$B$12:$D$30,3,FALSE)/1000)/(VLOOKUP(B112,$B$12:$R$30,17,FALSE)/1000)),0))</f>
        <v>#N/A</v>
      </c>
    </row>
    <row r="113" spans="1:13" x14ac:dyDescent="0.3">
      <c r="A113" s="18" t="s">
        <v>90</v>
      </c>
      <c r="B113" s="38" t="s">
        <v>663</v>
      </c>
      <c r="C113" s="19" t="s">
        <v>219</v>
      </c>
      <c r="D113" s="11"/>
      <c r="E113" s="206" t="e">
        <f>IF(C113="","",IF(VLOOKUP(C113,'Diesel consumption for field op'!$B$4:$E$78,3,FALSE)="L / ton",((VLOOKUP(C113,'Diesel consumption for field op'!$B$4:$E$78,2,FALSE)*1.007)*(VLOOKUP(B113,$B$12:$D$30,3,FALSE)/1000)/(VLOOKUP(B113,$B$12:$R$30,17,FALSE)/1000)),0))</f>
        <v>#N/A</v>
      </c>
    </row>
    <row r="114" spans="1:13" x14ac:dyDescent="0.3">
      <c r="A114" s="18" t="s">
        <v>91</v>
      </c>
      <c r="B114" s="38" t="s">
        <v>663</v>
      </c>
      <c r="C114" s="19" t="s">
        <v>173</v>
      </c>
      <c r="D114" s="11"/>
      <c r="E114" s="206" t="e">
        <f>IF(C114="","",IF(VLOOKUP(C114,'Diesel consumption for field op'!$B$4:$E$78,3,FALSE)="L / ton",((VLOOKUP(C114,'Diesel consumption for field op'!$B$4:$E$78,2,FALSE)*1.007)*(VLOOKUP(B114,$B$12:$D$30,3,FALSE)/1000)/(VLOOKUP(B114,$B$12:$R$30,17,FALSE)/1000)),0))</f>
        <v>#N/A</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t="e">
        <f>SUM(E109:E117)</f>
        <v>#N/A</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449</v>
      </c>
      <c r="B122" s="158"/>
      <c r="C122" s="248">
        <v>0.30851096024722657</v>
      </c>
      <c r="D122" s="6" t="s">
        <v>432</v>
      </c>
      <c r="E122" s="165">
        <v>372.3</v>
      </c>
      <c r="F122" s="164">
        <f>VLOOKUP(A122,'Stable systems'!$A$4:$AK$105,35,FALSE)</f>
        <v>372.3</v>
      </c>
      <c r="G122" s="164">
        <f>VLOOKUP(A122,'Stable systems'!$A$4:$AK$105,36,FALSE)</f>
        <v>310.25</v>
      </c>
      <c r="H122" s="164">
        <f>VLOOKUP(A122,'Stable systems'!$A$4:$AK$105,37,FALSE)</f>
        <v>0</v>
      </c>
      <c r="M122" s="173">
        <f>(C122/100)*E122</f>
        <v>1.1485863050004246</v>
      </c>
    </row>
    <row r="123" spans="1:13" x14ac:dyDescent="0.3">
      <c r="A123" s="158" t="s">
        <v>450</v>
      </c>
      <c r="B123" s="158"/>
      <c r="C123" s="248">
        <v>0.27113719879707637</v>
      </c>
      <c r="D123" s="6" t="s">
        <v>432</v>
      </c>
      <c r="E123" s="165">
        <v>372.3</v>
      </c>
      <c r="F123" s="164">
        <f>VLOOKUP(A123,'Stable systems'!$A$4:$AK$105,35,FALSE)</f>
        <v>372.3</v>
      </c>
      <c r="G123" s="164">
        <f>VLOOKUP(A123,'Stable systems'!$A$4:$AK$105,36,FALSE)</f>
        <v>310.25</v>
      </c>
      <c r="H123" s="164">
        <f>VLOOKUP(A123,'Stable systems'!$A$4:$AK$105,37,FALSE)</f>
        <v>0</v>
      </c>
      <c r="M123" s="173">
        <f t="shared" ref="M123:M131" si="41">(C123/100)*E123</f>
        <v>1.0094437911215153</v>
      </c>
    </row>
    <row r="124" spans="1:13" x14ac:dyDescent="0.3">
      <c r="A124" s="158" t="s">
        <v>448</v>
      </c>
      <c r="B124" s="158"/>
      <c r="C124" s="248">
        <v>16.616245788923816</v>
      </c>
      <c r="D124" s="6" t="s">
        <v>432</v>
      </c>
      <c r="E124" s="165">
        <v>124.1</v>
      </c>
      <c r="F124" s="164">
        <f>VLOOKUP(A124,'Stable systems'!$A$4:$AK$105,35,FALSE)</f>
        <v>124.1</v>
      </c>
      <c r="G124" s="164">
        <f>VLOOKUP(A124,'Stable systems'!$A$4:$AK$105,36,FALSE)</f>
        <v>93.075000000000003</v>
      </c>
      <c r="H124" s="164">
        <f>VLOOKUP(A124,'Stable systems'!$A$4:$AK$105,37,FALSE)</f>
        <v>0</v>
      </c>
      <c r="M124" s="173">
        <f t="shared" si="41"/>
        <v>20.620761024054456</v>
      </c>
    </row>
    <row r="125" spans="1:13" x14ac:dyDescent="0.3">
      <c r="A125" s="158" t="s">
        <v>451</v>
      </c>
      <c r="B125" s="158"/>
      <c r="C125" s="248">
        <v>20.622067579152432</v>
      </c>
      <c r="D125" s="6" t="s">
        <v>432</v>
      </c>
      <c r="E125" s="165">
        <v>124.1</v>
      </c>
      <c r="F125" s="164">
        <f>VLOOKUP(A125,'Stable systems'!$A$4:$AK$105,35,FALSE)</f>
        <v>124.1</v>
      </c>
      <c r="G125" s="164">
        <f>VLOOKUP(A125,'Stable systems'!$A$4:$AK$105,36,FALSE)</f>
        <v>93.075000000000003</v>
      </c>
      <c r="H125" s="164">
        <f>VLOOKUP(A125,'Stable systems'!$A$4:$AK$105,37,FALSE)</f>
        <v>0</v>
      </c>
      <c r="M125" s="173">
        <f t="shared" si="41"/>
        <v>25.591985865728166</v>
      </c>
    </row>
    <row r="126" spans="1:13" x14ac:dyDescent="0.3">
      <c r="A126" s="158" t="s">
        <v>452</v>
      </c>
      <c r="B126" s="158"/>
      <c r="C126" s="248">
        <v>46.112887774535118</v>
      </c>
      <c r="D126" s="6" t="s">
        <v>432</v>
      </c>
      <c r="E126" s="165">
        <v>124.1</v>
      </c>
      <c r="F126" s="164">
        <f>VLOOKUP(A126,'Stable systems'!$A$4:$AK$105,35,FALSE)</f>
        <v>124.1</v>
      </c>
      <c r="G126" s="164">
        <f>VLOOKUP(A126,'Stable systems'!$A$4:$AK$105,36,FALSE)</f>
        <v>93.075000000000003</v>
      </c>
      <c r="H126" s="164">
        <f>VLOOKUP(A126,'Stable systems'!$A$4:$AK$105,37,FALSE)</f>
        <v>0</v>
      </c>
      <c r="M126" s="173">
        <f t="shared" si="41"/>
        <v>57.22609372819808</v>
      </c>
    </row>
    <row r="127" spans="1:13" x14ac:dyDescent="0.3">
      <c r="A127" s="158" t="s">
        <v>453</v>
      </c>
      <c r="B127" s="158"/>
      <c r="C127" s="248">
        <v>4.3507423733289272</v>
      </c>
      <c r="D127" s="6" t="s">
        <v>432</v>
      </c>
      <c r="E127" s="165">
        <v>124.1</v>
      </c>
      <c r="F127" s="164">
        <f>VLOOKUP(A127,'Stable systems'!$A$4:$AK$105,35,FALSE)</f>
        <v>124.1</v>
      </c>
      <c r="G127" s="164">
        <f>VLOOKUP(A127,'Stable systems'!$A$4:$AK$105,36,FALSE)</f>
        <v>93.075000000000003</v>
      </c>
      <c r="H127" s="164">
        <f>VLOOKUP(A127,'Stable systems'!$A$4:$AK$105,37,FALSE)</f>
        <v>0</v>
      </c>
      <c r="M127" s="173">
        <f t="shared" si="41"/>
        <v>5.3992712853011984</v>
      </c>
    </row>
    <row r="128" spans="1:13" x14ac:dyDescent="0.3">
      <c r="A128" s="158" t="s">
        <v>454</v>
      </c>
      <c r="B128" s="158"/>
      <c r="C128" s="248">
        <v>5.4817706833841156</v>
      </c>
      <c r="D128" s="6" t="s">
        <v>432</v>
      </c>
      <c r="E128" s="165">
        <v>3723</v>
      </c>
      <c r="F128" s="164">
        <f>VLOOKUP(A128,'Stable systems'!$A$4:$AK$105,35,FALSE)</f>
        <v>3723</v>
      </c>
      <c r="G128" s="164">
        <f>VLOOKUP(A128,'Stable systems'!$A$4:$AK$105,36,FALSE)</f>
        <v>3102.5</v>
      </c>
      <c r="H128" s="164">
        <f>VLOOKUP(A128,'Stable systems'!$A$4:$AK$105,37,FALSE)</f>
        <v>0</v>
      </c>
      <c r="M128" s="173">
        <f t="shared" si="41"/>
        <v>204.08632254239063</v>
      </c>
    </row>
    <row r="129" spans="1:16" x14ac:dyDescent="0.3">
      <c r="A129" s="158" t="s">
        <v>455</v>
      </c>
      <c r="B129" s="158"/>
      <c r="C129" s="248">
        <v>1.5548743499764188</v>
      </c>
      <c r="D129" s="6" t="s">
        <v>432</v>
      </c>
      <c r="E129" s="165">
        <v>3102.5</v>
      </c>
      <c r="F129" s="164">
        <f>VLOOKUP(A129,'Stable systems'!$A$4:$AK$105,35,FALSE)</f>
        <v>3102.5</v>
      </c>
      <c r="G129" s="164">
        <f>VLOOKUP(A129,'Stable systems'!$A$4:$AK$105,36,FALSE)</f>
        <v>2482</v>
      </c>
      <c r="H129" s="164">
        <f>VLOOKUP(A129,'Stable systems'!$A$4:$AK$105,37,FALSE)</f>
        <v>0</v>
      </c>
      <c r="M129" s="173">
        <f t="shared" si="41"/>
        <v>48.239976708018396</v>
      </c>
    </row>
    <row r="130" spans="1:16" x14ac:dyDescent="0.3">
      <c r="A130" s="158" t="s">
        <v>456</v>
      </c>
      <c r="B130" s="158"/>
      <c r="C130" s="248">
        <v>2.2340698191677713</v>
      </c>
      <c r="D130" s="6" t="s">
        <v>432</v>
      </c>
      <c r="E130" s="165">
        <v>3102.5</v>
      </c>
      <c r="F130" s="164">
        <f>VLOOKUP(A130,'Stable systems'!$A$4:$AK$105,35,FALSE)</f>
        <v>3102.5</v>
      </c>
      <c r="G130" s="164">
        <f>VLOOKUP(A130,'Stable systems'!$A$4:$AK$105,36,FALSE)</f>
        <v>2482</v>
      </c>
      <c r="H130" s="164">
        <f>VLOOKUP(A130,'Stable systems'!$A$4:$AK$105,37,FALSE)</f>
        <v>0</v>
      </c>
      <c r="M130" s="173">
        <f t="shared" si="41"/>
        <v>69.312016139680097</v>
      </c>
    </row>
    <row r="131" spans="1:16" x14ac:dyDescent="0.3">
      <c r="A131" s="158" t="s">
        <v>457</v>
      </c>
      <c r="B131" s="158"/>
      <c r="C131" s="248">
        <v>2.4476934724871002</v>
      </c>
      <c r="D131" s="6" t="s">
        <v>432</v>
      </c>
      <c r="E131" s="165">
        <v>3102.5</v>
      </c>
      <c r="F131" s="164">
        <f>VLOOKUP(A131,'Stable systems'!$A$4:$AK$105,35,FALSE)</f>
        <v>3102.5</v>
      </c>
      <c r="G131" s="164">
        <f>VLOOKUP(A131,'Stable systems'!$A$4:$AK$105,36,FALSE)</f>
        <v>2482</v>
      </c>
      <c r="H131" s="164">
        <f>VLOOKUP(A131,'Stable systems'!$A$4:$AK$105,37,FALSE)</f>
        <v>0</v>
      </c>
      <c r="M131" s="173">
        <f t="shared" si="41"/>
        <v>75.939689983912288</v>
      </c>
    </row>
    <row r="132" spans="1:16" x14ac:dyDescent="0.3">
      <c r="A132" s="158" t="s">
        <v>458</v>
      </c>
      <c r="B132" s="158"/>
      <c r="C132" s="248">
        <v>0</v>
      </c>
      <c r="D132" s="6" t="s">
        <v>432</v>
      </c>
      <c r="E132" s="165">
        <v>3102.5</v>
      </c>
      <c r="F132" s="164">
        <f>VLOOKUP(A132,'Stable systems'!$A$4:$AK$105,35,FALSE)</f>
        <v>3102.5</v>
      </c>
      <c r="G132" s="164">
        <f>VLOOKUP(A132,'Stable systems'!$A$4:$AK$105,36,FALSE)</f>
        <v>2482</v>
      </c>
      <c r="H132" s="164">
        <f>VLOOKUP(A132,'Stable systems'!$A$4:$AK$105,37,FALSE)</f>
        <v>0</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t="s">
        <v>543</v>
      </c>
      <c r="B136" s="158"/>
      <c r="C136" s="205">
        <f>((SUM(D24:D25)/D32)*100)</f>
        <v>17.831325301204821</v>
      </c>
      <c r="D136" s="12"/>
      <c r="M136" s="154"/>
    </row>
    <row r="137" spans="1:16" x14ac:dyDescent="0.3">
      <c r="B137" s="156" t="s">
        <v>56</v>
      </c>
      <c r="C137" s="241">
        <f>SUM(C122:C134)</f>
        <v>100</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417.88863675742454</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2.455372324397163</v>
      </c>
      <c r="L146" s="49">
        <f>IF(E146="Diesel",VLOOKUP(D146,Other_tables!$L$5:$O$13,2,FALSE)*K146,0)</f>
        <v>0.49107446487943263</v>
      </c>
      <c r="P146" s="30" t="str">
        <f>Other_tables!L5</f>
        <v>Traktor</v>
      </c>
      <c r="Q146" s="44"/>
      <c r="R146" s="103">
        <f t="shared" ref="R146:R154" si="44">SUMPRODUCT(($D$146:$D$149=P146)*$L$146:$L$149)</f>
        <v>0.49107446487943263</v>
      </c>
      <c r="S146" s="114">
        <f t="shared" ref="S146:S154" si="45">IF(P146="","0",SUMPRODUCT(($D$146:$D$149=P146)*$K$146:$K$149))</f>
        <v>2.455372324397163</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0.49107446487943263</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0.2472559930667943</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0.9890239722671772</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0.2472559930667943</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1.4835359584007659</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t="e">
        <f t="shared" ref="R171:R179" si="46">SUMPRODUCT(($P$68:$P$76=P171)*$R$68:$R$76)+SUMPRODUCT(($P$146:$P$154=P171)*$R$146:$R$154)</f>
        <v>#N/A</v>
      </c>
      <c r="S171" s="179"/>
      <c r="T171" s="103" t="e">
        <f t="shared" ref="T171:T179" si="47">SUMPRODUCT(($P$68:$P$76=P171)*$T$68:$T$76)+SUMPRODUCT(($P$146:$P$154=P171)*$T$146:$T$154)</f>
        <v>#N/A</v>
      </c>
    </row>
    <row r="172" spans="1:20" x14ac:dyDescent="0.3">
      <c r="A172" s="25"/>
      <c r="B172" s="138"/>
      <c r="C172" s="138"/>
      <c r="P172" s="30" t="s">
        <v>225</v>
      </c>
      <c r="Q172" s="44"/>
      <c r="R172" s="103" t="e">
        <f t="shared" si="46"/>
        <v>#N/A</v>
      </c>
      <c r="S172" s="179"/>
      <c r="T172" s="103" t="e">
        <f t="shared" si="47"/>
        <v>#N/A</v>
      </c>
    </row>
    <row r="173" spans="1:20" x14ac:dyDescent="0.3">
      <c r="A173" s="25"/>
      <c r="B173" s="138"/>
      <c r="C173" s="138"/>
      <c r="P173" s="30" t="s">
        <v>226</v>
      </c>
      <c r="Q173" s="44"/>
      <c r="R173" s="103" t="e">
        <f t="shared" si="46"/>
        <v>#N/A</v>
      </c>
      <c r="S173" s="179"/>
      <c r="T173" s="103" t="e">
        <f t="shared" si="47"/>
        <v>#N/A</v>
      </c>
    </row>
    <row r="174" spans="1:20" x14ac:dyDescent="0.3">
      <c r="A174" s="25"/>
      <c r="B174" s="138"/>
      <c r="C174" s="138"/>
      <c r="P174" s="30" t="s">
        <v>267</v>
      </c>
      <c r="Q174" s="44"/>
      <c r="R174" s="103" t="e">
        <f t="shared" si="46"/>
        <v>#N/A</v>
      </c>
      <c r="S174" s="179"/>
      <c r="T174" s="103" t="e">
        <f t="shared" si="47"/>
        <v>#N/A</v>
      </c>
    </row>
    <row r="175" spans="1:20" x14ac:dyDescent="0.3">
      <c r="A175" s="25"/>
      <c r="B175" s="24"/>
      <c r="P175" s="30" t="s">
        <v>268</v>
      </c>
      <c r="Q175" s="44"/>
      <c r="R175" s="103" t="e">
        <f t="shared" si="46"/>
        <v>#N/A</v>
      </c>
      <c r="S175" s="179"/>
      <c r="T175" s="103" t="e">
        <f t="shared" si="47"/>
        <v>#N/A</v>
      </c>
    </row>
    <row r="176" spans="1:20" x14ac:dyDescent="0.3">
      <c r="G176" s="181" t="s">
        <v>101</v>
      </c>
      <c r="H176" s="181" t="s">
        <v>102</v>
      </c>
      <c r="I176" s="181" t="s">
        <v>103</v>
      </c>
      <c r="J176" s="182" t="s">
        <v>129</v>
      </c>
      <c r="P176" s="30" t="s">
        <v>269</v>
      </c>
      <c r="Q176" s="44"/>
      <c r="R176" s="103" t="e">
        <f t="shared" si="46"/>
        <v>#N/A</v>
      </c>
      <c r="S176" s="179"/>
      <c r="T176" s="103" t="e">
        <f t="shared" si="47"/>
        <v>#N/A</v>
      </c>
    </row>
    <row r="177" spans="6:20" x14ac:dyDescent="0.3">
      <c r="F177" s="183" t="s">
        <v>279</v>
      </c>
      <c r="G177" s="81">
        <f>B65+R106+C156</f>
        <v>0</v>
      </c>
      <c r="H177" s="81" t="e">
        <f>AC31+C65+R93+S106+D118+D156+D168</f>
        <v>#N/A</v>
      </c>
      <c r="I177" s="81" t="e">
        <f>AB31+R77+D65+S93+T106+E118+R155+E156+E168</f>
        <v>#N/A</v>
      </c>
      <c r="J177" s="114" t="e">
        <f>AD31+T77+T155</f>
        <v>#N/A</v>
      </c>
      <c r="P177" s="30" t="s">
        <v>270</v>
      </c>
      <c r="Q177" s="44"/>
      <c r="R177" s="103" t="e">
        <f t="shared" si="46"/>
        <v>#N/A</v>
      </c>
      <c r="S177" s="179"/>
      <c r="T177" s="103" t="e">
        <f t="shared" si="47"/>
        <v>#N/A</v>
      </c>
    </row>
    <row r="178" spans="6:20" x14ac:dyDescent="0.3">
      <c r="P178" s="30" t="s">
        <v>271</v>
      </c>
      <c r="Q178" s="44"/>
      <c r="R178" s="103" t="e">
        <f t="shared" si="46"/>
        <v>#N/A</v>
      </c>
      <c r="S178" s="179"/>
      <c r="T178" s="103" t="e">
        <f t="shared" si="47"/>
        <v>#N/A</v>
      </c>
    </row>
    <row r="179" spans="6:20" x14ac:dyDescent="0.3">
      <c r="P179" s="30">
        <v>0</v>
      </c>
      <c r="Q179" s="44"/>
      <c r="R179" s="103" t="e">
        <f t="shared" si="46"/>
        <v>#N/A</v>
      </c>
      <c r="S179" s="179"/>
      <c r="T179" s="103" t="e">
        <f t="shared" si="47"/>
        <v>#N/A</v>
      </c>
    </row>
    <row r="180" spans="6:20" x14ac:dyDescent="0.3">
      <c r="P180" s="59" t="s">
        <v>56</v>
      </c>
      <c r="R180" s="178" t="e">
        <f>SUM(R171:R179)</f>
        <v>#N/A</v>
      </c>
      <c r="S180" s="47"/>
      <c r="T180" s="178" t="e">
        <f>SUM(T171:T179)</f>
        <v>#N/A</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68:B81 B84:B92 B109:B117" xr:uid="{00000000-0002-0000-0A00-000000000000}">
      <formula1>$AF$3:$AF$51</formula1>
    </dataValidation>
    <dataValidation type="list" allowBlank="1" showInputMessage="1" showErrorMessage="1" sqref="B97:B105 B82 B144:B145" xr:uid="{00000000-0002-0000-0A00-000001000000}">
      <formula1>$B$24:$B$30</formula1>
    </dataValidation>
    <dataValidation type="list" allowBlank="1" showInputMessage="1" showErrorMessage="1" sqref="B146:B149 B152:B155 B159:B167" xr:uid="{00000000-0002-0000-0A00-000002000000}">
      <formula1>$B$140:$B$143</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A00-000003000000}">
          <x14:formula1>
            <xm:f>'Imported products'!$B$5:$B$54</xm:f>
          </x14:formula1>
          <xm:sqref>F12:F18 B17:B18 G24:G30</xm:sqref>
        </x14:dataValidation>
        <x14:dataValidation type="list" allowBlank="1" showInputMessage="1" showErrorMessage="1" xr:uid="{00000000-0002-0000-0A00-000004000000}">
          <x14:formula1>
            <xm:f>Converted_feedstuff!$C$5:$C$54</xm:f>
          </x14:formula1>
          <xm:sqref>B24:B30 E24:E30</xm:sqref>
        </x14:dataValidation>
        <x14:dataValidation type="list" allowBlank="1" showInputMessage="1" showErrorMessage="1" xr:uid="{00000000-0002-0000-0A00-000005000000}">
          <x14:formula1>
            <xm:f>Other_tables!$G$5:$G$12</xm:f>
          </x14:formula1>
          <xm:sqref>C54:C58 C172:C174</xm:sqref>
        </x14:dataValidation>
        <x14:dataValidation type="list" allowBlank="1" showInputMessage="1" showErrorMessage="1" xr:uid="{00000000-0002-0000-0A00-000006000000}">
          <x14:formula1>
            <xm:f>'Diesel consumption for field op'!$B$4:$B$78</xm:f>
          </x14:formula1>
          <xm:sqref>C109:C117 C159:C167</xm:sqref>
        </x14:dataValidation>
        <x14:dataValidation type="list" allowBlank="1" showInputMessage="1" showErrorMessage="1" xr:uid="{00000000-0002-0000-0A00-000007000000}">
          <x14:formula1>
            <xm:f>Other_tables!$S$5:$S$22</xm:f>
          </x14:formula1>
          <xm:sqref>C84:C92</xm:sqref>
        </x14:dataValidation>
        <x14:dataValidation type="list" allowBlank="1" showInputMessage="1" showErrorMessage="1" xr:uid="{00000000-0002-0000-0A00-000008000000}">
          <x14:formula1>
            <xm:f>'Processed products'!$B$5:$B$104</xm:f>
          </x14:formula1>
          <xm:sqref>B35:B42 L35:M37</xm:sqref>
        </x14:dataValidation>
        <x14:dataValidation type="list" allowBlank="1" showInputMessage="1" showErrorMessage="1" xr:uid="{00000000-0002-0000-0A00-000009000000}">
          <x14:formula1>
            <xm:f>Other_tables!$A$5:$A$50</xm:f>
          </x14:formula1>
          <xm:sqref>C19 C33</xm:sqref>
        </x14:dataValidation>
        <x14:dataValidation type="list" allowBlank="1" showInputMessage="1" showErrorMessage="1" xr:uid="{00000000-0002-0000-0A00-00000A000000}">
          <x14:formula1>
            <xm:f>Biomass_pool_output_Tech1_modul!$A$3:$A$100</xm:f>
          </x14:formula1>
          <xm:sqref>D122:D135 B140:B143 B12:B16 E12:E18 F24:F30</xm:sqref>
        </x14:dataValidation>
        <x14:dataValidation type="list" allowBlank="1" showInputMessage="1" showErrorMessage="1" xr:uid="{00000000-0002-0000-0A00-00000C000000}">
          <x14:formula1>
            <xm:f>Other_tables!$L$5:$L$13</xm:f>
          </x14:formula1>
          <xm:sqref>D146:D149 D68:D82</xm:sqref>
        </x14:dataValidation>
        <x14:dataValidation type="list" allowBlank="1" showInputMessage="1" showErrorMessage="1" xr:uid="{00000000-0002-0000-0A00-00000D000000}">
          <x14:formula1>
            <xm:f>Other_tables!$Q$5:$Q$6</xm:f>
          </x14:formula1>
          <xm:sqref>E146:E149 E68:E82</xm:sqref>
        </x14:dataValidation>
        <x14:dataValidation type="list" allowBlank="1" showInputMessage="1" showErrorMessage="1" xr:uid="{00000000-0002-0000-0A00-00000E000000}">
          <x14:formula1>
            <xm:f>'Respiration and enteric gas los'!$A$4:$A$35</xm:f>
          </x14:formula1>
          <xm:sqref>B54</xm:sqref>
        </x14:dataValidation>
        <x14:dataValidation type="list" allowBlank="1" showInputMessage="1" showErrorMessage="1" xr:uid="{00000000-0002-0000-0A00-00000F000000}">
          <x14:formula1>
            <xm:f>'Respiration and enteric gas los'!$M$4:$M$35</xm:f>
          </x14:formula1>
          <xm:sqref>B55</xm:sqref>
        </x14:dataValidation>
        <x14:dataValidation type="list" allowBlank="1" showInputMessage="1" showErrorMessage="1" xr:uid="{00000000-0002-0000-0A00-000011000000}">
          <x14:formula1>
            <xm:f>'Processed products'!$C$5:$C$104</xm:f>
          </x14:formula1>
          <xm:sqref>D4</xm:sqref>
        </x14:dataValidation>
        <x14:dataValidation type="list" allowBlank="1" showInputMessage="1" showErrorMessage="1" xr:uid="{00000000-0002-0000-0A00-000012000000}">
          <x14:formula1>
            <xm:f>'Processed products'!$AJ$5:$AJ$104</xm:f>
          </x14:formula1>
          <xm:sqref>A136</xm:sqref>
        </x14:dataValidation>
        <x14:dataValidation type="list" allowBlank="1" showInputMessage="1" showErrorMessage="1" xr:uid="{6ABBD8DB-51F9-4A2E-9779-537288D948CC}">
          <x14:formula1>
            <xm:f>'Processed products'!$AJ$5:$AJ$250</xm:f>
          </x14:formula1>
          <xm:sqref>B45:B49</xm:sqref>
        </x14:dataValidation>
        <x14:dataValidation type="list" allowBlank="1" showInputMessage="1" showErrorMessage="1" xr:uid="{00000000-0002-0000-0A00-000010000000}">
          <x14:formula1>
            <xm:f>'Stable systems'!$A$4:$A$105</xm:f>
          </x14:formula1>
          <xm:sqref>A122:A134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249977111117893"/>
  </sheetPr>
  <dimension ref="A1:AQ105"/>
  <sheetViews>
    <sheetView zoomScale="110" zoomScaleNormal="110" workbookViewId="0">
      <pane xSplit="1" topLeftCell="AE1" activePane="topRight" state="frozen"/>
      <selection pane="topRight" activeCell="AI17" sqref="AI17"/>
    </sheetView>
  </sheetViews>
  <sheetFormatPr defaultRowHeight="14.4" x14ac:dyDescent="0.3"/>
  <cols>
    <col min="1" max="1" width="88.5546875" bestFit="1" customWidth="1"/>
    <col min="2" max="2" width="48.33203125" bestFit="1" customWidth="1"/>
    <col min="3" max="3" width="14.33203125" bestFit="1" customWidth="1"/>
    <col min="4" max="8" width="10.6640625" customWidth="1"/>
    <col min="9" max="9" width="15" bestFit="1" customWidth="1"/>
    <col min="10" max="10" width="50" customWidth="1"/>
    <col min="11" max="11" width="14.33203125" bestFit="1" customWidth="1"/>
    <col min="12" max="16" width="10.6640625" customWidth="1"/>
    <col min="17" max="17" width="15" bestFit="1" customWidth="1"/>
    <col min="18" max="18" width="32.6640625" customWidth="1"/>
    <col min="19" max="19" width="14.33203125" bestFit="1" customWidth="1"/>
    <col min="20" max="24" width="10.6640625" customWidth="1"/>
    <col min="25" max="25" width="15" bestFit="1" customWidth="1"/>
    <col min="26" max="26" width="32.6640625" customWidth="1"/>
    <col min="27" max="27" width="14.33203125" bestFit="1" customWidth="1"/>
    <col min="28" max="32" width="10.6640625" customWidth="1"/>
    <col min="33" max="33" width="15" bestFit="1" customWidth="1"/>
    <col min="34" max="34" width="8.6640625" customWidth="1"/>
    <col min="35" max="35" width="37.44140625" bestFit="1" customWidth="1"/>
    <col min="36" max="36" width="31.88671875" bestFit="1" customWidth="1"/>
    <col min="37" max="37" width="68.44140625" bestFit="1" customWidth="1"/>
  </cols>
  <sheetData>
    <row r="1" spans="1:43" ht="33" thickBot="1" x14ac:dyDescent="0.65">
      <c r="A1" s="2" t="s">
        <v>1649</v>
      </c>
      <c r="AI1" s="2" t="s">
        <v>1650</v>
      </c>
    </row>
    <row r="2" spans="1:43" ht="15" thickBot="1" x14ac:dyDescent="0.35">
      <c r="B2" s="170" t="s">
        <v>903</v>
      </c>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9"/>
      <c r="AG2" s="169"/>
      <c r="AI2" s="172" t="s">
        <v>904</v>
      </c>
      <c r="AJ2" s="172"/>
      <c r="AK2" s="172" t="s">
        <v>911</v>
      </c>
      <c r="AL2" t="s">
        <v>907</v>
      </c>
      <c r="AM2" t="s">
        <v>908</v>
      </c>
      <c r="AN2" t="s">
        <v>907</v>
      </c>
      <c r="AO2" t="s">
        <v>908</v>
      </c>
      <c r="AP2" t="s">
        <v>907</v>
      </c>
      <c r="AQ2" t="s">
        <v>908</v>
      </c>
    </row>
    <row r="3" spans="1:43" x14ac:dyDescent="0.3">
      <c r="A3" s="155" t="s">
        <v>891</v>
      </c>
      <c r="B3" s="166" t="s">
        <v>892</v>
      </c>
      <c r="C3" s="167" t="s">
        <v>896</v>
      </c>
      <c r="D3" s="167" t="s">
        <v>897</v>
      </c>
      <c r="E3" s="167" t="s">
        <v>898</v>
      </c>
      <c r="F3" s="167" t="s">
        <v>899</v>
      </c>
      <c r="G3" s="167" t="s">
        <v>900</v>
      </c>
      <c r="H3" s="167" t="s">
        <v>901</v>
      </c>
      <c r="I3" s="281" t="s">
        <v>902</v>
      </c>
      <c r="J3" s="166" t="s">
        <v>893</v>
      </c>
      <c r="K3" s="167" t="s">
        <v>896</v>
      </c>
      <c r="L3" s="167" t="s">
        <v>897</v>
      </c>
      <c r="M3" s="167" t="s">
        <v>898</v>
      </c>
      <c r="N3" s="167" t="s">
        <v>899</v>
      </c>
      <c r="O3" s="167" t="s">
        <v>900</v>
      </c>
      <c r="P3" s="167" t="s">
        <v>901</v>
      </c>
      <c r="Q3" s="284" t="s">
        <v>902</v>
      </c>
      <c r="R3" s="166" t="s">
        <v>894</v>
      </c>
      <c r="S3" s="167" t="s">
        <v>896</v>
      </c>
      <c r="T3" s="167" t="s">
        <v>897</v>
      </c>
      <c r="U3" s="167" t="s">
        <v>898</v>
      </c>
      <c r="V3" s="167" t="s">
        <v>899</v>
      </c>
      <c r="W3" s="167" t="s">
        <v>900</v>
      </c>
      <c r="X3" s="167" t="s">
        <v>901</v>
      </c>
      <c r="Y3" s="284" t="s">
        <v>902</v>
      </c>
      <c r="Z3" s="166" t="s">
        <v>895</v>
      </c>
      <c r="AA3" s="167" t="s">
        <v>896</v>
      </c>
      <c r="AB3" s="167" t="s">
        <v>897</v>
      </c>
      <c r="AC3" s="167" t="s">
        <v>898</v>
      </c>
      <c r="AD3" s="167" t="s">
        <v>899</v>
      </c>
      <c r="AE3" s="167" t="s">
        <v>900</v>
      </c>
      <c r="AF3" s="167" t="s">
        <v>901</v>
      </c>
      <c r="AG3" s="284" t="s">
        <v>902</v>
      </c>
      <c r="AH3" s="137"/>
      <c r="AI3" s="79" t="s">
        <v>851</v>
      </c>
      <c r="AJ3" s="79" t="s">
        <v>905</v>
      </c>
      <c r="AK3" s="79" t="s">
        <v>906</v>
      </c>
      <c r="AL3" s="242" t="s">
        <v>909</v>
      </c>
      <c r="AM3" s="242" t="s">
        <v>379</v>
      </c>
      <c r="AP3" s="242" t="s">
        <v>910</v>
      </c>
      <c r="AQ3" s="242" t="s">
        <v>910</v>
      </c>
    </row>
    <row r="4" spans="1:43" x14ac:dyDescent="0.3">
      <c r="A4" s="165" t="s">
        <v>239</v>
      </c>
      <c r="B4" s="99" t="s">
        <v>322</v>
      </c>
      <c r="C4" s="5">
        <v>0.82</v>
      </c>
      <c r="D4" s="5">
        <v>0.82</v>
      </c>
      <c r="E4" s="5">
        <v>0.54</v>
      </c>
      <c r="F4" s="5">
        <v>0.9</v>
      </c>
      <c r="G4" s="5">
        <v>0.28000000000000003</v>
      </c>
      <c r="H4" s="5">
        <v>0.82</v>
      </c>
      <c r="I4" s="282">
        <v>0.95</v>
      </c>
      <c r="J4" s="99" t="s">
        <v>336</v>
      </c>
      <c r="K4" s="5">
        <v>0.18</v>
      </c>
      <c r="L4" s="5">
        <v>0.18</v>
      </c>
      <c r="M4" s="5">
        <v>0.46</v>
      </c>
      <c r="N4" s="5">
        <v>0.1</v>
      </c>
      <c r="O4" s="5">
        <v>0.72</v>
      </c>
      <c r="P4" s="5">
        <v>0.18</v>
      </c>
      <c r="Q4" s="282">
        <v>0.05</v>
      </c>
      <c r="R4" s="99"/>
      <c r="S4" s="5"/>
      <c r="T4" s="5"/>
      <c r="U4" s="5"/>
      <c r="V4" s="5"/>
      <c r="W4" s="5"/>
      <c r="X4" s="5"/>
      <c r="Y4" s="282"/>
      <c r="Z4" s="99"/>
      <c r="AA4" s="5"/>
      <c r="AB4" s="5"/>
      <c r="AC4" s="5"/>
      <c r="AD4" s="5"/>
      <c r="AE4" s="5"/>
      <c r="AF4" s="5"/>
      <c r="AG4" s="285"/>
      <c r="AI4" s="5">
        <v>372.3</v>
      </c>
      <c r="AJ4" s="126">
        <v>310.25</v>
      </c>
      <c r="AK4" s="5"/>
      <c r="AL4" s="154">
        <v>232.6875</v>
      </c>
      <c r="AM4">
        <v>286.5</v>
      </c>
      <c r="AN4">
        <f>AP4*365*0.85</f>
        <v>232.6875</v>
      </c>
      <c r="AO4">
        <f>382*AQ4</f>
        <v>286.5</v>
      </c>
      <c r="AP4">
        <v>0.75</v>
      </c>
      <c r="AQ4">
        <v>0.75</v>
      </c>
    </row>
    <row r="5" spans="1:43" x14ac:dyDescent="0.3">
      <c r="A5" s="165" t="s">
        <v>240</v>
      </c>
      <c r="B5" s="99" t="s">
        <v>323</v>
      </c>
      <c r="C5" s="5">
        <v>1</v>
      </c>
      <c r="D5" s="5">
        <v>1</v>
      </c>
      <c r="E5" s="5">
        <v>1</v>
      </c>
      <c r="F5" s="5">
        <v>1</v>
      </c>
      <c r="G5" s="5">
        <v>1</v>
      </c>
      <c r="H5" s="5">
        <v>1</v>
      </c>
      <c r="I5" s="282">
        <v>1</v>
      </c>
      <c r="J5" s="99"/>
      <c r="K5" s="5"/>
      <c r="L5" s="5"/>
      <c r="M5" s="5"/>
      <c r="N5" s="5"/>
      <c r="O5" s="5"/>
      <c r="P5" s="5"/>
      <c r="Q5" s="282"/>
      <c r="R5" s="99"/>
      <c r="S5" s="5"/>
      <c r="T5" s="5"/>
      <c r="U5" s="5"/>
      <c r="V5" s="5"/>
      <c r="W5" s="5"/>
      <c r="X5" s="5"/>
      <c r="Y5" s="282"/>
      <c r="Z5" s="99"/>
      <c r="AA5" s="5"/>
      <c r="AB5" s="5"/>
      <c r="AC5" s="5"/>
      <c r="AD5" s="5"/>
      <c r="AE5" s="5"/>
      <c r="AF5" s="5"/>
      <c r="AG5" s="285"/>
      <c r="AI5" s="5">
        <v>372.3</v>
      </c>
      <c r="AJ5" s="126">
        <v>310.25</v>
      </c>
      <c r="AK5" s="5"/>
      <c r="AL5" s="154">
        <v>0</v>
      </c>
      <c r="AM5">
        <v>0</v>
      </c>
      <c r="AN5">
        <f t="shared" ref="AN5:AN15" si="0">AP5*365*0.85</f>
        <v>0</v>
      </c>
      <c r="AO5">
        <f t="shared" ref="AO5:AO15" si="1">382*AQ5</f>
        <v>0</v>
      </c>
      <c r="AP5">
        <v>0</v>
      </c>
      <c r="AQ5">
        <v>0</v>
      </c>
    </row>
    <row r="6" spans="1:43" x14ac:dyDescent="0.3">
      <c r="A6" s="165" t="s">
        <v>241</v>
      </c>
      <c r="B6" s="99" t="s">
        <v>324</v>
      </c>
      <c r="C6" s="5">
        <v>1</v>
      </c>
      <c r="D6" s="5">
        <v>1</v>
      </c>
      <c r="E6" s="5">
        <v>1</v>
      </c>
      <c r="F6" s="5">
        <v>1</v>
      </c>
      <c r="G6" s="5">
        <v>1</v>
      </c>
      <c r="H6" s="5">
        <v>1</v>
      </c>
      <c r="I6" s="282">
        <v>1</v>
      </c>
      <c r="J6" s="99"/>
      <c r="K6" s="5"/>
      <c r="L6" s="5"/>
      <c r="M6" s="5"/>
      <c r="N6" s="5"/>
      <c r="O6" s="5"/>
      <c r="P6" s="5"/>
      <c r="Q6" s="282"/>
      <c r="R6" s="99"/>
      <c r="S6" s="5"/>
      <c r="T6" s="5"/>
      <c r="U6" s="5"/>
      <c r="V6" s="5"/>
      <c r="W6" s="5"/>
      <c r="X6" s="5"/>
      <c r="Y6" s="282"/>
      <c r="Z6" s="99"/>
      <c r="AA6" s="5"/>
      <c r="AB6" s="5"/>
      <c r="AC6" s="5"/>
      <c r="AD6" s="5"/>
      <c r="AE6" s="5"/>
      <c r="AF6" s="5"/>
      <c r="AG6" s="285"/>
      <c r="AI6" s="5">
        <v>124.1</v>
      </c>
      <c r="AJ6" s="126">
        <v>93.075000000000003</v>
      </c>
      <c r="AK6" s="5"/>
      <c r="AL6">
        <v>93.075000000000003</v>
      </c>
      <c r="AM6">
        <v>114.6</v>
      </c>
      <c r="AN6">
        <f t="shared" si="0"/>
        <v>93.075000000000003</v>
      </c>
      <c r="AO6">
        <f t="shared" si="1"/>
        <v>114.6</v>
      </c>
      <c r="AP6">
        <v>0.3</v>
      </c>
      <c r="AQ6">
        <v>0.3</v>
      </c>
    </row>
    <row r="7" spans="1:43" x14ac:dyDescent="0.3">
      <c r="A7" s="165" t="s">
        <v>242</v>
      </c>
      <c r="B7" s="99" t="s">
        <v>325</v>
      </c>
      <c r="C7" s="5">
        <v>1</v>
      </c>
      <c r="D7" s="5">
        <v>1</v>
      </c>
      <c r="E7" s="5">
        <v>1</v>
      </c>
      <c r="F7" s="5">
        <v>1</v>
      </c>
      <c r="G7" s="5">
        <v>1</v>
      </c>
      <c r="H7" s="5">
        <v>1</v>
      </c>
      <c r="I7" s="282">
        <v>1</v>
      </c>
      <c r="J7" s="99"/>
      <c r="K7" s="5"/>
      <c r="L7" s="5"/>
      <c r="M7" s="5"/>
      <c r="N7" s="5"/>
      <c r="O7" s="5"/>
      <c r="P7" s="5"/>
      <c r="Q7" s="282"/>
      <c r="R7" s="99"/>
      <c r="S7" s="5"/>
      <c r="T7" s="5"/>
      <c r="U7" s="5"/>
      <c r="V7" s="5"/>
      <c r="W7" s="5"/>
      <c r="X7" s="5"/>
      <c r="Y7" s="282"/>
      <c r="Z7" s="99"/>
      <c r="AA7" s="5"/>
      <c r="AB7" s="5"/>
      <c r="AC7" s="5"/>
      <c r="AD7" s="5"/>
      <c r="AE7" s="5"/>
      <c r="AF7" s="5"/>
      <c r="AG7" s="285"/>
      <c r="AI7" s="5">
        <v>124.1</v>
      </c>
      <c r="AJ7" s="126">
        <v>93.075000000000003</v>
      </c>
      <c r="AK7" s="5"/>
      <c r="AL7">
        <v>0</v>
      </c>
      <c r="AM7">
        <v>0</v>
      </c>
      <c r="AN7">
        <f t="shared" si="0"/>
        <v>0</v>
      </c>
      <c r="AO7">
        <f t="shared" si="1"/>
        <v>0</v>
      </c>
    </row>
    <row r="8" spans="1:43" x14ac:dyDescent="0.3">
      <c r="A8" s="165" t="s">
        <v>243</v>
      </c>
      <c r="B8" s="99" t="s">
        <v>325</v>
      </c>
      <c r="C8" s="5">
        <v>1</v>
      </c>
      <c r="D8" s="5">
        <v>1</v>
      </c>
      <c r="E8" s="5">
        <v>1</v>
      </c>
      <c r="F8" s="5">
        <v>1</v>
      </c>
      <c r="G8" s="5">
        <v>1</v>
      </c>
      <c r="H8" s="5">
        <v>1</v>
      </c>
      <c r="I8" s="282">
        <v>1</v>
      </c>
      <c r="J8" s="99"/>
      <c r="K8" s="5"/>
      <c r="L8" s="5"/>
      <c r="M8" s="5"/>
      <c r="N8" s="5"/>
      <c r="O8" s="5"/>
      <c r="P8" s="5"/>
      <c r="Q8" s="282"/>
      <c r="R8" s="99"/>
      <c r="S8" s="5"/>
      <c r="T8" s="5"/>
      <c r="U8" s="5"/>
      <c r="V8" s="5"/>
      <c r="W8" s="5"/>
      <c r="X8" s="5"/>
      <c r="Y8" s="282"/>
      <c r="Z8" s="99"/>
      <c r="AA8" s="5"/>
      <c r="AB8" s="5"/>
      <c r="AC8" s="5"/>
      <c r="AD8" s="5"/>
      <c r="AE8" s="5"/>
      <c r="AF8" s="5"/>
      <c r="AG8" s="285"/>
      <c r="AI8" s="5">
        <v>124.1</v>
      </c>
      <c r="AJ8" s="126">
        <v>93.075000000000003</v>
      </c>
      <c r="AK8" s="5"/>
      <c r="AL8">
        <v>0</v>
      </c>
      <c r="AM8">
        <v>0</v>
      </c>
      <c r="AN8">
        <f t="shared" si="0"/>
        <v>0</v>
      </c>
      <c r="AO8">
        <f t="shared" si="1"/>
        <v>0</v>
      </c>
    </row>
    <row r="9" spans="1:43" x14ac:dyDescent="0.3">
      <c r="A9" s="165" t="s">
        <v>244</v>
      </c>
      <c r="B9" s="99" t="s">
        <v>326</v>
      </c>
      <c r="C9" s="5">
        <v>1</v>
      </c>
      <c r="D9" s="5">
        <v>1</v>
      </c>
      <c r="E9" s="5">
        <v>1</v>
      </c>
      <c r="F9" s="5">
        <v>1</v>
      </c>
      <c r="G9" s="5">
        <v>1</v>
      </c>
      <c r="H9" s="5">
        <v>1</v>
      </c>
      <c r="I9" s="282">
        <v>1</v>
      </c>
      <c r="J9" s="99"/>
      <c r="K9" s="5"/>
      <c r="L9" s="5"/>
      <c r="M9" s="5"/>
      <c r="N9" s="5"/>
      <c r="O9" s="5"/>
      <c r="P9" s="5"/>
      <c r="Q9" s="282"/>
      <c r="R9" s="99"/>
      <c r="S9" s="5"/>
      <c r="T9" s="5"/>
      <c r="U9" s="5"/>
      <c r="V9" s="5"/>
      <c r="W9" s="5"/>
      <c r="X9" s="5"/>
      <c r="Y9" s="282"/>
      <c r="Z9" s="99"/>
      <c r="AA9" s="5"/>
      <c r="AB9" s="5"/>
      <c r="AC9" s="5"/>
      <c r="AD9" s="5"/>
      <c r="AE9" s="5"/>
      <c r="AF9" s="5"/>
      <c r="AG9" s="285"/>
      <c r="AI9" s="5">
        <v>124.1</v>
      </c>
      <c r="AJ9" s="126">
        <v>93.075000000000003</v>
      </c>
      <c r="AK9" s="5"/>
      <c r="AL9">
        <v>0</v>
      </c>
      <c r="AM9">
        <v>0</v>
      </c>
      <c r="AN9">
        <f t="shared" si="0"/>
        <v>0</v>
      </c>
      <c r="AO9">
        <f t="shared" si="1"/>
        <v>0</v>
      </c>
    </row>
    <row r="10" spans="1:43" x14ac:dyDescent="0.3">
      <c r="A10" s="165" t="s">
        <v>245</v>
      </c>
      <c r="B10" s="99" t="s">
        <v>327</v>
      </c>
      <c r="C10" s="5">
        <v>1</v>
      </c>
      <c r="D10" s="5">
        <v>1</v>
      </c>
      <c r="E10" s="5">
        <v>1</v>
      </c>
      <c r="F10" s="5">
        <v>1</v>
      </c>
      <c r="G10" s="5">
        <v>1</v>
      </c>
      <c r="H10" s="5">
        <v>1</v>
      </c>
      <c r="I10" s="282">
        <v>1</v>
      </c>
      <c r="J10" s="99"/>
      <c r="K10" s="5"/>
      <c r="L10" s="5"/>
      <c r="M10" s="5"/>
      <c r="N10" s="5"/>
      <c r="O10" s="5"/>
      <c r="P10" s="5"/>
      <c r="Q10" s="282"/>
      <c r="R10" s="99"/>
      <c r="S10" s="5"/>
      <c r="T10" s="5"/>
      <c r="U10" s="5"/>
      <c r="V10" s="5"/>
      <c r="W10" s="5"/>
      <c r="X10" s="5"/>
      <c r="Y10" s="282"/>
      <c r="Z10" s="99"/>
      <c r="AA10" s="5"/>
      <c r="AB10" s="5"/>
      <c r="AC10" s="5"/>
      <c r="AD10" s="5"/>
      <c r="AE10" s="5"/>
      <c r="AF10" s="5"/>
      <c r="AG10" s="285"/>
      <c r="AI10" s="5">
        <v>3723</v>
      </c>
      <c r="AJ10" s="126">
        <v>3102.5</v>
      </c>
      <c r="AK10" s="5"/>
      <c r="AL10">
        <v>1551.25</v>
      </c>
      <c r="AM10">
        <v>1146</v>
      </c>
      <c r="AN10">
        <f t="shared" si="0"/>
        <v>1551.25</v>
      </c>
      <c r="AO10">
        <f t="shared" si="1"/>
        <v>1146</v>
      </c>
      <c r="AP10">
        <v>5</v>
      </c>
      <c r="AQ10">
        <v>3</v>
      </c>
    </row>
    <row r="11" spans="1:43" x14ac:dyDescent="0.3">
      <c r="A11" s="165" t="s">
        <v>246</v>
      </c>
      <c r="B11" s="99" t="s">
        <v>328</v>
      </c>
      <c r="C11" s="5">
        <v>0.79</v>
      </c>
      <c r="D11" s="5">
        <v>0.79</v>
      </c>
      <c r="E11" s="5">
        <v>0.64</v>
      </c>
      <c r="F11" s="5">
        <v>0.63</v>
      </c>
      <c r="G11" s="5">
        <v>0.72</v>
      </c>
      <c r="H11" s="5">
        <v>0.79</v>
      </c>
      <c r="I11" s="282">
        <v>0.95</v>
      </c>
      <c r="J11" s="99" t="s">
        <v>337</v>
      </c>
      <c r="K11" s="5">
        <v>0.21</v>
      </c>
      <c r="L11" s="5">
        <v>0.21</v>
      </c>
      <c r="M11" s="5">
        <v>0.36</v>
      </c>
      <c r="N11" s="5">
        <v>0.37</v>
      </c>
      <c r="O11" s="5">
        <v>0.28000000000000003</v>
      </c>
      <c r="P11" s="5">
        <v>0.21</v>
      </c>
      <c r="Q11" s="282">
        <v>0.05</v>
      </c>
      <c r="R11" s="99"/>
      <c r="S11" s="5"/>
      <c r="T11" s="5"/>
      <c r="U11" s="5"/>
      <c r="V11" s="5"/>
      <c r="W11" s="5"/>
      <c r="X11" s="5"/>
      <c r="Y11" s="282"/>
      <c r="Z11" s="99"/>
      <c r="AA11" s="5"/>
      <c r="AB11" s="5"/>
      <c r="AC11" s="5"/>
      <c r="AD11" s="5"/>
      <c r="AE11" s="5"/>
      <c r="AF11" s="5"/>
      <c r="AG11" s="285"/>
      <c r="AI11" s="5">
        <v>3102.5</v>
      </c>
      <c r="AJ11" s="126">
        <v>2482</v>
      </c>
      <c r="AK11" s="5"/>
      <c r="AL11">
        <v>1241</v>
      </c>
      <c r="AM11">
        <v>993.2</v>
      </c>
      <c r="AN11">
        <f t="shared" si="0"/>
        <v>1241</v>
      </c>
      <c r="AO11">
        <f t="shared" si="1"/>
        <v>993.2</v>
      </c>
      <c r="AP11">
        <v>4</v>
      </c>
      <c r="AQ11">
        <v>2.6</v>
      </c>
    </row>
    <row r="12" spans="1:43" x14ac:dyDescent="0.3">
      <c r="A12" s="165" t="s">
        <v>247</v>
      </c>
      <c r="B12" s="99" t="s">
        <v>328</v>
      </c>
      <c r="C12" s="5">
        <v>0.79</v>
      </c>
      <c r="D12" s="5">
        <v>0.79</v>
      </c>
      <c r="E12" s="5">
        <v>0.63</v>
      </c>
      <c r="F12" s="5">
        <v>0.63</v>
      </c>
      <c r="G12" s="5">
        <v>0.72</v>
      </c>
      <c r="H12" s="5">
        <v>0.79</v>
      </c>
      <c r="I12" s="282">
        <v>0.95</v>
      </c>
      <c r="J12" s="99" t="s">
        <v>338</v>
      </c>
      <c r="K12" s="5">
        <v>0.21</v>
      </c>
      <c r="L12" s="5">
        <v>0.21</v>
      </c>
      <c r="M12" s="5">
        <v>0.37</v>
      </c>
      <c r="N12" s="5">
        <v>0.37</v>
      </c>
      <c r="O12" s="5">
        <v>0.28000000000000003</v>
      </c>
      <c r="P12" s="5">
        <v>0.21</v>
      </c>
      <c r="Q12" s="282">
        <v>0.05</v>
      </c>
      <c r="R12" s="99"/>
      <c r="S12" s="5"/>
      <c r="T12" s="5"/>
      <c r="U12" s="5"/>
      <c r="V12" s="5"/>
      <c r="W12" s="5"/>
      <c r="X12" s="5"/>
      <c r="Y12" s="282"/>
      <c r="Z12" s="99"/>
      <c r="AA12" s="5"/>
      <c r="AB12" s="5"/>
      <c r="AC12" s="5"/>
      <c r="AD12" s="5"/>
      <c r="AE12" s="5"/>
      <c r="AF12" s="5"/>
      <c r="AG12" s="285"/>
      <c r="AI12" s="5">
        <v>3102.5</v>
      </c>
      <c r="AJ12" s="126">
        <v>2482</v>
      </c>
      <c r="AK12" s="5"/>
      <c r="AL12">
        <v>1241</v>
      </c>
      <c r="AM12">
        <v>993.2</v>
      </c>
      <c r="AN12">
        <f t="shared" si="0"/>
        <v>1241</v>
      </c>
      <c r="AO12">
        <f t="shared" si="1"/>
        <v>993.2</v>
      </c>
      <c r="AP12">
        <v>4</v>
      </c>
      <c r="AQ12">
        <v>2.6</v>
      </c>
    </row>
    <row r="13" spans="1:43" x14ac:dyDescent="0.3">
      <c r="A13" s="165" t="s">
        <v>248</v>
      </c>
      <c r="B13" s="99" t="s">
        <v>328</v>
      </c>
      <c r="C13" s="5">
        <v>0.79</v>
      </c>
      <c r="D13" s="5">
        <v>0.79</v>
      </c>
      <c r="E13" s="5">
        <v>0.63</v>
      </c>
      <c r="F13" s="5">
        <v>0.63</v>
      </c>
      <c r="G13" s="5">
        <v>0.72</v>
      </c>
      <c r="H13" s="5">
        <v>0.79</v>
      </c>
      <c r="I13" s="282">
        <v>0.95</v>
      </c>
      <c r="J13" s="99" t="s">
        <v>339</v>
      </c>
      <c r="K13" s="5">
        <v>0.21</v>
      </c>
      <c r="L13" s="5">
        <v>0.21</v>
      </c>
      <c r="M13" s="5">
        <v>0.37</v>
      </c>
      <c r="N13" s="5">
        <v>0.37</v>
      </c>
      <c r="O13" s="5">
        <v>0.28000000000000003</v>
      </c>
      <c r="P13" s="5">
        <v>0.21</v>
      </c>
      <c r="Q13" s="282">
        <v>0.05</v>
      </c>
      <c r="R13" s="99"/>
      <c r="S13" s="5"/>
      <c r="T13" s="5"/>
      <c r="U13" s="5"/>
      <c r="V13" s="5"/>
      <c r="W13" s="5"/>
      <c r="X13" s="5"/>
      <c r="Y13" s="282"/>
      <c r="Z13" s="99"/>
      <c r="AA13" s="5"/>
      <c r="AB13" s="5"/>
      <c r="AC13" s="5"/>
      <c r="AD13" s="5"/>
      <c r="AE13" s="5"/>
      <c r="AF13" s="5"/>
      <c r="AG13" s="285"/>
      <c r="AI13" s="5">
        <v>3102.5</v>
      </c>
      <c r="AJ13" s="126">
        <v>2482</v>
      </c>
      <c r="AK13" s="5"/>
      <c r="AL13">
        <v>1241</v>
      </c>
      <c r="AM13">
        <v>993.2</v>
      </c>
      <c r="AN13">
        <f t="shared" si="0"/>
        <v>1241</v>
      </c>
      <c r="AO13">
        <f t="shared" si="1"/>
        <v>993.2</v>
      </c>
      <c r="AP13">
        <v>4</v>
      </c>
      <c r="AQ13">
        <v>2.6</v>
      </c>
    </row>
    <row r="14" spans="1:43" x14ac:dyDescent="0.3">
      <c r="A14" s="165" t="s">
        <v>249</v>
      </c>
      <c r="B14" s="99" t="s">
        <v>328</v>
      </c>
      <c r="C14" s="5">
        <v>0.79</v>
      </c>
      <c r="D14" s="5">
        <v>0.79</v>
      </c>
      <c r="E14" s="5">
        <v>0.63</v>
      </c>
      <c r="F14" s="5">
        <v>0.63</v>
      </c>
      <c r="G14" s="5">
        <v>0.72</v>
      </c>
      <c r="H14" s="5">
        <v>0.79</v>
      </c>
      <c r="I14" s="282">
        <v>0.95</v>
      </c>
      <c r="J14" s="99" t="s">
        <v>326</v>
      </c>
      <c r="K14" s="5">
        <v>0.21</v>
      </c>
      <c r="L14" s="5">
        <v>0.21</v>
      </c>
      <c r="M14" s="5">
        <v>0.37</v>
      </c>
      <c r="N14" s="5">
        <v>0.37</v>
      </c>
      <c r="O14" s="5">
        <v>0.28000000000000003</v>
      </c>
      <c r="P14" s="5">
        <v>0.21</v>
      </c>
      <c r="Q14" s="282">
        <v>0.05</v>
      </c>
      <c r="R14" s="99"/>
      <c r="S14" s="5"/>
      <c r="T14" s="5"/>
      <c r="U14" s="5"/>
      <c r="V14" s="5"/>
      <c r="W14" s="5"/>
      <c r="X14" s="5"/>
      <c r="Y14" s="282"/>
      <c r="Z14" s="99"/>
      <c r="AA14" s="5"/>
      <c r="AB14" s="5"/>
      <c r="AC14" s="5"/>
      <c r="AD14" s="5"/>
      <c r="AE14" s="5"/>
      <c r="AF14" s="5"/>
      <c r="AG14" s="285"/>
      <c r="AI14" s="5">
        <v>3102.5</v>
      </c>
      <c r="AJ14" s="126">
        <v>2482</v>
      </c>
      <c r="AK14" s="5"/>
      <c r="AL14">
        <v>1241</v>
      </c>
      <c r="AM14">
        <v>993.2</v>
      </c>
      <c r="AN14">
        <f t="shared" si="0"/>
        <v>1241</v>
      </c>
      <c r="AO14">
        <f t="shared" si="1"/>
        <v>993.2</v>
      </c>
      <c r="AP14">
        <v>4</v>
      </c>
      <c r="AQ14">
        <v>2.6</v>
      </c>
    </row>
    <row r="15" spans="1:43" x14ac:dyDescent="0.3">
      <c r="A15" s="165" t="s">
        <v>292</v>
      </c>
      <c r="B15" s="99" t="s">
        <v>329</v>
      </c>
      <c r="C15" s="5">
        <v>1</v>
      </c>
      <c r="D15" s="5">
        <v>1</v>
      </c>
      <c r="E15" s="5">
        <v>1</v>
      </c>
      <c r="F15" s="5">
        <v>1</v>
      </c>
      <c r="G15" s="5">
        <v>1</v>
      </c>
      <c r="H15" s="5">
        <v>1</v>
      </c>
      <c r="I15" s="282">
        <v>1</v>
      </c>
      <c r="J15" s="99"/>
      <c r="K15" s="5"/>
      <c r="L15" s="5"/>
      <c r="M15" s="5"/>
      <c r="N15" s="5"/>
      <c r="O15" s="5"/>
      <c r="P15" s="5"/>
      <c r="Q15" s="282"/>
      <c r="R15" s="99"/>
      <c r="S15" s="5"/>
      <c r="T15" s="5"/>
      <c r="U15" s="5"/>
      <c r="V15" s="5"/>
      <c r="W15" s="5"/>
      <c r="X15" s="5"/>
      <c r="Y15" s="282"/>
      <c r="Z15" s="99"/>
      <c r="AA15" s="5"/>
      <c r="AB15" s="5"/>
      <c r="AC15" s="5"/>
      <c r="AD15" s="5"/>
      <c r="AE15" s="5"/>
      <c r="AF15" s="5"/>
      <c r="AG15" s="285"/>
      <c r="AI15" s="5">
        <v>0</v>
      </c>
      <c r="AJ15" s="5">
        <v>0</v>
      </c>
      <c r="AK15" s="5"/>
      <c r="AL15">
        <v>0</v>
      </c>
      <c r="AM15">
        <v>0</v>
      </c>
      <c r="AN15">
        <f t="shared" si="0"/>
        <v>0</v>
      </c>
      <c r="AO15">
        <f t="shared" si="1"/>
        <v>0</v>
      </c>
      <c r="AP15">
        <v>0</v>
      </c>
    </row>
    <row r="16" spans="1:43" x14ac:dyDescent="0.3">
      <c r="A16" s="165" t="s">
        <v>302</v>
      </c>
      <c r="B16" s="99" t="s">
        <v>343</v>
      </c>
      <c r="C16" s="5">
        <v>1</v>
      </c>
      <c r="D16" s="5">
        <v>1</v>
      </c>
      <c r="E16" s="5">
        <v>1</v>
      </c>
      <c r="F16" s="5">
        <v>1</v>
      </c>
      <c r="G16" s="5">
        <v>1</v>
      </c>
      <c r="H16" s="5">
        <v>1</v>
      </c>
      <c r="I16" s="282">
        <v>1</v>
      </c>
      <c r="J16" s="99"/>
      <c r="K16" s="5"/>
      <c r="L16" s="5"/>
      <c r="M16" s="5"/>
      <c r="N16" s="5"/>
      <c r="O16" s="5"/>
      <c r="P16" s="5"/>
      <c r="Q16" s="282"/>
      <c r="R16" s="99"/>
      <c r="S16" s="5"/>
      <c r="T16" s="5"/>
      <c r="U16" s="5"/>
      <c r="V16" s="5"/>
      <c r="W16" s="5"/>
      <c r="X16" s="5"/>
      <c r="Y16" s="282"/>
      <c r="Z16" s="99"/>
      <c r="AA16" s="5"/>
      <c r="AB16" s="5"/>
      <c r="AC16" s="5"/>
      <c r="AD16" s="5"/>
      <c r="AE16" s="5"/>
      <c r="AF16" s="5"/>
      <c r="AG16" s="285"/>
      <c r="AK16" s="126">
        <v>0</v>
      </c>
    </row>
    <row r="17" spans="1:37" x14ac:dyDescent="0.3">
      <c r="A17" s="165" t="s">
        <v>303</v>
      </c>
      <c r="B17" s="99" t="s">
        <v>330</v>
      </c>
      <c r="C17" s="5">
        <v>0.73</v>
      </c>
      <c r="D17" s="5">
        <v>0.73</v>
      </c>
      <c r="E17" s="5">
        <v>0.37</v>
      </c>
      <c r="F17" s="5">
        <v>0.66</v>
      </c>
      <c r="G17" s="5">
        <v>0.42</v>
      </c>
      <c r="H17" s="5">
        <v>0.73</v>
      </c>
      <c r="I17" s="282">
        <v>0.95</v>
      </c>
      <c r="J17" s="99" t="s">
        <v>340</v>
      </c>
      <c r="K17" s="5">
        <v>0.27</v>
      </c>
      <c r="L17" s="5">
        <v>0.27</v>
      </c>
      <c r="M17" s="5">
        <v>0.63</v>
      </c>
      <c r="N17" s="5">
        <v>0.34</v>
      </c>
      <c r="O17" s="5">
        <v>0.57999999999999996</v>
      </c>
      <c r="P17" s="5">
        <v>0.27</v>
      </c>
      <c r="Q17" s="282">
        <v>0.05</v>
      </c>
      <c r="R17" s="99"/>
      <c r="S17" s="5"/>
      <c r="T17" s="5"/>
      <c r="U17" s="5"/>
      <c r="V17" s="5"/>
      <c r="W17" s="5"/>
      <c r="X17" s="5"/>
      <c r="Y17" s="282"/>
      <c r="Z17" s="99"/>
      <c r="AA17" s="5"/>
      <c r="AB17" s="5"/>
      <c r="AC17" s="5"/>
      <c r="AD17" s="5"/>
      <c r="AE17" s="5"/>
      <c r="AF17" s="5"/>
      <c r="AG17" s="285"/>
      <c r="AK17" s="126">
        <v>63.75</v>
      </c>
    </row>
    <row r="18" spans="1:37" x14ac:dyDescent="0.3">
      <c r="A18" s="165" t="s">
        <v>304</v>
      </c>
      <c r="B18" s="99" t="s">
        <v>331</v>
      </c>
      <c r="C18" s="5">
        <v>0.65</v>
      </c>
      <c r="D18" s="5">
        <v>0.65</v>
      </c>
      <c r="E18" s="5">
        <v>0.32</v>
      </c>
      <c r="F18" s="5">
        <v>0.36</v>
      </c>
      <c r="G18" s="5">
        <v>0.56000000000000005</v>
      </c>
      <c r="H18" s="5">
        <v>0.65</v>
      </c>
      <c r="I18" s="282">
        <v>0.95</v>
      </c>
      <c r="J18" s="99" t="s">
        <v>342</v>
      </c>
      <c r="K18" s="5">
        <v>0.35</v>
      </c>
      <c r="L18" s="5">
        <v>0.35</v>
      </c>
      <c r="M18" s="5">
        <v>0.68</v>
      </c>
      <c r="N18" s="5">
        <v>0.64</v>
      </c>
      <c r="O18" s="5">
        <v>0.44</v>
      </c>
      <c r="P18" s="5">
        <v>0.35</v>
      </c>
      <c r="Q18" s="282">
        <v>0.05</v>
      </c>
      <c r="R18" s="99"/>
      <c r="S18" s="5"/>
      <c r="T18" s="5"/>
      <c r="U18" s="5"/>
      <c r="V18" s="5"/>
      <c r="W18" s="5"/>
      <c r="X18" s="5"/>
      <c r="Y18" s="282"/>
      <c r="Z18" s="99"/>
      <c r="AA18" s="5"/>
      <c r="AB18" s="5"/>
      <c r="AC18" s="5"/>
      <c r="AD18" s="5"/>
      <c r="AE18" s="5"/>
      <c r="AF18" s="5"/>
      <c r="AG18" s="285"/>
      <c r="AK18" s="126">
        <v>297.5</v>
      </c>
    </row>
    <row r="19" spans="1:37" x14ac:dyDescent="0.3">
      <c r="A19" s="165" t="s">
        <v>305</v>
      </c>
      <c r="B19" s="99" t="s">
        <v>331</v>
      </c>
      <c r="C19" s="5">
        <v>0.65</v>
      </c>
      <c r="D19" s="5">
        <v>0.65</v>
      </c>
      <c r="E19" s="5">
        <v>0.33</v>
      </c>
      <c r="F19" s="5">
        <v>0.36</v>
      </c>
      <c r="G19" s="5">
        <v>0.56000000000000005</v>
      </c>
      <c r="H19" s="5">
        <v>0.65</v>
      </c>
      <c r="I19" s="282">
        <v>0.95</v>
      </c>
      <c r="J19" s="99" t="s">
        <v>341</v>
      </c>
      <c r="K19" s="5">
        <v>0.35</v>
      </c>
      <c r="L19" s="5">
        <v>0.35</v>
      </c>
      <c r="M19" s="5">
        <v>0.67</v>
      </c>
      <c r="N19" s="5">
        <v>0.64</v>
      </c>
      <c r="O19" s="5">
        <v>0.44</v>
      </c>
      <c r="P19" s="5">
        <v>0.35</v>
      </c>
      <c r="Q19" s="282">
        <v>0.05</v>
      </c>
      <c r="R19" s="99"/>
      <c r="S19" s="5"/>
      <c r="T19" s="5"/>
      <c r="U19" s="5"/>
      <c r="V19" s="5"/>
      <c r="W19" s="5"/>
      <c r="X19" s="5"/>
      <c r="Y19" s="282"/>
      <c r="Z19" s="99"/>
      <c r="AA19" s="5"/>
      <c r="AB19" s="5"/>
      <c r="AC19" s="5"/>
      <c r="AD19" s="5"/>
      <c r="AE19" s="5"/>
      <c r="AF19" s="5"/>
      <c r="AG19" s="285"/>
      <c r="AK19" s="126">
        <v>297.5</v>
      </c>
    </row>
    <row r="20" spans="1:37" x14ac:dyDescent="0.3">
      <c r="A20" s="165" t="s">
        <v>306</v>
      </c>
      <c r="B20" s="99" t="s">
        <v>331</v>
      </c>
      <c r="C20" s="5">
        <v>1</v>
      </c>
      <c r="D20" s="5">
        <v>1</v>
      </c>
      <c r="E20" s="5">
        <v>1</v>
      </c>
      <c r="F20" s="5">
        <v>1</v>
      </c>
      <c r="G20" s="5">
        <v>1</v>
      </c>
      <c r="H20" s="5">
        <v>1</v>
      </c>
      <c r="I20" s="282">
        <v>1</v>
      </c>
      <c r="J20" s="99"/>
      <c r="K20" s="5"/>
      <c r="L20" s="5"/>
      <c r="M20" s="5"/>
      <c r="N20" s="5"/>
      <c r="O20" s="5"/>
      <c r="P20" s="5"/>
      <c r="Q20" s="282"/>
      <c r="R20" s="99"/>
      <c r="S20" s="5"/>
      <c r="T20" s="5"/>
      <c r="U20" s="5"/>
      <c r="V20" s="5"/>
      <c r="W20" s="5"/>
      <c r="X20" s="5"/>
      <c r="Y20" s="282"/>
      <c r="Z20" s="99"/>
      <c r="AA20" s="5"/>
      <c r="AB20" s="5"/>
      <c r="AC20" s="5"/>
      <c r="AD20" s="5"/>
      <c r="AE20" s="5"/>
      <c r="AF20" s="5"/>
      <c r="AG20" s="285"/>
      <c r="AK20" s="126">
        <v>765</v>
      </c>
    </row>
    <row r="21" spans="1:37" x14ac:dyDescent="0.3">
      <c r="A21" s="165" t="s">
        <v>307</v>
      </c>
      <c r="B21" s="99" t="s">
        <v>332</v>
      </c>
      <c r="C21" s="5">
        <v>1</v>
      </c>
      <c r="D21" s="5">
        <v>1</v>
      </c>
      <c r="E21" s="5">
        <v>1</v>
      </c>
      <c r="F21" s="5">
        <v>1</v>
      </c>
      <c r="G21" s="5">
        <v>1</v>
      </c>
      <c r="H21" s="5">
        <v>1</v>
      </c>
      <c r="I21" s="282">
        <v>1</v>
      </c>
      <c r="J21" s="99"/>
      <c r="K21" s="5"/>
      <c r="L21" s="5"/>
      <c r="M21" s="5"/>
      <c r="N21" s="5"/>
      <c r="O21" s="5"/>
      <c r="P21" s="5"/>
      <c r="Q21" s="282"/>
      <c r="R21" s="99"/>
      <c r="S21" s="5"/>
      <c r="T21" s="5"/>
      <c r="U21" s="5"/>
      <c r="V21" s="5"/>
      <c r="W21" s="5"/>
      <c r="X21" s="5"/>
      <c r="Y21" s="282"/>
      <c r="Z21" s="99"/>
      <c r="AA21" s="5"/>
      <c r="AB21" s="5"/>
      <c r="AC21" s="5"/>
      <c r="AD21" s="5"/>
      <c r="AE21" s="5"/>
      <c r="AF21" s="5"/>
      <c r="AG21" s="285"/>
      <c r="AK21" s="126">
        <v>42.5</v>
      </c>
    </row>
    <row r="22" spans="1:37" x14ac:dyDescent="0.3">
      <c r="A22" s="165" t="s">
        <v>308</v>
      </c>
      <c r="B22" s="99" t="s">
        <v>333</v>
      </c>
      <c r="C22" s="5">
        <v>1</v>
      </c>
      <c r="D22" s="5">
        <v>1</v>
      </c>
      <c r="E22" s="5">
        <v>1</v>
      </c>
      <c r="F22" s="5">
        <v>1</v>
      </c>
      <c r="G22" s="5">
        <v>1</v>
      </c>
      <c r="H22" s="5">
        <v>1</v>
      </c>
      <c r="I22" s="282">
        <v>1</v>
      </c>
      <c r="J22" s="99"/>
      <c r="K22" s="5"/>
      <c r="L22" s="5"/>
      <c r="M22" s="5"/>
      <c r="N22" s="5"/>
      <c r="O22" s="5"/>
      <c r="P22" s="5"/>
      <c r="Q22" s="282"/>
      <c r="R22" s="99"/>
      <c r="S22" s="5"/>
      <c r="T22" s="5"/>
      <c r="U22" s="5"/>
      <c r="V22" s="5"/>
      <c r="W22" s="5"/>
      <c r="X22" s="5"/>
      <c r="Y22" s="282"/>
      <c r="Z22" s="99"/>
      <c r="AA22" s="5"/>
      <c r="AB22" s="5"/>
      <c r="AC22" s="5"/>
      <c r="AD22" s="5"/>
      <c r="AE22" s="5"/>
      <c r="AF22" s="5"/>
      <c r="AG22" s="285"/>
      <c r="AK22" s="126">
        <v>0</v>
      </c>
    </row>
    <row r="23" spans="1:37" x14ac:dyDescent="0.3">
      <c r="A23" s="165" t="s">
        <v>309</v>
      </c>
      <c r="B23" s="99" t="s">
        <v>334</v>
      </c>
      <c r="C23" s="5">
        <v>1</v>
      </c>
      <c r="D23" s="5">
        <v>1</v>
      </c>
      <c r="E23" s="5">
        <v>1</v>
      </c>
      <c r="F23" s="5">
        <v>1</v>
      </c>
      <c r="G23" s="5">
        <v>1</v>
      </c>
      <c r="H23" s="5">
        <v>1</v>
      </c>
      <c r="I23" s="282">
        <v>1</v>
      </c>
      <c r="J23" s="99"/>
      <c r="K23" s="5"/>
      <c r="L23" s="5"/>
      <c r="M23" s="5"/>
      <c r="N23" s="5"/>
      <c r="O23" s="5"/>
      <c r="P23" s="5"/>
      <c r="Q23" s="282"/>
      <c r="R23" s="99"/>
      <c r="S23" s="5"/>
      <c r="T23" s="5"/>
      <c r="U23" s="5"/>
      <c r="V23" s="5"/>
      <c r="W23" s="5"/>
      <c r="X23" s="5"/>
      <c r="Y23" s="282"/>
      <c r="Z23" s="99"/>
      <c r="AA23" s="5"/>
      <c r="AB23" s="5"/>
      <c r="AC23" s="5"/>
      <c r="AD23" s="5"/>
      <c r="AE23" s="5"/>
      <c r="AF23" s="5"/>
      <c r="AG23" s="285"/>
      <c r="AK23" s="126">
        <v>0</v>
      </c>
    </row>
    <row r="24" spans="1:37" x14ac:dyDescent="0.3">
      <c r="A24" s="165" t="s">
        <v>310</v>
      </c>
      <c r="B24" s="99" t="s">
        <v>335</v>
      </c>
      <c r="C24" s="5">
        <v>1</v>
      </c>
      <c r="D24" s="5">
        <v>1</v>
      </c>
      <c r="E24" s="5">
        <v>1</v>
      </c>
      <c r="F24" s="5">
        <v>1</v>
      </c>
      <c r="G24" s="5">
        <v>1</v>
      </c>
      <c r="H24" s="5">
        <v>1</v>
      </c>
      <c r="I24" s="282">
        <v>1</v>
      </c>
      <c r="J24" s="99"/>
      <c r="K24" s="5"/>
      <c r="L24" s="5"/>
      <c r="M24" s="5"/>
      <c r="N24" s="5"/>
      <c r="O24" s="5"/>
      <c r="P24" s="5"/>
      <c r="Q24" s="282"/>
      <c r="R24" s="99"/>
      <c r="S24" s="5"/>
      <c r="T24" s="5"/>
      <c r="U24" s="5"/>
      <c r="V24" s="5"/>
      <c r="W24" s="5"/>
      <c r="X24" s="5"/>
      <c r="Y24" s="282"/>
      <c r="Z24" s="99"/>
      <c r="AA24" s="5"/>
      <c r="AB24" s="5"/>
      <c r="AC24" s="5"/>
      <c r="AD24" s="5"/>
      <c r="AE24" s="5"/>
      <c r="AF24" s="5"/>
      <c r="AG24" s="285"/>
      <c r="AK24" s="126">
        <v>0</v>
      </c>
    </row>
    <row r="25" spans="1:37" x14ac:dyDescent="0.3">
      <c r="A25" s="165" t="s">
        <v>384</v>
      </c>
      <c r="B25" s="99" t="s">
        <v>485</v>
      </c>
      <c r="C25" s="5">
        <v>1</v>
      </c>
      <c r="D25" s="5">
        <v>1</v>
      </c>
      <c r="E25" s="5">
        <v>1</v>
      </c>
      <c r="F25" s="5">
        <v>1</v>
      </c>
      <c r="G25" s="5">
        <v>1</v>
      </c>
      <c r="H25" s="5">
        <v>1</v>
      </c>
      <c r="I25" s="282">
        <v>1</v>
      </c>
      <c r="J25" s="99"/>
      <c r="K25" s="5"/>
      <c r="L25" s="5"/>
      <c r="M25" s="5"/>
      <c r="N25" s="5"/>
      <c r="O25" s="5"/>
      <c r="P25" s="5"/>
      <c r="Q25" s="282"/>
      <c r="R25" s="99"/>
      <c r="S25" s="5"/>
      <c r="T25" s="5"/>
      <c r="U25" s="5"/>
      <c r="V25" s="5"/>
      <c r="W25" s="5"/>
      <c r="X25" s="5"/>
      <c r="Y25" s="282"/>
      <c r="Z25" s="99"/>
      <c r="AA25" s="5"/>
      <c r="AB25" s="5"/>
      <c r="AC25" s="5"/>
      <c r="AD25" s="5"/>
      <c r="AE25" s="5"/>
      <c r="AF25" s="5"/>
      <c r="AG25" s="285"/>
      <c r="AK25" s="126">
        <v>2.6</v>
      </c>
    </row>
    <row r="26" spans="1:37" x14ac:dyDescent="0.3">
      <c r="A26" s="165" t="s">
        <v>385</v>
      </c>
      <c r="B26" s="99" t="s">
        <v>486</v>
      </c>
      <c r="C26" s="5">
        <v>1</v>
      </c>
      <c r="D26" s="5">
        <v>1</v>
      </c>
      <c r="E26" s="5">
        <v>1</v>
      </c>
      <c r="F26" s="5">
        <v>1</v>
      </c>
      <c r="G26" s="5">
        <v>1</v>
      </c>
      <c r="H26" s="5">
        <v>1</v>
      </c>
      <c r="I26" s="282">
        <v>1</v>
      </c>
      <c r="J26" s="99"/>
      <c r="K26" s="5"/>
      <c r="L26" s="5"/>
      <c r="M26" s="5"/>
      <c r="N26" s="5"/>
      <c r="O26" s="5"/>
      <c r="P26" s="5"/>
      <c r="Q26" s="282"/>
      <c r="R26" s="99"/>
      <c r="S26" s="5"/>
      <c r="T26" s="5"/>
      <c r="U26" s="5"/>
      <c r="V26" s="5"/>
      <c r="W26" s="5"/>
      <c r="X26" s="5"/>
      <c r="Y26" s="282"/>
      <c r="Z26" s="99"/>
      <c r="AA26" s="5"/>
      <c r="AB26" s="5"/>
      <c r="AC26" s="5"/>
      <c r="AD26" s="5"/>
      <c r="AE26" s="5"/>
      <c r="AF26" s="5"/>
      <c r="AG26" s="285"/>
      <c r="AK26" s="126">
        <v>2.6</v>
      </c>
    </row>
    <row r="27" spans="1:37" x14ac:dyDescent="0.3">
      <c r="A27" s="165" t="s">
        <v>386</v>
      </c>
      <c r="B27" s="99" t="s">
        <v>487</v>
      </c>
      <c r="C27" s="5">
        <v>1</v>
      </c>
      <c r="D27" s="5">
        <v>1</v>
      </c>
      <c r="E27" s="5">
        <v>1</v>
      </c>
      <c r="F27" s="5">
        <v>1</v>
      </c>
      <c r="G27" s="5">
        <v>1</v>
      </c>
      <c r="H27" s="5">
        <v>1</v>
      </c>
      <c r="I27" s="282">
        <v>1</v>
      </c>
      <c r="J27" s="99"/>
      <c r="K27" s="5"/>
      <c r="L27" s="5"/>
      <c r="M27" s="5"/>
      <c r="N27" s="5"/>
      <c r="O27" s="5"/>
      <c r="P27" s="5"/>
      <c r="Q27" s="282"/>
      <c r="R27" s="99"/>
      <c r="S27" s="5"/>
      <c r="T27" s="5"/>
      <c r="U27" s="5"/>
      <c r="V27" s="5"/>
      <c r="W27" s="5"/>
      <c r="X27" s="5"/>
      <c r="Y27" s="282"/>
      <c r="Z27" s="99"/>
      <c r="AA27" s="5"/>
      <c r="AB27" s="5"/>
      <c r="AC27" s="5"/>
      <c r="AD27" s="5"/>
      <c r="AE27" s="5"/>
      <c r="AF27" s="5"/>
      <c r="AG27" s="285"/>
      <c r="AK27" s="126">
        <v>0</v>
      </c>
    </row>
    <row r="28" spans="1:37" x14ac:dyDescent="0.3">
      <c r="A28" s="165" t="s">
        <v>387</v>
      </c>
      <c r="B28" s="99" t="s">
        <v>488</v>
      </c>
      <c r="C28" s="5">
        <v>1</v>
      </c>
      <c r="D28" s="5">
        <v>1</v>
      </c>
      <c r="E28" s="5">
        <v>1</v>
      </c>
      <c r="F28" s="5">
        <v>1</v>
      </c>
      <c r="G28" s="5">
        <v>1</v>
      </c>
      <c r="H28" s="5">
        <v>1</v>
      </c>
      <c r="I28" s="282">
        <v>1</v>
      </c>
      <c r="J28" s="99"/>
      <c r="K28" s="5"/>
      <c r="L28" s="5"/>
      <c r="M28" s="5"/>
      <c r="N28" s="5"/>
      <c r="O28" s="5"/>
      <c r="P28" s="5"/>
      <c r="Q28" s="282"/>
      <c r="R28" s="99"/>
      <c r="S28" s="5"/>
      <c r="T28" s="5"/>
      <c r="U28" s="5"/>
      <c r="V28" s="5"/>
      <c r="W28" s="5"/>
      <c r="X28" s="5"/>
      <c r="Y28" s="282"/>
      <c r="Z28" s="99"/>
      <c r="AA28" s="5"/>
      <c r="AB28" s="5"/>
      <c r="AC28" s="5"/>
      <c r="AD28" s="5"/>
      <c r="AE28" s="5"/>
      <c r="AF28" s="5"/>
      <c r="AG28" s="285"/>
      <c r="AK28" s="126">
        <v>59.5</v>
      </c>
    </row>
    <row r="29" spans="1:37" x14ac:dyDescent="0.3">
      <c r="A29" s="165" t="s">
        <v>475</v>
      </c>
      <c r="B29" s="99" t="s">
        <v>669</v>
      </c>
      <c r="C29" s="5">
        <v>1</v>
      </c>
      <c r="D29" s="5">
        <v>1</v>
      </c>
      <c r="E29" s="5">
        <v>1</v>
      </c>
      <c r="F29" s="5">
        <v>1</v>
      </c>
      <c r="G29" s="5">
        <v>1</v>
      </c>
      <c r="H29" s="5">
        <v>1</v>
      </c>
      <c r="I29" s="282">
        <v>1</v>
      </c>
      <c r="J29" s="99"/>
      <c r="K29" s="5"/>
      <c r="L29" s="5"/>
      <c r="M29" s="5"/>
      <c r="N29" s="5"/>
      <c r="O29" s="5"/>
      <c r="P29" s="5"/>
      <c r="Q29" s="282"/>
      <c r="R29" s="99"/>
      <c r="S29" s="5"/>
      <c r="T29" s="5"/>
      <c r="U29" s="5"/>
      <c r="V29" s="5"/>
      <c r="W29" s="5"/>
      <c r="X29" s="5"/>
      <c r="Y29" s="282"/>
      <c r="Z29" s="99"/>
      <c r="AA29" s="5"/>
      <c r="AB29" s="5"/>
      <c r="AC29" s="5"/>
      <c r="AD29" s="5"/>
      <c r="AE29" s="5"/>
      <c r="AF29" s="5"/>
      <c r="AG29" s="285"/>
      <c r="AK29" s="126">
        <v>0.85</v>
      </c>
    </row>
    <row r="30" spans="1:37" x14ac:dyDescent="0.3">
      <c r="A30" s="165" t="s">
        <v>476</v>
      </c>
      <c r="B30" s="99" t="s">
        <v>670</v>
      </c>
      <c r="C30" s="5">
        <v>1</v>
      </c>
      <c r="D30" s="5">
        <v>1</v>
      </c>
      <c r="E30" s="5">
        <v>1</v>
      </c>
      <c r="F30" s="5">
        <v>1</v>
      </c>
      <c r="G30" s="5">
        <v>1</v>
      </c>
      <c r="H30" s="5">
        <v>1</v>
      </c>
      <c r="I30" s="282">
        <v>1</v>
      </c>
      <c r="J30" s="99"/>
      <c r="K30" s="5"/>
      <c r="L30" s="5"/>
      <c r="M30" s="5"/>
      <c r="N30" s="5"/>
      <c r="O30" s="5"/>
      <c r="P30" s="5"/>
      <c r="Q30" s="282"/>
      <c r="R30" s="99"/>
      <c r="S30" s="5"/>
      <c r="T30" s="5"/>
      <c r="U30" s="5"/>
      <c r="V30" s="5"/>
      <c r="W30" s="5"/>
      <c r="X30" s="5"/>
      <c r="Y30" s="282"/>
      <c r="Z30" s="99"/>
      <c r="AA30" s="5"/>
      <c r="AB30" s="5"/>
      <c r="AC30" s="5"/>
      <c r="AD30" s="5"/>
      <c r="AE30" s="5"/>
      <c r="AF30" s="5"/>
      <c r="AG30" s="285"/>
      <c r="AK30" s="126">
        <v>0</v>
      </c>
    </row>
    <row r="31" spans="1:37" x14ac:dyDescent="0.3">
      <c r="A31" s="165" t="s">
        <v>477</v>
      </c>
      <c r="B31" s="99" t="s">
        <v>671</v>
      </c>
      <c r="C31" s="5">
        <v>1</v>
      </c>
      <c r="D31" s="5">
        <v>1</v>
      </c>
      <c r="E31" s="5">
        <v>1</v>
      </c>
      <c r="F31" s="5">
        <v>1</v>
      </c>
      <c r="G31" s="5">
        <v>1</v>
      </c>
      <c r="H31" s="5">
        <v>1</v>
      </c>
      <c r="I31" s="282">
        <v>1</v>
      </c>
      <c r="J31" s="99"/>
      <c r="K31" s="5"/>
      <c r="L31" s="5"/>
      <c r="M31" s="5"/>
      <c r="N31" s="5"/>
      <c r="O31" s="5"/>
      <c r="P31" s="5"/>
      <c r="Q31" s="282"/>
      <c r="R31" s="99"/>
      <c r="S31" s="5"/>
      <c r="T31" s="5"/>
      <c r="U31" s="5"/>
      <c r="V31" s="5"/>
      <c r="W31" s="5"/>
      <c r="X31" s="5"/>
      <c r="Y31" s="282"/>
      <c r="Z31" s="99"/>
      <c r="AA31" s="5"/>
      <c r="AB31" s="5"/>
      <c r="AC31" s="5"/>
      <c r="AD31" s="5"/>
      <c r="AE31" s="5"/>
      <c r="AF31" s="5"/>
      <c r="AG31" s="285"/>
      <c r="AK31" s="126">
        <v>11.05</v>
      </c>
    </row>
    <row r="32" spans="1:37" x14ac:dyDescent="0.3">
      <c r="A32" s="165" t="s">
        <v>449</v>
      </c>
      <c r="B32" s="99" t="s">
        <v>459</v>
      </c>
      <c r="C32" s="5">
        <v>0.82</v>
      </c>
      <c r="D32" s="5">
        <v>0.82</v>
      </c>
      <c r="E32" s="5">
        <v>0.54</v>
      </c>
      <c r="F32" s="5">
        <v>0.9</v>
      </c>
      <c r="G32" s="5">
        <v>0.28000000000000003</v>
      </c>
      <c r="H32" s="5">
        <v>0.82</v>
      </c>
      <c r="I32" s="282">
        <v>0.95</v>
      </c>
      <c r="J32" s="99" t="s">
        <v>466</v>
      </c>
      <c r="K32" s="5">
        <v>0.18</v>
      </c>
      <c r="L32" s="5">
        <v>0.18</v>
      </c>
      <c r="M32" s="5">
        <v>0.46</v>
      </c>
      <c r="N32" s="5">
        <v>0.1</v>
      </c>
      <c r="O32" s="5">
        <v>0.72</v>
      </c>
      <c r="P32" s="5">
        <v>0.18</v>
      </c>
      <c r="Q32" s="282">
        <v>0.05</v>
      </c>
      <c r="R32" s="99"/>
      <c r="S32" s="5"/>
      <c r="T32" s="5"/>
      <c r="U32" s="5"/>
      <c r="V32" s="5"/>
      <c r="W32" s="5"/>
      <c r="X32" s="5"/>
      <c r="Y32" s="282"/>
      <c r="Z32" s="99"/>
      <c r="AA32" s="5"/>
      <c r="AB32" s="5"/>
      <c r="AC32" s="5"/>
      <c r="AD32" s="5"/>
      <c r="AE32" s="5"/>
      <c r="AF32" s="5"/>
      <c r="AG32" s="285"/>
      <c r="AI32" s="5">
        <v>372.3</v>
      </c>
      <c r="AJ32" s="126">
        <v>310.25</v>
      </c>
      <c r="AK32" s="126"/>
    </row>
    <row r="33" spans="1:37" x14ac:dyDescent="0.3">
      <c r="A33" s="165" t="s">
        <v>450</v>
      </c>
      <c r="B33" s="99" t="s">
        <v>460</v>
      </c>
      <c r="C33" s="5">
        <v>1</v>
      </c>
      <c r="D33" s="5">
        <v>1</v>
      </c>
      <c r="E33" s="5">
        <v>1</v>
      </c>
      <c r="F33" s="5">
        <v>1</v>
      </c>
      <c r="G33" s="5">
        <v>1</v>
      </c>
      <c r="H33" s="5">
        <v>1</v>
      </c>
      <c r="I33" s="282">
        <v>1</v>
      </c>
      <c r="J33" s="99"/>
      <c r="K33" s="5"/>
      <c r="L33" s="5"/>
      <c r="M33" s="5"/>
      <c r="N33" s="5"/>
      <c r="O33" s="5"/>
      <c r="P33" s="5"/>
      <c r="Q33" s="282"/>
      <c r="R33" s="99"/>
      <c r="S33" s="5"/>
      <c r="T33" s="5"/>
      <c r="U33" s="5"/>
      <c r="V33" s="5"/>
      <c r="W33" s="5"/>
      <c r="X33" s="5"/>
      <c r="Y33" s="282"/>
      <c r="Z33" s="99"/>
      <c r="AA33" s="5"/>
      <c r="AB33" s="5"/>
      <c r="AC33" s="5"/>
      <c r="AD33" s="5"/>
      <c r="AE33" s="5"/>
      <c r="AF33" s="5"/>
      <c r="AG33" s="285"/>
      <c r="AI33" s="5">
        <v>372.3</v>
      </c>
      <c r="AJ33" s="126">
        <v>310.25</v>
      </c>
      <c r="AK33" s="126"/>
    </row>
    <row r="34" spans="1:37" x14ac:dyDescent="0.3">
      <c r="A34" s="165" t="s">
        <v>448</v>
      </c>
      <c r="B34" s="99" t="s">
        <v>461</v>
      </c>
      <c r="C34" s="5">
        <v>1</v>
      </c>
      <c r="D34" s="5">
        <v>1</v>
      </c>
      <c r="E34" s="5">
        <v>1</v>
      </c>
      <c r="F34" s="5">
        <v>1</v>
      </c>
      <c r="G34" s="5">
        <v>1</v>
      </c>
      <c r="H34" s="5">
        <v>1</v>
      </c>
      <c r="I34" s="282">
        <v>1</v>
      </c>
      <c r="J34" s="99"/>
      <c r="K34" s="5"/>
      <c r="L34" s="5"/>
      <c r="M34" s="5"/>
      <c r="N34" s="5"/>
      <c r="O34" s="5"/>
      <c r="P34" s="5"/>
      <c r="Q34" s="282"/>
      <c r="R34" s="99"/>
      <c r="S34" s="5"/>
      <c r="T34" s="5"/>
      <c r="U34" s="5"/>
      <c r="V34" s="5"/>
      <c r="W34" s="5"/>
      <c r="X34" s="5"/>
      <c r="Y34" s="282"/>
      <c r="Z34" s="99"/>
      <c r="AA34" s="5"/>
      <c r="AB34" s="5"/>
      <c r="AC34" s="5"/>
      <c r="AD34" s="5"/>
      <c r="AE34" s="5"/>
      <c r="AF34" s="5"/>
      <c r="AG34" s="285"/>
      <c r="AI34" s="5">
        <v>124.1</v>
      </c>
      <c r="AJ34" s="126">
        <v>93.075000000000003</v>
      </c>
      <c r="AK34" s="126"/>
    </row>
    <row r="35" spans="1:37" x14ac:dyDescent="0.3">
      <c r="A35" s="165" t="s">
        <v>451</v>
      </c>
      <c r="B35" s="99" t="s">
        <v>462</v>
      </c>
      <c r="C35" s="5">
        <v>1</v>
      </c>
      <c r="D35" s="5">
        <v>1</v>
      </c>
      <c r="E35" s="5">
        <v>1</v>
      </c>
      <c r="F35" s="5">
        <v>1</v>
      </c>
      <c r="G35" s="5">
        <v>1</v>
      </c>
      <c r="H35" s="5">
        <v>1</v>
      </c>
      <c r="I35" s="282">
        <v>1</v>
      </c>
      <c r="J35" s="99"/>
      <c r="K35" s="5"/>
      <c r="L35" s="5"/>
      <c r="M35" s="5"/>
      <c r="N35" s="5"/>
      <c r="O35" s="5"/>
      <c r="P35" s="5"/>
      <c r="Q35" s="282"/>
      <c r="R35" s="99"/>
      <c r="S35" s="5"/>
      <c r="T35" s="5"/>
      <c r="U35" s="5"/>
      <c r="V35" s="5"/>
      <c r="W35" s="5"/>
      <c r="X35" s="5"/>
      <c r="Y35" s="282"/>
      <c r="Z35" s="99"/>
      <c r="AA35" s="5"/>
      <c r="AB35" s="5"/>
      <c r="AC35" s="5"/>
      <c r="AD35" s="5"/>
      <c r="AE35" s="5"/>
      <c r="AF35" s="5"/>
      <c r="AG35" s="285"/>
      <c r="AI35" s="5">
        <v>124.1</v>
      </c>
      <c r="AJ35" s="126">
        <v>93.075000000000003</v>
      </c>
      <c r="AK35" s="126"/>
    </row>
    <row r="36" spans="1:37" x14ac:dyDescent="0.3">
      <c r="A36" s="165" t="s">
        <v>452</v>
      </c>
      <c r="B36" s="99" t="s">
        <v>462</v>
      </c>
      <c r="C36" s="5">
        <v>1</v>
      </c>
      <c r="D36" s="5">
        <v>1</v>
      </c>
      <c r="E36" s="5">
        <v>1</v>
      </c>
      <c r="F36" s="5">
        <v>1</v>
      </c>
      <c r="G36" s="5">
        <v>1</v>
      </c>
      <c r="H36" s="5">
        <v>1</v>
      </c>
      <c r="I36" s="282">
        <v>1</v>
      </c>
      <c r="J36" s="99"/>
      <c r="K36" s="5"/>
      <c r="L36" s="5"/>
      <c r="M36" s="5"/>
      <c r="N36" s="5"/>
      <c r="O36" s="5"/>
      <c r="P36" s="5"/>
      <c r="Q36" s="282"/>
      <c r="R36" s="99"/>
      <c r="S36" s="5"/>
      <c r="T36" s="5"/>
      <c r="U36" s="5"/>
      <c r="V36" s="5"/>
      <c r="W36" s="5"/>
      <c r="X36" s="5"/>
      <c r="Y36" s="282"/>
      <c r="Z36" s="99"/>
      <c r="AA36" s="5"/>
      <c r="AB36" s="5"/>
      <c r="AC36" s="5"/>
      <c r="AD36" s="5"/>
      <c r="AE36" s="5"/>
      <c r="AF36" s="5"/>
      <c r="AG36" s="285"/>
      <c r="AI36" s="5">
        <v>124.1</v>
      </c>
      <c r="AJ36" s="126">
        <v>93.075000000000003</v>
      </c>
      <c r="AK36" s="126"/>
    </row>
    <row r="37" spans="1:37" x14ac:dyDescent="0.3">
      <c r="A37" s="165" t="s">
        <v>453</v>
      </c>
      <c r="B37" s="99" t="s">
        <v>463</v>
      </c>
      <c r="C37" s="5">
        <v>1</v>
      </c>
      <c r="D37" s="5">
        <v>1</v>
      </c>
      <c r="E37" s="5">
        <v>1</v>
      </c>
      <c r="F37" s="5">
        <v>1</v>
      </c>
      <c r="G37" s="5">
        <v>1</v>
      </c>
      <c r="H37" s="5">
        <v>1</v>
      </c>
      <c r="I37" s="282">
        <v>1</v>
      </c>
      <c r="J37" s="99"/>
      <c r="K37" s="5"/>
      <c r="L37" s="5"/>
      <c r="M37" s="5"/>
      <c r="N37" s="5"/>
      <c r="O37" s="5"/>
      <c r="P37" s="5"/>
      <c r="Q37" s="282"/>
      <c r="R37" s="99"/>
      <c r="S37" s="5"/>
      <c r="T37" s="5"/>
      <c r="U37" s="5"/>
      <c r="V37" s="5"/>
      <c r="W37" s="5"/>
      <c r="X37" s="5"/>
      <c r="Y37" s="282"/>
      <c r="Z37" s="99"/>
      <c r="AA37" s="5"/>
      <c r="AB37" s="5"/>
      <c r="AC37" s="5"/>
      <c r="AD37" s="5"/>
      <c r="AE37" s="5"/>
      <c r="AF37" s="5"/>
      <c r="AG37" s="285"/>
      <c r="AI37" s="5">
        <v>124.1</v>
      </c>
      <c r="AJ37" s="126">
        <v>93.075000000000003</v>
      </c>
      <c r="AK37" s="126"/>
    </row>
    <row r="38" spans="1:37" x14ac:dyDescent="0.3">
      <c r="A38" s="165" t="s">
        <v>454</v>
      </c>
      <c r="B38" s="99" t="s">
        <v>464</v>
      </c>
      <c r="C38" s="5">
        <v>1</v>
      </c>
      <c r="D38" s="5">
        <v>1</v>
      </c>
      <c r="E38" s="5">
        <v>1</v>
      </c>
      <c r="F38" s="5">
        <v>1</v>
      </c>
      <c r="G38" s="5">
        <v>1</v>
      </c>
      <c r="H38" s="5">
        <v>1</v>
      </c>
      <c r="I38" s="282">
        <v>1</v>
      </c>
      <c r="J38" s="99"/>
      <c r="K38" s="5"/>
      <c r="L38" s="5"/>
      <c r="M38" s="5"/>
      <c r="N38" s="5"/>
      <c r="O38" s="5"/>
      <c r="P38" s="5"/>
      <c r="Q38" s="282"/>
      <c r="R38" s="99"/>
      <c r="S38" s="5"/>
      <c r="T38" s="5"/>
      <c r="U38" s="5"/>
      <c r="V38" s="5"/>
      <c r="W38" s="5"/>
      <c r="X38" s="5"/>
      <c r="Y38" s="282"/>
      <c r="Z38" s="99"/>
      <c r="AA38" s="5"/>
      <c r="AB38" s="5"/>
      <c r="AC38" s="5"/>
      <c r="AD38" s="5"/>
      <c r="AE38" s="5"/>
      <c r="AF38" s="5"/>
      <c r="AG38" s="285"/>
      <c r="AI38" s="5">
        <v>3723</v>
      </c>
      <c r="AJ38" s="126">
        <v>3102.5</v>
      </c>
      <c r="AK38" s="126"/>
    </row>
    <row r="39" spans="1:37" x14ac:dyDescent="0.3">
      <c r="A39" s="165" t="s">
        <v>455</v>
      </c>
      <c r="B39" s="99" t="s">
        <v>465</v>
      </c>
      <c r="C39" s="5">
        <v>0.79</v>
      </c>
      <c r="D39" s="5">
        <v>0.79</v>
      </c>
      <c r="E39" s="5">
        <v>0.64</v>
      </c>
      <c r="F39" s="5">
        <v>0.63</v>
      </c>
      <c r="G39" s="5">
        <v>0.72</v>
      </c>
      <c r="H39" s="5">
        <v>0.79</v>
      </c>
      <c r="I39" s="282">
        <v>0.95</v>
      </c>
      <c r="J39" s="99" t="s">
        <v>467</v>
      </c>
      <c r="K39" s="5">
        <v>0.21</v>
      </c>
      <c r="L39" s="5">
        <v>0.21</v>
      </c>
      <c r="M39" s="5">
        <v>0.36</v>
      </c>
      <c r="N39" s="5">
        <v>0.37</v>
      </c>
      <c r="O39" s="5">
        <v>0.28000000000000003</v>
      </c>
      <c r="P39" s="5">
        <v>0.21</v>
      </c>
      <c r="Q39" s="282">
        <v>0.05</v>
      </c>
      <c r="R39" s="99"/>
      <c r="S39" s="5"/>
      <c r="T39" s="5"/>
      <c r="U39" s="5"/>
      <c r="V39" s="5"/>
      <c r="W39" s="5"/>
      <c r="X39" s="5"/>
      <c r="Y39" s="282"/>
      <c r="Z39" s="99"/>
      <c r="AA39" s="5"/>
      <c r="AB39" s="5"/>
      <c r="AC39" s="5"/>
      <c r="AD39" s="5"/>
      <c r="AE39" s="5"/>
      <c r="AF39" s="5"/>
      <c r="AG39" s="285"/>
      <c r="AI39" s="5">
        <v>3102.5</v>
      </c>
      <c r="AJ39" s="126">
        <v>2482</v>
      </c>
      <c r="AK39" s="126"/>
    </row>
    <row r="40" spans="1:37" x14ac:dyDescent="0.3">
      <c r="A40" s="165" t="s">
        <v>456</v>
      </c>
      <c r="B40" s="99" t="s">
        <v>465</v>
      </c>
      <c r="C40" s="5">
        <v>0.79</v>
      </c>
      <c r="D40" s="5">
        <v>0.79</v>
      </c>
      <c r="E40" s="5">
        <v>0.63</v>
      </c>
      <c r="F40" s="5">
        <v>0.63</v>
      </c>
      <c r="G40" s="5">
        <v>0.72</v>
      </c>
      <c r="H40" s="5">
        <v>0.79</v>
      </c>
      <c r="I40" s="282">
        <v>0.95</v>
      </c>
      <c r="J40" s="99" t="s">
        <v>468</v>
      </c>
      <c r="K40" s="5">
        <v>0.21</v>
      </c>
      <c r="L40" s="5">
        <v>0.21</v>
      </c>
      <c r="M40" s="5">
        <v>0.37</v>
      </c>
      <c r="N40" s="5">
        <v>0.37</v>
      </c>
      <c r="O40" s="5">
        <v>0.28000000000000003</v>
      </c>
      <c r="P40" s="5">
        <v>0.21</v>
      </c>
      <c r="Q40" s="282">
        <v>0.05</v>
      </c>
      <c r="R40" s="99"/>
      <c r="S40" s="5"/>
      <c r="T40" s="5"/>
      <c r="U40" s="5"/>
      <c r="V40" s="5"/>
      <c r="W40" s="5"/>
      <c r="X40" s="5"/>
      <c r="Y40" s="282"/>
      <c r="Z40" s="99"/>
      <c r="AA40" s="5"/>
      <c r="AB40" s="5"/>
      <c r="AC40" s="5"/>
      <c r="AD40" s="5"/>
      <c r="AE40" s="5"/>
      <c r="AF40" s="5"/>
      <c r="AG40" s="285"/>
      <c r="AI40" s="5">
        <v>3102.5</v>
      </c>
      <c r="AJ40" s="126">
        <v>2482</v>
      </c>
      <c r="AK40" s="126"/>
    </row>
    <row r="41" spans="1:37" x14ac:dyDescent="0.3">
      <c r="A41" s="165" t="s">
        <v>457</v>
      </c>
      <c r="B41" s="99" t="s">
        <v>465</v>
      </c>
      <c r="C41" s="5">
        <v>0.79</v>
      </c>
      <c r="D41" s="5">
        <v>0.79</v>
      </c>
      <c r="E41" s="5">
        <v>0.63</v>
      </c>
      <c r="F41" s="5">
        <v>0.63</v>
      </c>
      <c r="G41" s="5">
        <v>0.72</v>
      </c>
      <c r="H41" s="5">
        <v>0.79</v>
      </c>
      <c r="I41" s="282">
        <v>0.95</v>
      </c>
      <c r="J41" s="99" t="s">
        <v>469</v>
      </c>
      <c r="K41" s="5">
        <v>0.21</v>
      </c>
      <c r="L41" s="5">
        <v>0.21</v>
      </c>
      <c r="M41" s="5">
        <v>0.37</v>
      </c>
      <c r="N41" s="5">
        <v>0.37</v>
      </c>
      <c r="O41" s="5">
        <v>0.28000000000000003</v>
      </c>
      <c r="P41" s="5">
        <v>0.21</v>
      </c>
      <c r="Q41" s="282">
        <v>0.05</v>
      </c>
      <c r="R41" s="99"/>
      <c r="S41" s="5"/>
      <c r="T41" s="5"/>
      <c r="U41" s="5"/>
      <c r="V41" s="5"/>
      <c r="W41" s="5"/>
      <c r="X41" s="5"/>
      <c r="Y41" s="282"/>
      <c r="Z41" s="99"/>
      <c r="AA41" s="5"/>
      <c r="AB41" s="5"/>
      <c r="AC41" s="5"/>
      <c r="AD41" s="5"/>
      <c r="AE41" s="5"/>
      <c r="AF41" s="5"/>
      <c r="AG41" s="285"/>
      <c r="AI41" s="5">
        <v>3102.5</v>
      </c>
      <c r="AJ41" s="126">
        <v>2482</v>
      </c>
      <c r="AK41" s="126"/>
    </row>
    <row r="42" spans="1:37" x14ac:dyDescent="0.3">
      <c r="A42" s="165" t="s">
        <v>458</v>
      </c>
      <c r="B42" s="99" t="s">
        <v>465</v>
      </c>
      <c r="C42" s="5">
        <v>0.79</v>
      </c>
      <c r="D42" s="5">
        <v>0.79</v>
      </c>
      <c r="E42" s="5">
        <v>0.63</v>
      </c>
      <c r="F42" s="5">
        <v>0.63</v>
      </c>
      <c r="G42" s="5">
        <v>0.72</v>
      </c>
      <c r="H42" s="5">
        <v>0.79</v>
      </c>
      <c r="I42" s="282">
        <v>0.95</v>
      </c>
      <c r="J42" s="99" t="s">
        <v>463</v>
      </c>
      <c r="K42" s="5">
        <v>0.21</v>
      </c>
      <c r="L42" s="5">
        <v>0.21</v>
      </c>
      <c r="M42" s="5">
        <v>0.37</v>
      </c>
      <c r="N42" s="5">
        <v>0.37</v>
      </c>
      <c r="O42" s="5">
        <v>0.28000000000000003</v>
      </c>
      <c r="P42" s="5">
        <v>0.21</v>
      </c>
      <c r="Q42" s="282">
        <v>0.05</v>
      </c>
      <c r="R42" s="99"/>
      <c r="S42" s="5"/>
      <c r="T42" s="5"/>
      <c r="U42" s="5"/>
      <c r="V42" s="5"/>
      <c r="W42" s="5"/>
      <c r="X42" s="5"/>
      <c r="Y42" s="282"/>
      <c r="Z42" s="99"/>
      <c r="AA42" s="5"/>
      <c r="AB42" s="5"/>
      <c r="AC42" s="5"/>
      <c r="AD42" s="5"/>
      <c r="AE42" s="5"/>
      <c r="AF42" s="5"/>
      <c r="AG42" s="285"/>
      <c r="AI42" s="5">
        <v>3102.5</v>
      </c>
      <c r="AJ42" s="126">
        <v>2482</v>
      </c>
      <c r="AK42" s="126"/>
    </row>
    <row r="43" spans="1:37" x14ac:dyDescent="0.3">
      <c r="A43" s="165"/>
      <c r="B43" s="99"/>
      <c r="C43" s="5"/>
      <c r="D43" s="5"/>
      <c r="E43" s="5"/>
      <c r="F43" s="5"/>
      <c r="G43" s="5"/>
      <c r="H43" s="5"/>
      <c r="I43" s="282"/>
      <c r="J43" s="99"/>
      <c r="K43" s="5"/>
      <c r="L43" s="5"/>
      <c r="M43" s="5"/>
      <c r="N43" s="5"/>
      <c r="O43" s="5"/>
      <c r="P43" s="5"/>
      <c r="Q43" s="282"/>
      <c r="R43" s="99"/>
      <c r="S43" s="5"/>
      <c r="T43" s="5"/>
      <c r="U43" s="5"/>
      <c r="V43" s="5"/>
      <c r="W43" s="5"/>
      <c r="X43" s="5"/>
      <c r="Y43" s="282"/>
      <c r="Z43" s="99"/>
      <c r="AA43" s="5"/>
      <c r="AB43" s="5"/>
      <c r="AC43" s="5"/>
      <c r="AD43" s="5"/>
      <c r="AE43" s="5"/>
      <c r="AF43" s="5"/>
      <c r="AG43" s="285"/>
      <c r="AK43" s="126"/>
    </row>
    <row r="44" spans="1:37" x14ac:dyDescent="0.3">
      <c r="A44" s="165" t="s">
        <v>491</v>
      </c>
      <c r="B44" s="99" t="s">
        <v>503</v>
      </c>
      <c r="C44" s="5">
        <v>0.88</v>
      </c>
      <c r="D44" s="5">
        <v>0.88</v>
      </c>
      <c r="E44" s="5">
        <v>0.48</v>
      </c>
      <c r="F44" s="5">
        <v>0.91</v>
      </c>
      <c r="G44" s="5">
        <v>0.32</v>
      </c>
      <c r="H44" s="5">
        <v>0.88</v>
      </c>
      <c r="I44" s="282">
        <v>0.95</v>
      </c>
      <c r="J44" s="99" t="s">
        <v>504</v>
      </c>
      <c r="K44" s="5">
        <v>0.12</v>
      </c>
      <c r="L44" s="5">
        <v>0.12</v>
      </c>
      <c r="M44" s="5">
        <v>0.52</v>
      </c>
      <c r="N44" s="5">
        <v>0.09</v>
      </c>
      <c r="O44" s="5">
        <v>0.68</v>
      </c>
      <c r="P44" s="5">
        <v>0.12</v>
      </c>
      <c r="Q44" s="282">
        <v>0.05</v>
      </c>
      <c r="R44" s="99"/>
      <c r="S44" s="5"/>
      <c r="T44" s="5"/>
      <c r="U44" s="5"/>
      <c r="V44" s="5"/>
      <c r="W44" s="5"/>
      <c r="X44" s="5"/>
      <c r="Y44" s="282"/>
      <c r="Z44" s="99"/>
      <c r="AA44" s="5"/>
      <c r="AB44" s="5"/>
      <c r="AC44" s="5"/>
      <c r="AD44" s="5"/>
      <c r="AE44" s="5"/>
      <c r="AF44" s="5"/>
      <c r="AG44" s="285"/>
      <c r="AK44" s="126"/>
    </row>
    <row r="45" spans="1:37" x14ac:dyDescent="0.3">
      <c r="A45" s="165" t="s">
        <v>492</v>
      </c>
      <c r="B45" s="99" t="s">
        <v>505</v>
      </c>
      <c r="C45" s="5">
        <v>1</v>
      </c>
      <c r="D45" s="5">
        <v>1</v>
      </c>
      <c r="E45" s="5">
        <v>1</v>
      </c>
      <c r="F45" s="5">
        <v>1</v>
      </c>
      <c r="G45" s="5">
        <v>1</v>
      </c>
      <c r="H45" s="5">
        <v>1</v>
      </c>
      <c r="I45" s="282">
        <v>1</v>
      </c>
      <c r="J45" s="99"/>
      <c r="K45" s="5"/>
      <c r="L45" s="5"/>
      <c r="M45" s="5"/>
      <c r="N45" s="5"/>
      <c r="O45" s="5"/>
      <c r="P45" s="5"/>
      <c r="Q45" s="282"/>
      <c r="R45" s="99"/>
      <c r="S45" s="5"/>
      <c r="T45" s="5"/>
      <c r="U45" s="5"/>
      <c r="V45" s="5"/>
      <c r="W45" s="5"/>
      <c r="X45" s="5"/>
      <c r="Y45" s="282"/>
      <c r="Z45" s="99"/>
      <c r="AA45" s="5"/>
      <c r="AB45" s="5"/>
      <c r="AC45" s="5"/>
      <c r="AD45" s="5"/>
      <c r="AE45" s="5"/>
      <c r="AF45" s="5"/>
      <c r="AG45" s="285"/>
      <c r="AK45" s="126"/>
    </row>
    <row r="46" spans="1:37" x14ac:dyDescent="0.3">
      <c r="A46" s="165" t="s">
        <v>493</v>
      </c>
      <c r="B46" s="99" t="s">
        <v>506</v>
      </c>
      <c r="C46" s="5">
        <v>1</v>
      </c>
      <c r="D46" s="5">
        <v>1</v>
      </c>
      <c r="E46" s="5">
        <v>1</v>
      </c>
      <c r="F46" s="5">
        <v>1</v>
      </c>
      <c r="G46" s="5">
        <v>1</v>
      </c>
      <c r="H46" s="5">
        <v>1</v>
      </c>
      <c r="I46" s="282">
        <v>1</v>
      </c>
      <c r="J46" s="99"/>
      <c r="K46" s="5"/>
      <c r="L46" s="5"/>
      <c r="M46" s="5"/>
      <c r="N46" s="5"/>
      <c r="O46" s="5"/>
      <c r="P46" s="5"/>
      <c r="Q46" s="282"/>
      <c r="R46" s="99"/>
      <c r="S46" s="5"/>
      <c r="T46" s="5"/>
      <c r="U46" s="5"/>
      <c r="V46" s="5"/>
      <c r="W46" s="5"/>
      <c r="X46" s="5"/>
      <c r="Y46" s="282"/>
      <c r="Z46" s="99"/>
      <c r="AA46" s="5"/>
      <c r="AB46" s="5"/>
      <c r="AC46" s="5"/>
      <c r="AD46" s="5"/>
      <c r="AE46" s="5"/>
      <c r="AF46" s="5"/>
      <c r="AG46" s="285"/>
      <c r="AK46" s="126"/>
    </row>
    <row r="47" spans="1:37" x14ac:dyDescent="0.3">
      <c r="A47" s="165" t="s">
        <v>494</v>
      </c>
      <c r="B47" s="99" t="s">
        <v>509</v>
      </c>
      <c r="C47" s="5">
        <v>1</v>
      </c>
      <c r="D47" s="5">
        <v>1</v>
      </c>
      <c r="E47" s="5">
        <v>1</v>
      </c>
      <c r="F47" s="5">
        <v>1</v>
      </c>
      <c r="G47" s="5">
        <v>1</v>
      </c>
      <c r="H47" s="5">
        <v>1</v>
      </c>
      <c r="I47" s="282">
        <v>1</v>
      </c>
      <c r="J47" s="99"/>
      <c r="K47" s="5"/>
      <c r="L47" s="5"/>
      <c r="M47" s="5"/>
      <c r="N47" s="5"/>
      <c r="O47" s="5"/>
      <c r="P47" s="5"/>
      <c r="Q47" s="282"/>
      <c r="R47" s="99"/>
      <c r="S47" s="5"/>
      <c r="T47" s="5"/>
      <c r="U47" s="5"/>
      <c r="V47" s="5"/>
      <c r="W47" s="5"/>
      <c r="X47" s="5"/>
      <c r="Y47" s="282"/>
      <c r="Z47" s="99"/>
      <c r="AA47" s="5"/>
      <c r="AB47" s="5"/>
      <c r="AC47" s="5"/>
      <c r="AD47" s="5"/>
      <c r="AE47" s="5"/>
      <c r="AF47" s="5"/>
      <c r="AG47" s="285"/>
      <c r="AK47" s="126"/>
    </row>
    <row r="48" spans="1:37" x14ac:dyDescent="0.3">
      <c r="A48" s="165" t="s">
        <v>495</v>
      </c>
      <c r="B48" s="99" t="s">
        <v>509</v>
      </c>
      <c r="C48" s="5">
        <v>1</v>
      </c>
      <c r="D48" s="5">
        <v>1</v>
      </c>
      <c r="E48" s="5">
        <v>1</v>
      </c>
      <c r="F48" s="5">
        <v>1</v>
      </c>
      <c r="G48" s="5">
        <v>1</v>
      </c>
      <c r="H48" s="5">
        <v>1</v>
      </c>
      <c r="I48" s="282">
        <v>1</v>
      </c>
      <c r="J48" s="99"/>
      <c r="K48" s="5"/>
      <c r="L48" s="5"/>
      <c r="M48" s="5"/>
      <c r="N48" s="5"/>
      <c r="O48" s="5"/>
      <c r="P48" s="5"/>
      <c r="Q48" s="282"/>
      <c r="R48" s="99"/>
      <c r="S48" s="5"/>
      <c r="T48" s="5"/>
      <c r="U48" s="5"/>
      <c r="V48" s="5"/>
      <c r="W48" s="5"/>
      <c r="X48" s="5"/>
      <c r="Y48" s="282"/>
      <c r="Z48" s="99"/>
      <c r="AA48" s="5"/>
      <c r="AB48" s="5"/>
      <c r="AC48" s="5"/>
      <c r="AD48" s="5"/>
      <c r="AE48" s="5"/>
      <c r="AF48" s="5"/>
      <c r="AG48" s="285"/>
      <c r="AK48" s="126"/>
    </row>
    <row r="49" spans="1:37" x14ac:dyDescent="0.3">
      <c r="A49" s="165" t="s">
        <v>496</v>
      </c>
      <c r="B49" s="99" t="s">
        <v>510</v>
      </c>
      <c r="C49" s="5">
        <v>1</v>
      </c>
      <c r="D49" s="5">
        <v>1</v>
      </c>
      <c r="E49" s="5">
        <v>1</v>
      </c>
      <c r="F49" s="5">
        <v>1</v>
      </c>
      <c r="G49" s="5">
        <v>1</v>
      </c>
      <c r="H49" s="5">
        <v>1</v>
      </c>
      <c r="I49" s="282">
        <v>1</v>
      </c>
      <c r="J49" s="99"/>
      <c r="K49" s="5"/>
      <c r="L49" s="5"/>
      <c r="M49" s="5"/>
      <c r="N49" s="5"/>
      <c r="O49" s="5"/>
      <c r="P49" s="5"/>
      <c r="Q49" s="282"/>
      <c r="R49" s="99"/>
      <c r="S49" s="5"/>
      <c r="T49" s="5"/>
      <c r="U49" s="5"/>
      <c r="V49" s="5"/>
      <c r="W49" s="5"/>
      <c r="X49" s="5"/>
      <c r="Y49" s="282"/>
      <c r="Z49" s="99"/>
      <c r="AA49" s="5"/>
      <c r="AB49" s="5"/>
      <c r="AC49" s="5"/>
      <c r="AD49" s="5"/>
      <c r="AE49" s="5"/>
      <c r="AF49" s="5"/>
      <c r="AG49" s="285"/>
      <c r="AK49" s="126"/>
    </row>
    <row r="50" spans="1:37" x14ac:dyDescent="0.3">
      <c r="A50" s="165" t="s">
        <v>497</v>
      </c>
      <c r="B50" s="99" t="s">
        <v>511</v>
      </c>
      <c r="C50" s="5">
        <v>1</v>
      </c>
      <c r="D50" s="5">
        <v>1</v>
      </c>
      <c r="E50" s="5">
        <v>1</v>
      </c>
      <c r="F50" s="5">
        <v>1</v>
      </c>
      <c r="G50" s="5">
        <v>1</v>
      </c>
      <c r="H50" s="5">
        <v>1</v>
      </c>
      <c r="I50" s="282">
        <v>1</v>
      </c>
      <c r="J50" s="99"/>
      <c r="K50" s="5"/>
      <c r="L50" s="5"/>
      <c r="M50" s="5"/>
      <c r="N50" s="5"/>
      <c r="O50" s="5"/>
      <c r="P50" s="5"/>
      <c r="Q50" s="282"/>
      <c r="R50" s="99"/>
      <c r="S50" s="5"/>
      <c r="T50" s="5"/>
      <c r="U50" s="5"/>
      <c r="V50" s="5"/>
      <c r="W50" s="5"/>
      <c r="X50" s="5"/>
      <c r="Y50" s="282"/>
      <c r="Z50" s="99"/>
      <c r="AA50" s="5"/>
      <c r="AB50" s="5"/>
      <c r="AC50" s="5"/>
      <c r="AD50" s="5"/>
      <c r="AE50" s="5"/>
      <c r="AF50" s="5"/>
      <c r="AG50" s="285"/>
      <c r="AK50" s="126"/>
    </row>
    <row r="51" spans="1:37" x14ac:dyDescent="0.3">
      <c r="A51" s="165" t="s">
        <v>498</v>
      </c>
      <c r="B51" s="99" t="s">
        <v>511</v>
      </c>
      <c r="C51" s="5">
        <v>1</v>
      </c>
      <c r="D51" s="5">
        <v>1</v>
      </c>
      <c r="E51" s="5">
        <v>1</v>
      </c>
      <c r="F51" s="5">
        <v>1</v>
      </c>
      <c r="G51" s="5">
        <v>1</v>
      </c>
      <c r="H51" s="5">
        <v>1</v>
      </c>
      <c r="I51" s="282">
        <v>1</v>
      </c>
      <c r="J51" s="99"/>
      <c r="K51" s="5"/>
      <c r="L51" s="5"/>
      <c r="M51" s="5"/>
      <c r="N51" s="5"/>
      <c r="O51" s="5"/>
      <c r="P51" s="5"/>
      <c r="Q51" s="282"/>
      <c r="R51" s="99"/>
      <c r="S51" s="5"/>
      <c r="T51" s="5"/>
      <c r="U51" s="5"/>
      <c r="V51" s="5"/>
      <c r="W51" s="5"/>
      <c r="X51" s="5"/>
      <c r="Y51" s="282"/>
      <c r="Z51" s="99"/>
      <c r="AA51" s="5"/>
      <c r="AB51" s="5"/>
      <c r="AC51" s="5"/>
      <c r="AD51" s="5"/>
      <c r="AE51" s="5"/>
      <c r="AF51" s="5"/>
      <c r="AG51" s="285"/>
      <c r="AK51" s="126"/>
    </row>
    <row r="52" spans="1:37" x14ac:dyDescent="0.3">
      <c r="A52" s="165" t="s">
        <v>499</v>
      </c>
      <c r="B52" s="99" t="s">
        <v>512</v>
      </c>
      <c r="C52" s="5">
        <v>0.81</v>
      </c>
      <c r="D52" s="5">
        <v>0.81</v>
      </c>
      <c r="E52" s="5">
        <v>0.66</v>
      </c>
      <c r="F52" s="5">
        <v>0.64</v>
      </c>
      <c r="G52" s="5">
        <v>0.81</v>
      </c>
      <c r="H52" s="5">
        <v>0.81</v>
      </c>
      <c r="I52" s="282">
        <v>0.95</v>
      </c>
      <c r="J52" s="99" t="s">
        <v>569</v>
      </c>
      <c r="K52" s="5">
        <v>0.19</v>
      </c>
      <c r="L52" s="5">
        <v>0.19</v>
      </c>
      <c r="M52" s="5">
        <v>0.34</v>
      </c>
      <c r="N52" s="5">
        <v>0.36</v>
      </c>
      <c r="O52" s="5">
        <v>0.19</v>
      </c>
      <c r="P52" s="5">
        <v>0.19</v>
      </c>
      <c r="Q52" s="282">
        <v>0.05</v>
      </c>
      <c r="R52" s="99"/>
      <c r="S52" s="5"/>
      <c r="T52" s="5"/>
      <c r="U52" s="5"/>
      <c r="V52" s="5"/>
      <c r="W52" s="5"/>
      <c r="X52" s="5"/>
      <c r="Y52" s="282"/>
      <c r="Z52" s="99"/>
      <c r="AA52" s="5"/>
      <c r="AB52" s="5"/>
      <c r="AC52" s="5"/>
      <c r="AD52" s="5"/>
      <c r="AE52" s="5"/>
      <c r="AF52" s="5"/>
      <c r="AG52" s="285"/>
      <c r="AK52" s="126"/>
    </row>
    <row r="53" spans="1:37" x14ac:dyDescent="0.3">
      <c r="A53" s="165" t="s">
        <v>500</v>
      </c>
      <c r="B53" s="99" t="s">
        <v>512</v>
      </c>
      <c r="C53" s="5">
        <v>0.81</v>
      </c>
      <c r="D53" s="5">
        <v>0.81</v>
      </c>
      <c r="E53" s="5">
        <v>0.65</v>
      </c>
      <c r="F53" s="5">
        <v>0.64</v>
      </c>
      <c r="G53" s="5">
        <v>0.81</v>
      </c>
      <c r="H53" s="5">
        <v>0.81</v>
      </c>
      <c r="I53" s="282">
        <v>0.95</v>
      </c>
      <c r="J53" s="99" t="s">
        <v>507</v>
      </c>
      <c r="K53" s="5">
        <v>0.19</v>
      </c>
      <c r="L53" s="5">
        <v>0.19</v>
      </c>
      <c r="M53" s="5">
        <v>0.35</v>
      </c>
      <c r="N53" s="5">
        <v>0.36</v>
      </c>
      <c r="O53" s="5">
        <v>0.19</v>
      </c>
      <c r="P53" s="5">
        <v>0.19</v>
      </c>
      <c r="Q53" s="282">
        <v>0.05</v>
      </c>
      <c r="R53" s="99"/>
      <c r="S53" s="5"/>
      <c r="T53" s="5"/>
      <c r="U53" s="5"/>
      <c r="V53" s="5"/>
      <c r="W53" s="5"/>
      <c r="X53" s="5"/>
      <c r="Y53" s="282"/>
      <c r="Z53" s="99"/>
      <c r="AA53" s="5"/>
      <c r="AB53" s="5"/>
      <c r="AC53" s="5"/>
      <c r="AD53" s="5"/>
      <c r="AE53" s="5"/>
      <c r="AF53" s="5"/>
      <c r="AG53" s="285"/>
      <c r="AK53" s="126"/>
    </row>
    <row r="54" spans="1:37" x14ac:dyDescent="0.3">
      <c r="A54" s="165" t="s">
        <v>501</v>
      </c>
      <c r="B54" s="99" t="s">
        <v>512</v>
      </c>
      <c r="C54" s="5">
        <v>0.81</v>
      </c>
      <c r="D54" s="5">
        <v>0.81</v>
      </c>
      <c r="E54" s="5">
        <v>0.65</v>
      </c>
      <c r="F54" s="5">
        <v>0.64</v>
      </c>
      <c r="G54" s="5">
        <v>0.81</v>
      </c>
      <c r="H54" s="5">
        <v>0.81</v>
      </c>
      <c r="I54" s="282">
        <v>0.95</v>
      </c>
      <c r="J54" s="99" t="s">
        <v>508</v>
      </c>
      <c r="K54" s="5">
        <v>0.19</v>
      </c>
      <c r="L54" s="5">
        <v>0.19</v>
      </c>
      <c r="M54" s="5">
        <v>0.35</v>
      </c>
      <c r="N54" s="5">
        <v>0.36</v>
      </c>
      <c r="O54" s="5">
        <v>0.19</v>
      </c>
      <c r="P54" s="5">
        <v>0.19</v>
      </c>
      <c r="Q54" s="282">
        <v>0.05</v>
      </c>
      <c r="R54" s="99"/>
      <c r="S54" s="5"/>
      <c r="T54" s="5"/>
      <c r="U54" s="5"/>
      <c r="V54" s="5"/>
      <c r="W54" s="5"/>
      <c r="X54" s="5"/>
      <c r="Y54" s="282"/>
      <c r="Z54" s="99"/>
      <c r="AA54" s="5"/>
      <c r="AB54" s="5"/>
      <c r="AC54" s="5"/>
      <c r="AD54" s="5"/>
      <c r="AE54" s="5"/>
      <c r="AF54" s="5"/>
      <c r="AG54" s="285"/>
      <c r="AK54" s="126"/>
    </row>
    <row r="55" spans="1:37" x14ac:dyDescent="0.3">
      <c r="A55" s="165" t="s">
        <v>502</v>
      </c>
      <c r="B55" s="99" t="s">
        <v>513</v>
      </c>
      <c r="C55" s="5">
        <v>1</v>
      </c>
      <c r="D55" s="5">
        <v>1</v>
      </c>
      <c r="E55" s="5">
        <v>1</v>
      </c>
      <c r="F55" s="5">
        <v>1</v>
      </c>
      <c r="G55" s="5">
        <v>1</v>
      </c>
      <c r="H55" s="5">
        <v>1</v>
      </c>
      <c r="I55" s="282">
        <v>1</v>
      </c>
      <c r="J55" s="99"/>
      <c r="K55" s="5"/>
      <c r="L55" s="5"/>
      <c r="M55" s="5"/>
      <c r="N55" s="5"/>
      <c r="O55" s="5"/>
      <c r="P55" s="5"/>
      <c r="Q55" s="282"/>
      <c r="R55" s="99"/>
      <c r="S55" s="5"/>
      <c r="T55" s="5"/>
      <c r="U55" s="5"/>
      <c r="V55" s="5"/>
      <c r="W55" s="5"/>
      <c r="X55" s="5"/>
      <c r="Y55" s="282"/>
      <c r="Z55" s="99"/>
      <c r="AA55" s="5"/>
      <c r="AB55" s="5"/>
      <c r="AC55" s="5"/>
      <c r="AD55" s="5"/>
      <c r="AE55" s="5"/>
      <c r="AF55" s="5"/>
      <c r="AG55" s="285"/>
      <c r="AK55" s="126"/>
    </row>
    <row r="56" spans="1:37" x14ac:dyDescent="0.3">
      <c r="A56" s="165" t="s">
        <v>545</v>
      </c>
      <c r="B56" s="99" t="s">
        <v>557</v>
      </c>
      <c r="C56" s="5">
        <v>0.88</v>
      </c>
      <c r="D56" s="5">
        <v>0.88</v>
      </c>
      <c r="E56" s="5">
        <v>0.48</v>
      </c>
      <c r="F56" s="5">
        <v>0.91</v>
      </c>
      <c r="G56" s="5">
        <v>0.32</v>
      </c>
      <c r="H56" s="5">
        <v>0.88</v>
      </c>
      <c r="I56" s="282">
        <v>0.95</v>
      </c>
      <c r="J56" s="99" t="s">
        <v>565</v>
      </c>
      <c r="K56" s="5">
        <v>0.12</v>
      </c>
      <c r="L56" s="5">
        <v>0.12</v>
      </c>
      <c r="M56" s="5">
        <v>0.52</v>
      </c>
      <c r="N56" s="5">
        <v>0.09</v>
      </c>
      <c r="O56" s="5">
        <v>0.68</v>
      </c>
      <c r="P56" s="5">
        <v>0.12</v>
      </c>
      <c r="Q56" s="282">
        <v>0.05</v>
      </c>
      <c r="R56" s="99"/>
      <c r="S56" s="5"/>
      <c r="T56" s="5"/>
      <c r="U56" s="5"/>
      <c r="V56" s="5"/>
      <c r="W56" s="5"/>
      <c r="X56" s="5"/>
      <c r="Y56" s="282"/>
      <c r="Z56" s="99"/>
      <c r="AA56" s="5"/>
      <c r="AB56" s="5"/>
      <c r="AC56" s="5"/>
      <c r="AD56" s="5"/>
      <c r="AE56" s="5"/>
      <c r="AF56" s="5"/>
      <c r="AG56" s="285"/>
      <c r="AK56" s="126"/>
    </row>
    <row r="57" spans="1:37" x14ac:dyDescent="0.3">
      <c r="A57" s="165" t="s">
        <v>546</v>
      </c>
      <c r="B57" s="99" t="s">
        <v>558</v>
      </c>
      <c r="C57" s="5">
        <v>1</v>
      </c>
      <c r="D57" s="5">
        <v>1</v>
      </c>
      <c r="E57" s="5">
        <v>1</v>
      </c>
      <c r="F57" s="5">
        <v>1</v>
      </c>
      <c r="G57" s="5">
        <v>1</v>
      </c>
      <c r="H57" s="5">
        <v>1</v>
      </c>
      <c r="I57" s="282">
        <v>1</v>
      </c>
      <c r="J57" s="99"/>
      <c r="K57" s="5"/>
      <c r="L57" s="5"/>
      <c r="M57" s="5"/>
      <c r="N57" s="5"/>
      <c r="O57" s="5"/>
      <c r="P57" s="5"/>
      <c r="Q57" s="282"/>
      <c r="R57" s="99"/>
      <c r="S57" s="5"/>
      <c r="T57" s="5"/>
      <c r="U57" s="5"/>
      <c r="V57" s="5"/>
      <c r="W57" s="5"/>
      <c r="X57" s="5"/>
      <c r="Y57" s="282"/>
      <c r="Z57" s="99"/>
      <c r="AA57" s="5"/>
      <c r="AB57" s="5"/>
      <c r="AC57" s="5"/>
      <c r="AD57" s="5"/>
      <c r="AE57" s="5"/>
      <c r="AF57" s="5"/>
      <c r="AG57" s="285"/>
      <c r="AK57" s="126"/>
    </row>
    <row r="58" spans="1:37" x14ac:dyDescent="0.3">
      <c r="A58" s="165" t="s">
        <v>547</v>
      </c>
      <c r="B58" s="99" t="s">
        <v>559</v>
      </c>
      <c r="C58" s="5">
        <v>1</v>
      </c>
      <c r="D58" s="5">
        <v>1</v>
      </c>
      <c r="E58" s="5">
        <v>1</v>
      </c>
      <c r="F58" s="5">
        <v>1</v>
      </c>
      <c r="G58" s="5">
        <v>1</v>
      </c>
      <c r="H58" s="5">
        <v>1</v>
      </c>
      <c r="I58" s="282">
        <v>1</v>
      </c>
      <c r="J58" s="99"/>
      <c r="K58" s="5"/>
      <c r="L58" s="5"/>
      <c r="M58" s="5"/>
      <c r="N58" s="5"/>
      <c r="O58" s="5"/>
      <c r="P58" s="5"/>
      <c r="Q58" s="282"/>
      <c r="R58" s="99"/>
      <c r="S58" s="5"/>
      <c r="T58" s="5"/>
      <c r="U58" s="5"/>
      <c r="V58" s="5"/>
      <c r="W58" s="5"/>
      <c r="X58" s="5"/>
      <c r="Y58" s="282"/>
      <c r="Z58" s="99"/>
      <c r="AA58" s="5"/>
      <c r="AB58" s="5"/>
      <c r="AC58" s="5"/>
      <c r="AD58" s="5"/>
      <c r="AE58" s="5"/>
      <c r="AF58" s="5"/>
      <c r="AG58" s="285"/>
      <c r="AK58" s="126"/>
    </row>
    <row r="59" spans="1:37" x14ac:dyDescent="0.3">
      <c r="A59" s="165" t="s">
        <v>548</v>
      </c>
      <c r="B59" s="99" t="s">
        <v>560</v>
      </c>
      <c r="C59" s="5">
        <v>1</v>
      </c>
      <c r="D59" s="5">
        <v>1</v>
      </c>
      <c r="E59" s="5">
        <v>1</v>
      </c>
      <c r="F59" s="5">
        <v>1</v>
      </c>
      <c r="G59" s="5">
        <v>1</v>
      </c>
      <c r="H59" s="5">
        <v>1</v>
      </c>
      <c r="I59" s="282">
        <v>1</v>
      </c>
      <c r="J59" s="99"/>
      <c r="K59" s="5"/>
      <c r="L59" s="5"/>
      <c r="M59" s="5"/>
      <c r="N59" s="5"/>
      <c r="O59" s="5"/>
      <c r="P59" s="5"/>
      <c r="Q59" s="282"/>
      <c r="R59" s="99"/>
      <c r="S59" s="5"/>
      <c r="T59" s="5"/>
      <c r="U59" s="5"/>
      <c r="V59" s="5"/>
      <c r="W59" s="5"/>
      <c r="X59" s="5"/>
      <c r="Y59" s="282"/>
      <c r="Z59" s="99"/>
      <c r="AA59" s="5"/>
      <c r="AB59" s="5"/>
      <c r="AC59" s="5"/>
      <c r="AD59" s="5"/>
      <c r="AE59" s="5"/>
      <c r="AF59" s="5"/>
      <c r="AG59" s="285"/>
      <c r="AK59" s="126"/>
    </row>
    <row r="60" spans="1:37" x14ac:dyDescent="0.3">
      <c r="A60" s="165" t="s">
        <v>549</v>
      </c>
      <c r="B60" s="99" t="s">
        <v>560</v>
      </c>
      <c r="C60" s="5">
        <v>1</v>
      </c>
      <c r="D60" s="5">
        <v>1</v>
      </c>
      <c r="E60" s="5">
        <v>1</v>
      </c>
      <c r="F60" s="5">
        <v>1</v>
      </c>
      <c r="G60" s="5">
        <v>1</v>
      </c>
      <c r="H60" s="5">
        <v>1</v>
      </c>
      <c r="I60" s="282">
        <v>1</v>
      </c>
      <c r="J60" s="99"/>
      <c r="K60" s="5"/>
      <c r="L60" s="5"/>
      <c r="M60" s="5"/>
      <c r="N60" s="5"/>
      <c r="O60" s="5"/>
      <c r="P60" s="5"/>
      <c r="Q60" s="282"/>
      <c r="R60" s="99"/>
      <c r="S60" s="5"/>
      <c r="T60" s="5"/>
      <c r="U60" s="5"/>
      <c r="V60" s="5"/>
      <c r="W60" s="5"/>
      <c r="X60" s="5"/>
      <c r="Y60" s="282"/>
      <c r="Z60" s="99"/>
      <c r="AA60" s="5"/>
      <c r="AB60" s="5"/>
      <c r="AC60" s="5"/>
      <c r="AD60" s="5"/>
      <c r="AE60" s="5"/>
      <c r="AF60" s="5"/>
      <c r="AG60" s="285"/>
      <c r="AK60" s="126"/>
    </row>
    <row r="61" spans="1:37" x14ac:dyDescent="0.3">
      <c r="A61" s="165" t="s">
        <v>550</v>
      </c>
      <c r="B61" s="99" t="s">
        <v>561</v>
      </c>
      <c r="C61" s="5">
        <v>1</v>
      </c>
      <c r="D61" s="5">
        <v>1</v>
      </c>
      <c r="E61" s="5">
        <v>1</v>
      </c>
      <c r="F61" s="5">
        <v>1</v>
      </c>
      <c r="G61" s="5">
        <v>1</v>
      </c>
      <c r="H61" s="5">
        <v>1</v>
      </c>
      <c r="I61" s="282">
        <v>1</v>
      </c>
      <c r="J61" s="99"/>
      <c r="K61" s="5"/>
      <c r="L61" s="5"/>
      <c r="M61" s="5"/>
      <c r="N61" s="5"/>
      <c r="O61" s="5"/>
      <c r="P61" s="5"/>
      <c r="Q61" s="282"/>
      <c r="R61" s="99"/>
      <c r="S61" s="5"/>
      <c r="T61" s="5"/>
      <c r="U61" s="5"/>
      <c r="V61" s="5"/>
      <c r="W61" s="5"/>
      <c r="X61" s="5"/>
      <c r="Y61" s="282"/>
      <c r="Z61" s="99"/>
      <c r="AA61" s="5"/>
      <c r="AB61" s="5"/>
      <c r="AC61" s="5"/>
      <c r="AD61" s="5"/>
      <c r="AE61" s="5"/>
      <c r="AF61" s="5"/>
      <c r="AG61" s="285"/>
      <c r="AK61" s="126"/>
    </row>
    <row r="62" spans="1:37" x14ac:dyDescent="0.3">
      <c r="A62" s="165" t="s">
        <v>551</v>
      </c>
      <c r="B62" s="99" t="s">
        <v>562</v>
      </c>
      <c r="C62" s="5">
        <v>1</v>
      </c>
      <c r="D62" s="5">
        <v>1</v>
      </c>
      <c r="E62" s="5">
        <v>1</v>
      </c>
      <c r="F62" s="5">
        <v>1</v>
      </c>
      <c r="G62" s="5">
        <v>1</v>
      </c>
      <c r="H62" s="5">
        <v>1</v>
      </c>
      <c r="I62" s="282">
        <v>1</v>
      </c>
      <c r="J62" s="99"/>
      <c r="K62" s="5"/>
      <c r="L62" s="5"/>
      <c r="M62" s="5"/>
      <c r="N62" s="5"/>
      <c r="O62" s="5"/>
      <c r="P62" s="5"/>
      <c r="Q62" s="282"/>
      <c r="R62" s="99"/>
      <c r="S62" s="5"/>
      <c r="T62" s="5"/>
      <c r="U62" s="5"/>
      <c r="V62" s="5"/>
      <c r="W62" s="5"/>
      <c r="X62" s="5"/>
      <c r="Y62" s="282"/>
      <c r="Z62" s="99"/>
      <c r="AA62" s="5"/>
      <c r="AB62" s="5"/>
      <c r="AC62" s="5"/>
      <c r="AD62" s="5"/>
      <c r="AE62" s="5"/>
      <c r="AF62" s="5"/>
      <c r="AG62" s="285"/>
      <c r="AK62" s="126"/>
    </row>
    <row r="63" spans="1:37" x14ac:dyDescent="0.3">
      <c r="A63" s="165" t="s">
        <v>552</v>
      </c>
      <c r="B63" s="99" t="s">
        <v>562</v>
      </c>
      <c r="C63" s="5">
        <v>1</v>
      </c>
      <c r="D63" s="5">
        <v>1</v>
      </c>
      <c r="E63" s="5">
        <v>1</v>
      </c>
      <c r="F63" s="5">
        <v>1</v>
      </c>
      <c r="G63" s="5">
        <v>1</v>
      </c>
      <c r="H63" s="5">
        <v>1</v>
      </c>
      <c r="I63" s="282">
        <v>1</v>
      </c>
      <c r="J63" s="99"/>
      <c r="K63" s="5"/>
      <c r="L63" s="5"/>
      <c r="M63" s="5"/>
      <c r="N63" s="5"/>
      <c r="O63" s="5"/>
      <c r="P63" s="5"/>
      <c r="Q63" s="282"/>
      <c r="R63" s="99"/>
      <c r="S63" s="5"/>
      <c r="T63" s="5"/>
      <c r="U63" s="5"/>
      <c r="V63" s="5"/>
      <c r="W63" s="5"/>
      <c r="X63" s="5"/>
      <c r="Y63" s="282"/>
      <c r="Z63" s="99"/>
      <c r="AA63" s="5"/>
      <c r="AB63" s="5"/>
      <c r="AC63" s="5"/>
      <c r="AD63" s="5"/>
      <c r="AE63" s="5"/>
      <c r="AF63" s="5"/>
      <c r="AG63" s="285"/>
      <c r="AK63" s="126"/>
    </row>
    <row r="64" spans="1:37" x14ac:dyDescent="0.3">
      <c r="A64" s="165" t="s">
        <v>553</v>
      </c>
      <c r="B64" s="99" t="s">
        <v>563</v>
      </c>
      <c r="C64" s="5">
        <v>0.81</v>
      </c>
      <c r="D64" s="5">
        <v>0.81</v>
      </c>
      <c r="E64" s="5">
        <v>0.66</v>
      </c>
      <c r="F64" s="5">
        <v>0.64</v>
      </c>
      <c r="G64" s="5">
        <v>0.81</v>
      </c>
      <c r="H64" s="5">
        <v>0.81</v>
      </c>
      <c r="I64" s="282">
        <v>0.95</v>
      </c>
      <c r="J64" s="99" t="s">
        <v>566</v>
      </c>
      <c r="K64" s="5">
        <v>0.19</v>
      </c>
      <c r="L64" s="5">
        <v>0.19</v>
      </c>
      <c r="M64" s="5">
        <v>0.34</v>
      </c>
      <c r="N64" s="5">
        <v>0.36</v>
      </c>
      <c r="O64" s="5">
        <v>0.19</v>
      </c>
      <c r="P64" s="5">
        <v>0.19</v>
      </c>
      <c r="Q64" s="282">
        <v>0.05</v>
      </c>
      <c r="R64" s="99"/>
      <c r="S64" s="5"/>
      <c r="T64" s="5"/>
      <c r="U64" s="5"/>
      <c r="V64" s="5"/>
      <c r="W64" s="5"/>
      <c r="X64" s="5"/>
      <c r="Y64" s="282"/>
      <c r="Z64" s="99"/>
      <c r="AA64" s="5"/>
      <c r="AB64" s="5"/>
      <c r="AC64" s="5"/>
      <c r="AD64" s="5"/>
      <c r="AE64" s="5"/>
      <c r="AF64" s="5"/>
      <c r="AG64" s="285"/>
      <c r="AK64" s="126"/>
    </row>
    <row r="65" spans="1:37" x14ac:dyDescent="0.3">
      <c r="A65" s="165" t="s">
        <v>554</v>
      </c>
      <c r="B65" s="99" t="s">
        <v>563</v>
      </c>
      <c r="C65" s="5">
        <v>0.81</v>
      </c>
      <c r="D65" s="5">
        <v>0.81</v>
      </c>
      <c r="E65" s="5">
        <v>0.65</v>
      </c>
      <c r="F65" s="5">
        <v>0.64</v>
      </c>
      <c r="G65" s="5">
        <v>0.81</v>
      </c>
      <c r="H65" s="5">
        <v>0.81</v>
      </c>
      <c r="I65" s="282">
        <v>0.95</v>
      </c>
      <c r="J65" s="99" t="s">
        <v>567</v>
      </c>
      <c r="K65" s="5">
        <v>0.19</v>
      </c>
      <c r="L65" s="5">
        <v>0.19</v>
      </c>
      <c r="M65" s="5">
        <v>0.35</v>
      </c>
      <c r="N65" s="5">
        <v>0.36</v>
      </c>
      <c r="O65" s="5">
        <v>0.19</v>
      </c>
      <c r="P65" s="5">
        <v>0.19</v>
      </c>
      <c r="Q65" s="282">
        <v>0.05</v>
      </c>
      <c r="R65" s="99"/>
      <c r="S65" s="5"/>
      <c r="T65" s="5"/>
      <c r="U65" s="5"/>
      <c r="V65" s="5"/>
      <c r="W65" s="5"/>
      <c r="X65" s="5"/>
      <c r="Y65" s="282"/>
      <c r="Z65" s="99"/>
      <c r="AA65" s="5"/>
      <c r="AB65" s="5"/>
      <c r="AC65" s="5"/>
      <c r="AD65" s="5"/>
      <c r="AE65" s="5"/>
      <c r="AF65" s="5"/>
      <c r="AG65" s="285"/>
      <c r="AK65" s="126"/>
    </row>
    <row r="66" spans="1:37" x14ac:dyDescent="0.3">
      <c r="A66" s="165" t="s">
        <v>555</v>
      </c>
      <c r="B66" s="99" t="s">
        <v>563</v>
      </c>
      <c r="C66" s="5">
        <v>0.81</v>
      </c>
      <c r="D66" s="5">
        <v>0.81</v>
      </c>
      <c r="E66" s="5">
        <v>0.65</v>
      </c>
      <c r="F66" s="5">
        <v>0.64</v>
      </c>
      <c r="G66" s="5">
        <v>0.81</v>
      </c>
      <c r="H66" s="5">
        <v>0.81</v>
      </c>
      <c r="I66" s="282">
        <v>0.95</v>
      </c>
      <c r="J66" s="99" t="s">
        <v>568</v>
      </c>
      <c r="K66" s="5">
        <v>0.19</v>
      </c>
      <c r="L66" s="5">
        <v>0.19</v>
      </c>
      <c r="M66" s="5">
        <v>0.35</v>
      </c>
      <c r="N66" s="5">
        <v>0.36</v>
      </c>
      <c r="O66" s="5">
        <v>0.19</v>
      </c>
      <c r="P66" s="5">
        <v>0.19</v>
      </c>
      <c r="Q66" s="282">
        <v>0.05</v>
      </c>
      <c r="R66" s="99"/>
      <c r="S66" s="5"/>
      <c r="T66" s="5"/>
      <c r="U66" s="5"/>
      <c r="V66" s="5"/>
      <c r="W66" s="5"/>
      <c r="X66" s="5"/>
      <c r="Y66" s="282"/>
      <c r="Z66" s="99"/>
      <c r="AA66" s="5"/>
      <c r="AB66" s="5"/>
      <c r="AC66" s="5"/>
      <c r="AD66" s="5"/>
      <c r="AE66" s="5"/>
      <c r="AF66" s="5"/>
      <c r="AG66" s="285"/>
      <c r="AK66" s="126"/>
    </row>
    <row r="67" spans="1:37" x14ac:dyDescent="0.3">
      <c r="A67" s="165" t="s">
        <v>556</v>
      </c>
      <c r="B67" s="99" t="s">
        <v>564</v>
      </c>
      <c r="C67" s="5">
        <v>1</v>
      </c>
      <c r="D67" s="5">
        <v>1</v>
      </c>
      <c r="E67" s="5">
        <v>1</v>
      </c>
      <c r="F67" s="5">
        <v>1</v>
      </c>
      <c r="G67" s="5">
        <v>1</v>
      </c>
      <c r="H67" s="5">
        <v>1</v>
      </c>
      <c r="I67" s="282">
        <v>1</v>
      </c>
      <c r="J67" s="99"/>
      <c r="K67" s="5"/>
      <c r="L67" s="5"/>
      <c r="M67" s="5"/>
      <c r="N67" s="5"/>
      <c r="O67" s="5"/>
      <c r="P67" s="5"/>
      <c r="Q67" s="282"/>
      <c r="R67" s="99"/>
      <c r="S67" s="5"/>
      <c r="T67" s="5"/>
      <c r="U67" s="5"/>
      <c r="V67" s="5"/>
      <c r="W67" s="5"/>
      <c r="X67" s="5"/>
      <c r="Y67" s="282"/>
      <c r="Z67" s="99"/>
      <c r="AA67" s="5"/>
      <c r="AB67" s="5"/>
      <c r="AC67" s="5"/>
      <c r="AD67" s="5"/>
      <c r="AE67" s="5"/>
      <c r="AF67" s="5"/>
      <c r="AG67" s="285"/>
      <c r="AK67" s="126"/>
    </row>
    <row r="68" spans="1:37" x14ac:dyDescent="0.3">
      <c r="A68" s="165" t="s">
        <v>582</v>
      </c>
      <c r="B68" s="99" t="s">
        <v>594</v>
      </c>
      <c r="C68" s="5">
        <v>0.9</v>
      </c>
      <c r="D68" s="5">
        <v>0.9</v>
      </c>
      <c r="E68" s="5">
        <v>0.59</v>
      </c>
      <c r="F68" s="5">
        <v>0.91</v>
      </c>
      <c r="G68" s="5">
        <v>0.51</v>
      </c>
      <c r="H68" s="5">
        <v>0.9</v>
      </c>
      <c r="I68" s="282">
        <v>0.95</v>
      </c>
      <c r="J68" s="99" t="s">
        <v>596</v>
      </c>
      <c r="K68" s="5">
        <v>0.1</v>
      </c>
      <c r="L68" s="5">
        <v>0.1</v>
      </c>
      <c r="M68" s="5">
        <v>0.41</v>
      </c>
      <c r="N68" s="5">
        <v>0.09</v>
      </c>
      <c r="O68" s="5">
        <v>0.49</v>
      </c>
      <c r="P68" s="5">
        <v>0.1</v>
      </c>
      <c r="Q68" s="282">
        <v>0.05</v>
      </c>
      <c r="R68" s="99"/>
      <c r="S68" s="5"/>
      <c r="T68" s="5"/>
      <c r="U68" s="5"/>
      <c r="V68" s="5"/>
      <c r="W68" s="5"/>
      <c r="X68" s="5"/>
      <c r="Y68" s="282"/>
      <c r="Z68" s="99"/>
      <c r="AA68" s="5"/>
      <c r="AB68" s="5"/>
      <c r="AC68" s="5"/>
      <c r="AD68" s="5"/>
      <c r="AE68" s="5"/>
      <c r="AF68" s="5"/>
      <c r="AG68" s="285"/>
      <c r="AK68" s="126"/>
    </row>
    <row r="69" spans="1:37" x14ac:dyDescent="0.3">
      <c r="A69" s="165" t="s">
        <v>583</v>
      </c>
      <c r="B69" s="99" t="s">
        <v>595</v>
      </c>
      <c r="C69" s="5">
        <v>1</v>
      </c>
      <c r="D69" s="5">
        <v>1</v>
      </c>
      <c r="E69" s="5">
        <v>1</v>
      </c>
      <c r="F69" s="5">
        <v>1</v>
      </c>
      <c r="G69" s="5">
        <v>1</v>
      </c>
      <c r="H69" s="5">
        <v>1</v>
      </c>
      <c r="I69" s="282">
        <v>1</v>
      </c>
      <c r="J69" s="99"/>
      <c r="K69" s="5"/>
      <c r="L69" s="5"/>
      <c r="M69" s="5"/>
      <c r="N69" s="5"/>
      <c r="O69" s="5"/>
      <c r="P69" s="5"/>
      <c r="Q69" s="282"/>
      <c r="R69" s="99"/>
      <c r="S69" s="5"/>
      <c r="T69" s="5"/>
      <c r="U69" s="5"/>
      <c r="V69" s="5"/>
      <c r="W69" s="5"/>
      <c r="X69" s="5"/>
      <c r="Y69" s="282"/>
      <c r="Z69" s="99"/>
      <c r="AA69" s="5"/>
      <c r="AB69" s="5"/>
      <c r="AC69" s="5"/>
      <c r="AD69" s="5"/>
      <c r="AE69" s="5"/>
      <c r="AF69" s="5"/>
      <c r="AG69" s="285"/>
      <c r="AK69" s="126"/>
    </row>
    <row r="70" spans="1:37" x14ac:dyDescent="0.3">
      <c r="A70" s="165" t="s">
        <v>584</v>
      </c>
      <c r="B70" s="99" t="s">
        <v>597</v>
      </c>
      <c r="C70" s="5">
        <v>1</v>
      </c>
      <c r="D70" s="5">
        <v>1</v>
      </c>
      <c r="E70" s="5">
        <v>1</v>
      </c>
      <c r="F70" s="5">
        <v>1</v>
      </c>
      <c r="G70" s="5">
        <v>1</v>
      </c>
      <c r="H70" s="5">
        <v>1</v>
      </c>
      <c r="I70" s="282">
        <v>1</v>
      </c>
      <c r="J70" s="99"/>
      <c r="K70" s="5"/>
      <c r="L70" s="5"/>
      <c r="M70" s="5"/>
      <c r="N70" s="5"/>
      <c r="O70" s="5"/>
      <c r="P70" s="5"/>
      <c r="Q70" s="282"/>
      <c r="R70" s="99"/>
      <c r="S70" s="5"/>
      <c r="T70" s="5"/>
      <c r="U70" s="5"/>
      <c r="V70" s="5"/>
      <c r="W70" s="5"/>
      <c r="X70" s="5"/>
      <c r="Y70" s="282"/>
      <c r="Z70" s="99"/>
      <c r="AA70" s="5"/>
      <c r="AB70" s="5"/>
      <c r="AC70" s="5"/>
      <c r="AD70" s="5"/>
      <c r="AE70" s="5"/>
      <c r="AF70" s="5"/>
      <c r="AG70" s="285"/>
      <c r="AK70" s="126"/>
    </row>
    <row r="71" spans="1:37" x14ac:dyDescent="0.3">
      <c r="A71" s="165" t="s">
        <v>585</v>
      </c>
      <c r="B71" s="99" t="s">
        <v>597</v>
      </c>
      <c r="C71" s="5">
        <v>1</v>
      </c>
      <c r="D71" s="5">
        <v>1</v>
      </c>
      <c r="E71" s="5">
        <v>1</v>
      </c>
      <c r="F71" s="5">
        <v>1</v>
      </c>
      <c r="G71" s="5">
        <v>1</v>
      </c>
      <c r="H71" s="5">
        <v>1</v>
      </c>
      <c r="I71" s="282">
        <v>1</v>
      </c>
      <c r="J71" s="99"/>
      <c r="K71" s="5"/>
      <c r="L71" s="5"/>
      <c r="M71" s="5"/>
      <c r="N71" s="5"/>
      <c r="O71" s="5"/>
      <c r="P71" s="5"/>
      <c r="Q71" s="282"/>
      <c r="R71" s="99"/>
      <c r="S71" s="5"/>
      <c r="T71" s="5"/>
      <c r="U71" s="5"/>
      <c r="V71" s="5"/>
      <c r="W71" s="5"/>
      <c r="X71" s="5"/>
      <c r="Y71" s="282"/>
      <c r="Z71" s="99"/>
      <c r="AA71" s="5"/>
      <c r="AB71" s="5"/>
      <c r="AC71" s="5"/>
      <c r="AD71" s="5"/>
      <c r="AE71" s="5"/>
      <c r="AF71" s="5"/>
      <c r="AG71" s="285"/>
      <c r="AK71" s="126"/>
    </row>
    <row r="72" spans="1:37" x14ac:dyDescent="0.3">
      <c r="A72" s="165" t="s">
        <v>586</v>
      </c>
      <c r="B72" s="99" t="s">
        <v>598</v>
      </c>
      <c r="C72" s="5">
        <v>0.83</v>
      </c>
      <c r="D72" s="5">
        <v>0.83</v>
      </c>
      <c r="E72" s="5">
        <v>0.66</v>
      </c>
      <c r="F72" s="5">
        <v>0.64</v>
      </c>
      <c r="G72" s="5">
        <v>0.76</v>
      </c>
      <c r="H72" s="5">
        <v>0.83</v>
      </c>
      <c r="I72" s="282">
        <v>0.95</v>
      </c>
      <c r="J72" s="99" t="s">
        <v>603</v>
      </c>
      <c r="K72" s="5">
        <v>0.17</v>
      </c>
      <c r="L72" s="5">
        <v>0.17</v>
      </c>
      <c r="M72" s="5">
        <v>0.34</v>
      </c>
      <c r="N72" s="5">
        <v>0.36</v>
      </c>
      <c r="O72" s="5">
        <v>0.24</v>
      </c>
      <c r="P72" s="5">
        <v>0.17</v>
      </c>
      <c r="Q72" s="282">
        <v>0.05</v>
      </c>
      <c r="R72" s="99"/>
      <c r="S72" s="5"/>
      <c r="T72" s="5"/>
      <c r="U72" s="5"/>
      <c r="V72" s="5"/>
      <c r="W72" s="5"/>
      <c r="X72" s="5"/>
      <c r="Y72" s="282"/>
      <c r="Z72" s="99"/>
      <c r="AA72" s="5"/>
      <c r="AB72" s="5"/>
      <c r="AC72" s="5"/>
      <c r="AD72" s="5"/>
      <c r="AE72" s="5"/>
      <c r="AF72" s="5"/>
      <c r="AG72" s="285"/>
      <c r="AK72" s="126"/>
    </row>
    <row r="73" spans="1:37" x14ac:dyDescent="0.3">
      <c r="A73" s="165" t="s">
        <v>587</v>
      </c>
      <c r="B73" s="99" t="s">
        <v>598</v>
      </c>
      <c r="C73" s="5">
        <v>0.83</v>
      </c>
      <c r="D73" s="5">
        <v>0.83</v>
      </c>
      <c r="E73" s="5">
        <v>0.65</v>
      </c>
      <c r="F73" s="5">
        <v>0.64</v>
      </c>
      <c r="G73" s="5">
        <v>0.76</v>
      </c>
      <c r="H73" s="5">
        <v>0.83</v>
      </c>
      <c r="I73" s="282">
        <v>0.95</v>
      </c>
      <c r="J73" s="99" t="s">
        <v>604</v>
      </c>
      <c r="K73" s="5">
        <v>0.17</v>
      </c>
      <c r="L73" s="5">
        <v>0.17</v>
      </c>
      <c r="M73" s="5">
        <v>0.35</v>
      </c>
      <c r="N73" s="5">
        <v>0.36</v>
      </c>
      <c r="O73" s="5">
        <v>0.24</v>
      </c>
      <c r="P73" s="5">
        <v>0.17</v>
      </c>
      <c r="Q73" s="282">
        <v>0.05</v>
      </c>
      <c r="R73" s="99"/>
      <c r="S73" s="5"/>
      <c r="T73" s="5"/>
      <c r="U73" s="5"/>
      <c r="V73" s="5"/>
      <c r="W73" s="5"/>
      <c r="X73" s="5"/>
      <c r="Y73" s="282"/>
      <c r="Z73" s="99"/>
      <c r="AA73" s="5"/>
      <c r="AB73" s="5"/>
      <c r="AC73" s="5"/>
      <c r="AD73" s="5"/>
      <c r="AE73" s="5"/>
      <c r="AF73" s="5"/>
      <c r="AG73" s="285"/>
      <c r="AK73" s="126"/>
    </row>
    <row r="74" spans="1:37" x14ac:dyDescent="0.3">
      <c r="A74" s="165" t="s">
        <v>588</v>
      </c>
      <c r="B74" s="99" t="s">
        <v>598</v>
      </c>
      <c r="C74" s="5">
        <v>0.83</v>
      </c>
      <c r="D74" s="5">
        <v>0.83</v>
      </c>
      <c r="E74" s="5">
        <v>0.65</v>
      </c>
      <c r="F74" s="5">
        <v>0.64</v>
      </c>
      <c r="G74" s="5">
        <v>0.76</v>
      </c>
      <c r="H74" s="5">
        <v>0.83</v>
      </c>
      <c r="I74" s="282">
        <v>0.95</v>
      </c>
      <c r="J74" s="99" t="s">
        <v>605</v>
      </c>
      <c r="K74" s="5">
        <v>0.17</v>
      </c>
      <c r="L74" s="5">
        <v>0.17</v>
      </c>
      <c r="M74" s="5">
        <v>0.35</v>
      </c>
      <c r="N74" s="5">
        <v>0.36</v>
      </c>
      <c r="O74" s="5">
        <v>0.24</v>
      </c>
      <c r="P74" s="5">
        <v>0.17</v>
      </c>
      <c r="Q74" s="282">
        <v>0.05</v>
      </c>
      <c r="R74" s="99"/>
      <c r="S74" s="5"/>
      <c r="T74" s="5"/>
      <c r="U74" s="5"/>
      <c r="V74" s="5"/>
      <c r="W74" s="5"/>
      <c r="X74" s="5"/>
      <c r="Y74" s="282"/>
      <c r="Z74" s="99"/>
      <c r="AA74" s="5"/>
      <c r="AB74" s="5"/>
      <c r="AC74" s="5"/>
      <c r="AD74" s="5"/>
      <c r="AE74" s="5"/>
      <c r="AF74" s="5"/>
      <c r="AG74" s="285"/>
      <c r="AK74" s="126"/>
    </row>
    <row r="75" spans="1:37" x14ac:dyDescent="0.3">
      <c r="A75" s="165" t="s">
        <v>589</v>
      </c>
      <c r="B75" s="99" t="s">
        <v>599</v>
      </c>
      <c r="C75" s="5">
        <v>1</v>
      </c>
      <c r="D75" s="5">
        <v>1</v>
      </c>
      <c r="E75" s="5">
        <v>1</v>
      </c>
      <c r="F75" s="5">
        <v>1</v>
      </c>
      <c r="G75" s="5">
        <v>1</v>
      </c>
      <c r="H75" s="5">
        <v>1</v>
      </c>
      <c r="I75" s="282">
        <v>1</v>
      </c>
      <c r="J75" s="99"/>
      <c r="K75" s="5"/>
      <c r="L75" s="5"/>
      <c r="M75" s="5"/>
      <c r="N75" s="5"/>
      <c r="O75" s="5"/>
      <c r="P75" s="5"/>
      <c r="Q75" s="282"/>
      <c r="R75" s="99"/>
      <c r="S75" s="5"/>
      <c r="T75" s="5"/>
      <c r="U75" s="5"/>
      <c r="V75" s="5"/>
      <c r="W75" s="5"/>
      <c r="X75" s="5"/>
      <c r="Y75" s="282"/>
      <c r="Z75" s="99"/>
      <c r="AA75" s="5"/>
      <c r="AB75" s="5"/>
      <c r="AC75" s="5"/>
      <c r="AD75" s="5"/>
      <c r="AE75" s="5"/>
      <c r="AF75" s="5"/>
      <c r="AG75" s="285"/>
      <c r="AK75" s="126"/>
    </row>
    <row r="76" spans="1:37" x14ac:dyDescent="0.3">
      <c r="A76" s="165" t="s">
        <v>590</v>
      </c>
      <c r="B76" s="99" t="s">
        <v>600</v>
      </c>
      <c r="C76" s="5">
        <v>1</v>
      </c>
      <c r="D76" s="5">
        <v>1</v>
      </c>
      <c r="E76" s="5">
        <v>1</v>
      </c>
      <c r="F76" s="5">
        <v>1</v>
      </c>
      <c r="G76" s="5">
        <v>1</v>
      </c>
      <c r="H76" s="5">
        <v>1</v>
      </c>
      <c r="I76" s="282">
        <v>1</v>
      </c>
      <c r="J76" s="99"/>
      <c r="K76" s="5"/>
      <c r="L76" s="5"/>
      <c r="M76" s="5"/>
      <c r="N76" s="5"/>
      <c r="O76" s="5"/>
      <c r="P76" s="5"/>
      <c r="Q76" s="282"/>
      <c r="R76" s="99"/>
      <c r="S76" s="5"/>
      <c r="T76" s="5"/>
      <c r="U76" s="5"/>
      <c r="V76" s="5"/>
      <c r="W76" s="5"/>
      <c r="X76" s="5"/>
      <c r="Y76" s="282"/>
      <c r="Z76" s="99"/>
      <c r="AA76" s="5"/>
      <c r="AB76" s="5"/>
      <c r="AC76" s="5"/>
      <c r="AD76" s="5"/>
      <c r="AE76" s="5"/>
      <c r="AF76" s="5"/>
      <c r="AG76" s="285"/>
      <c r="AK76" s="126"/>
    </row>
    <row r="77" spans="1:37" x14ac:dyDescent="0.3">
      <c r="A77" s="165" t="s">
        <v>591</v>
      </c>
      <c r="B77" s="99" t="s">
        <v>601</v>
      </c>
      <c r="C77" s="5">
        <v>1</v>
      </c>
      <c r="D77" s="5">
        <v>1</v>
      </c>
      <c r="E77" s="5">
        <v>1</v>
      </c>
      <c r="F77" s="5">
        <v>1</v>
      </c>
      <c r="G77" s="5">
        <v>1</v>
      </c>
      <c r="H77" s="5">
        <v>1</v>
      </c>
      <c r="I77" s="282">
        <v>1</v>
      </c>
      <c r="J77" s="99"/>
      <c r="K77" s="5"/>
      <c r="L77" s="5"/>
      <c r="M77" s="5"/>
      <c r="N77" s="5"/>
      <c r="O77" s="5"/>
      <c r="P77" s="5"/>
      <c r="Q77" s="282"/>
      <c r="R77" s="99"/>
      <c r="S77" s="5"/>
      <c r="T77" s="5"/>
      <c r="U77" s="5"/>
      <c r="V77" s="5"/>
      <c r="W77" s="5"/>
      <c r="X77" s="5"/>
      <c r="Y77" s="282"/>
      <c r="Z77" s="99"/>
      <c r="AA77" s="5"/>
      <c r="AB77" s="5"/>
      <c r="AC77" s="5"/>
      <c r="AD77" s="5"/>
      <c r="AE77" s="5"/>
      <c r="AF77" s="5"/>
      <c r="AG77" s="285"/>
      <c r="AK77" s="126"/>
    </row>
    <row r="78" spans="1:37" x14ac:dyDescent="0.3">
      <c r="A78" s="165" t="s">
        <v>592</v>
      </c>
      <c r="B78" s="99" t="s">
        <v>601</v>
      </c>
      <c r="C78" s="5">
        <v>1</v>
      </c>
      <c r="D78" s="5">
        <v>1</v>
      </c>
      <c r="E78" s="5">
        <v>1</v>
      </c>
      <c r="F78" s="5">
        <v>1</v>
      </c>
      <c r="G78" s="5">
        <v>1</v>
      </c>
      <c r="H78" s="5">
        <v>1</v>
      </c>
      <c r="I78" s="282">
        <v>1</v>
      </c>
      <c r="J78" s="99"/>
      <c r="K78" s="5"/>
      <c r="L78" s="5"/>
      <c r="M78" s="5"/>
      <c r="N78" s="5"/>
      <c r="O78" s="5"/>
      <c r="P78" s="5"/>
      <c r="Q78" s="282"/>
      <c r="R78" s="99"/>
      <c r="S78" s="5"/>
      <c r="T78" s="5"/>
      <c r="U78" s="5"/>
      <c r="V78" s="5"/>
      <c r="W78" s="5"/>
      <c r="X78" s="5"/>
      <c r="Y78" s="282"/>
      <c r="Z78" s="99"/>
      <c r="AA78" s="5"/>
      <c r="AB78" s="5"/>
      <c r="AC78" s="5"/>
      <c r="AD78" s="5"/>
      <c r="AE78" s="5"/>
      <c r="AF78" s="5"/>
      <c r="AG78" s="285"/>
      <c r="AK78" s="126"/>
    </row>
    <row r="79" spans="1:37" x14ac:dyDescent="0.3">
      <c r="A79" s="165" t="s">
        <v>593</v>
      </c>
      <c r="B79" s="99" t="s">
        <v>602</v>
      </c>
      <c r="C79" s="5">
        <v>1</v>
      </c>
      <c r="D79" s="5">
        <v>1</v>
      </c>
      <c r="E79" s="5">
        <v>1</v>
      </c>
      <c r="F79" s="5">
        <v>1</v>
      </c>
      <c r="G79" s="5">
        <v>1</v>
      </c>
      <c r="H79" s="5">
        <v>1</v>
      </c>
      <c r="I79" s="282">
        <v>1</v>
      </c>
      <c r="J79" s="99"/>
      <c r="K79" s="5"/>
      <c r="L79" s="5"/>
      <c r="M79" s="5"/>
      <c r="N79" s="5"/>
      <c r="O79" s="5"/>
      <c r="P79" s="5"/>
      <c r="Q79" s="282"/>
      <c r="R79" s="99"/>
      <c r="S79" s="5"/>
      <c r="T79" s="5"/>
      <c r="U79" s="5"/>
      <c r="V79" s="5"/>
      <c r="W79" s="5"/>
      <c r="X79" s="5"/>
      <c r="Y79" s="282"/>
      <c r="Z79" s="99"/>
      <c r="AA79" s="5"/>
      <c r="AB79" s="5"/>
      <c r="AC79" s="5"/>
      <c r="AD79" s="5"/>
      <c r="AE79" s="5"/>
      <c r="AF79" s="5"/>
      <c r="AG79" s="285"/>
      <c r="AK79" s="126"/>
    </row>
    <row r="80" spans="1:37" x14ac:dyDescent="0.3">
      <c r="A80" s="165" t="s">
        <v>610</v>
      </c>
      <c r="B80" s="99" t="s">
        <v>609</v>
      </c>
      <c r="C80" s="5">
        <v>1</v>
      </c>
      <c r="D80" s="5">
        <v>1</v>
      </c>
      <c r="E80" s="5">
        <v>1</v>
      </c>
      <c r="F80" s="5">
        <v>1</v>
      </c>
      <c r="G80" s="5">
        <v>1</v>
      </c>
      <c r="H80" s="5">
        <v>1</v>
      </c>
      <c r="I80" s="282">
        <v>1</v>
      </c>
      <c r="J80" s="99"/>
      <c r="K80" s="5"/>
      <c r="L80" s="5"/>
      <c r="M80" s="5"/>
      <c r="N80" s="5"/>
      <c r="O80" s="5"/>
      <c r="P80" s="5"/>
      <c r="Q80" s="282"/>
      <c r="R80" s="99"/>
      <c r="S80" s="5"/>
      <c r="T80" s="5"/>
      <c r="U80" s="5"/>
      <c r="V80" s="5"/>
      <c r="W80" s="5"/>
      <c r="X80" s="5"/>
      <c r="Y80" s="282"/>
      <c r="Z80" s="99"/>
      <c r="AA80" s="5"/>
      <c r="AB80" s="5"/>
      <c r="AC80" s="5"/>
      <c r="AD80" s="5"/>
      <c r="AE80" s="5"/>
      <c r="AF80" s="5"/>
      <c r="AG80" s="285"/>
      <c r="AK80" s="126"/>
    </row>
    <row r="81" spans="1:38" x14ac:dyDescent="0.3">
      <c r="A81" s="165" t="s">
        <v>611</v>
      </c>
      <c r="B81" s="99" t="s">
        <v>609</v>
      </c>
      <c r="C81" s="5">
        <v>1</v>
      </c>
      <c r="D81" s="5">
        <v>1</v>
      </c>
      <c r="E81" s="5">
        <v>1</v>
      </c>
      <c r="F81" s="5">
        <v>1</v>
      </c>
      <c r="G81" s="5">
        <v>1</v>
      </c>
      <c r="H81" s="5">
        <v>1</v>
      </c>
      <c r="I81" s="282">
        <v>1</v>
      </c>
      <c r="J81" s="99"/>
      <c r="K81" s="5"/>
      <c r="L81" s="5"/>
      <c r="M81" s="5"/>
      <c r="N81" s="5"/>
      <c r="O81" s="5"/>
      <c r="P81" s="5"/>
      <c r="Q81" s="282"/>
      <c r="R81" s="99"/>
      <c r="S81" s="5"/>
      <c r="T81" s="5"/>
      <c r="U81" s="5"/>
      <c r="V81" s="5"/>
      <c r="W81" s="5"/>
      <c r="X81" s="5"/>
      <c r="Y81" s="282"/>
      <c r="Z81" s="99"/>
      <c r="AA81" s="5"/>
      <c r="AB81" s="5"/>
      <c r="AC81" s="5"/>
      <c r="AD81" s="5"/>
      <c r="AE81" s="5"/>
      <c r="AF81" s="5"/>
      <c r="AG81" s="285"/>
      <c r="AK81" s="126"/>
    </row>
    <row r="82" spans="1:38" x14ac:dyDescent="0.3">
      <c r="A82" s="165" t="s">
        <v>612</v>
      </c>
      <c r="B82" s="99" t="s">
        <v>620</v>
      </c>
      <c r="C82" s="5">
        <v>0.83</v>
      </c>
      <c r="D82" s="5">
        <v>0.83</v>
      </c>
      <c r="E82" s="5">
        <v>0.66</v>
      </c>
      <c r="F82" s="5">
        <v>0.64</v>
      </c>
      <c r="G82" s="5">
        <v>0.76</v>
      </c>
      <c r="H82" s="5">
        <v>0.83</v>
      </c>
      <c r="I82" s="282">
        <v>0.95</v>
      </c>
      <c r="J82" s="99" t="s">
        <v>624</v>
      </c>
      <c r="K82" s="5">
        <v>0.17</v>
      </c>
      <c r="L82" s="5">
        <v>0.17</v>
      </c>
      <c r="M82" s="5">
        <v>0.34</v>
      </c>
      <c r="N82" s="5">
        <v>0.36</v>
      </c>
      <c r="O82" s="5">
        <v>0.24</v>
      </c>
      <c r="P82" s="5">
        <v>0.17</v>
      </c>
      <c r="Q82" s="282">
        <v>0.05</v>
      </c>
      <c r="R82" s="99"/>
      <c r="S82" s="5"/>
      <c r="T82" s="5"/>
      <c r="U82" s="5"/>
      <c r="V82" s="5"/>
      <c r="W82" s="5"/>
      <c r="X82" s="5"/>
      <c r="Y82" s="282"/>
      <c r="Z82" s="99"/>
      <c r="AA82" s="5"/>
      <c r="AB82" s="5"/>
      <c r="AC82" s="5"/>
      <c r="AD82" s="5"/>
      <c r="AE82" s="5"/>
      <c r="AF82" s="5"/>
      <c r="AG82" s="285"/>
      <c r="AK82" s="126"/>
    </row>
    <row r="83" spans="1:38" x14ac:dyDescent="0.3">
      <c r="A83" s="165" t="s">
        <v>613</v>
      </c>
      <c r="B83" s="99" t="s">
        <v>620</v>
      </c>
      <c r="C83" s="5">
        <v>0.83</v>
      </c>
      <c r="D83" s="5">
        <v>0.83</v>
      </c>
      <c r="E83" s="5">
        <v>0.65</v>
      </c>
      <c r="F83" s="5">
        <v>0.64</v>
      </c>
      <c r="G83" s="5">
        <v>0.76</v>
      </c>
      <c r="H83" s="5">
        <v>0.83</v>
      </c>
      <c r="I83" s="282">
        <v>0.95</v>
      </c>
      <c r="J83" s="99" t="s">
        <v>625</v>
      </c>
      <c r="K83" s="5">
        <v>0.17</v>
      </c>
      <c r="L83" s="5">
        <v>0.17</v>
      </c>
      <c r="M83" s="5">
        <v>0.35</v>
      </c>
      <c r="N83" s="5">
        <v>0.36</v>
      </c>
      <c r="O83" s="5">
        <v>0.24</v>
      </c>
      <c r="P83" s="5">
        <v>0.17</v>
      </c>
      <c r="Q83" s="282">
        <v>0.05</v>
      </c>
      <c r="R83" s="99"/>
      <c r="S83" s="5"/>
      <c r="T83" s="5"/>
      <c r="U83" s="5"/>
      <c r="V83" s="5"/>
      <c r="W83" s="5"/>
      <c r="X83" s="5"/>
      <c r="Y83" s="282"/>
      <c r="Z83" s="99"/>
      <c r="AA83" s="5"/>
      <c r="AB83" s="5"/>
      <c r="AC83" s="5"/>
      <c r="AD83" s="5"/>
      <c r="AE83" s="5"/>
      <c r="AF83" s="5"/>
      <c r="AG83" s="285"/>
      <c r="AK83" s="126"/>
    </row>
    <row r="84" spans="1:38" x14ac:dyDescent="0.3">
      <c r="A84" s="165" t="s">
        <v>614</v>
      </c>
      <c r="B84" s="99" t="s">
        <v>620</v>
      </c>
      <c r="C84" s="5">
        <v>0.83</v>
      </c>
      <c r="D84" s="5">
        <v>0.83</v>
      </c>
      <c r="E84" s="5">
        <v>0.65</v>
      </c>
      <c r="F84" s="5">
        <v>0.64</v>
      </c>
      <c r="G84" s="5">
        <v>0.76</v>
      </c>
      <c r="H84" s="5">
        <v>0.83</v>
      </c>
      <c r="I84" s="282">
        <v>0.95</v>
      </c>
      <c r="J84" s="99" t="s">
        <v>626</v>
      </c>
      <c r="K84" s="5">
        <v>0.17</v>
      </c>
      <c r="L84" s="5">
        <v>0.17</v>
      </c>
      <c r="M84" s="5">
        <v>0.35</v>
      </c>
      <c r="N84" s="5">
        <v>0.36</v>
      </c>
      <c r="O84" s="5">
        <v>0.24</v>
      </c>
      <c r="P84" s="5">
        <v>0.17</v>
      </c>
      <c r="Q84" s="282">
        <v>0.05</v>
      </c>
      <c r="R84" s="99"/>
      <c r="S84" s="5"/>
      <c r="T84" s="5"/>
      <c r="U84" s="5"/>
      <c r="V84" s="5"/>
      <c r="W84" s="5"/>
      <c r="X84" s="5"/>
      <c r="Y84" s="282"/>
      <c r="Z84" s="99"/>
      <c r="AA84" s="5"/>
      <c r="AB84" s="5"/>
      <c r="AC84" s="5"/>
      <c r="AD84" s="5"/>
      <c r="AE84" s="5"/>
      <c r="AF84" s="5"/>
      <c r="AG84" s="285"/>
      <c r="AK84" s="126"/>
    </row>
    <row r="85" spans="1:38" x14ac:dyDescent="0.3">
      <c r="A85" s="165" t="s">
        <v>615</v>
      </c>
      <c r="B85" s="99" t="s">
        <v>621</v>
      </c>
      <c r="C85" s="5">
        <v>1</v>
      </c>
      <c r="D85" s="5">
        <v>1</v>
      </c>
      <c r="E85" s="5">
        <v>1</v>
      </c>
      <c r="F85" s="5">
        <v>1</v>
      </c>
      <c r="G85" s="5">
        <v>1</v>
      </c>
      <c r="H85" s="5">
        <v>1</v>
      </c>
      <c r="I85" s="282">
        <v>1</v>
      </c>
      <c r="J85" s="99"/>
      <c r="K85" s="5"/>
      <c r="L85" s="5"/>
      <c r="M85" s="5"/>
      <c r="N85" s="5"/>
      <c r="O85" s="5"/>
      <c r="P85" s="5"/>
      <c r="Q85" s="282"/>
      <c r="R85" s="99"/>
      <c r="S85" s="5"/>
      <c r="T85" s="5"/>
      <c r="U85" s="5"/>
      <c r="V85" s="5"/>
      <c r="W85" s="5"/>
      <c r="X85" s="5"/>
      <c r="Y85" s="282"/>
      <c r="Z85" s="99"/>
      <c r="AA85" s="5"/>
      <c r="AB85" s="5"/>
      <c r="AC85" s="5"/>
      <c r="AD85" s="5"/>
      <c r="AE85" s="5"/>
      <c r="AF85" s="5"/>
      <c r="AG85" s="285"/>
      <c r="AK85" s="126"/>
    </row>
    <row r="86" spans="1:38" x14ac:dyDescent="0.3">
      <c r="A86" s="165" t="s">
        <v>616</v>
      </c>
      <c r="B86" s="99" t="s">
        <v>622</v>
      </c>
      <c r="C86" s="5">
        <v>1</v>
      </c>
      <c r="D86" s="5">
        <v>1</v>
      </c>
      <c r="E86" s="5">
        <v>1</v>
      </c>
      <c r="F86" s="5">
        <v>1</v>
      </c>
      <c r="G86" s="5">
        <v>1</v>
      </c>
      <c r="H86" s="5">
        <v>1</v>
      </c>
      <c r="I86" s="282">
        <v>1</v>
      </c>
      <c r="J86" s="99"/>
      <c r="K86" s="5"/>
      <c r="L86" s="5"/>
      <c r="M86" s="5"/>
      <c r="N86" s="5"/>
      <c r="O86" s="5"/>
      <c r="P86" s="5"/>
      <c r="Q86" s="282"/>
      <c r="R86" s="99"/>
      <c r="S86" s="5"/>
      <c r="T86" s="5"/>
      <c r="U86" s="5"/>
      <c r="V86" s="5"/>
      <c r="W86" s="5"/>
      <c r="X86" s="5"/>
      <c r="Y86" s="282"/>
      <c r="Z86" s="99"/>
      <c r="AA86" s="5"/>
      <c r="AB86" s="5"/>
      <c r="AC86" s="5"/>
      <c r="AD86" s="5"/>
      <c r="AE86" s="5"/>
      <c r="AF86" s="5"/>
      <c r="AG86" s="285"/>
      <c r="AK86" s="126"/>
    </row>
    <row r="87" spans="1:38" x14ac:dyDescent="0.3">
      <c r="A87" s="165" t="s">
        <v>617</v>
      </c>
      <c r="B87" s="99" t="s">
        <v>623</v>
      </c>
      <c r="C87" s="5">
        <v>1</v>
      </c>
      <c r="D87" s="5">
        <v>1</v>
      </c>
      <c r="E87" s="5">
        <v>1</v>
      </c>
      <c r="F87" s="5">
        <v>1</v>
      </c>
      <c r="G87" s="5">
        <v>1</v>
      </c>
      <c r="H87" s="5">
        <v>1</v>
      </c>
      <c r="I87" s="282">
        <v>1</v>
      </c>
      <c r="J87" s="99"/>
      <c r="K87" s="5"/>
      <c r="L87" s="5"/>
      <c r="M87" s="5"/>
      <c r="N87" s="5"/>
      <c r="O87" s="5"/>
      <c r="P87" s="5"/>
      <c r="Q87" s="282"/>
      <c r="R87" s="99"/>
      <c r="S87" s="5"/>
      <c r="T87" s="5"/>
      <c r="U87" s="5"/>
      <c r="V87" s="5"/>
      <c r="W87" s="5"/>
      <c r="X87" s="5"/>
      <c r="Y87" s="282"/>
      <c r="Z87" s="99"/>
      <c r="AA87" s="5"/>
      <c r="AB87" s="5"/>
      <c r="AC87" s="5"/>
      <c r="AD87" s="5"/>
      <c r="AE87" s="5"/>
      <c r="AF87" s="5"/>
      <c r="AG87" s="285"/>
      <c r="AK87" s="126"/>
    </row>
    <row r="88" spans="1:38" x14ac:dyDescent="0.3">
      <c r="A88" s="165" t="s">
        <v>618</v>
      </c>
      <c r="B88" s="99" t="s">
        <v>623</v>
      </c>
      <c r="C88" s="5">
        <v>1</v>
      </c>
      <c r="D88" s="5">
        <v>1</v>
      </c>
      <c r="E88" s="5">
        <v>1</v>
      </c>
      <c r="F88" s="5">
        <v>1</v>
      </c>
      <c r="G88" s="5">
        <v>1</v>
      </c>
      <c r="H88" s="5">
        <v>1</v>
      </c>
      <c r="I88" s="282">
        <v>1</v>
      </c>
      <c r="J88" s="99"/>
      <c r="K88" s="5"/>
      <c r="L88" s="5"/>
      <c r="M88" s="5"/>
      <c r="N88" s="5"/>
      <c r="O88" s="5"/>
      <c r="P88" s="5"/>
      <c r="Q88" s="282"/>
      <c r="R88" s="99"/>
      <c r="S88" s="5"/>
      <c r="T88" s="5"/>
      <c r="U88" s="5"/>
      <c r="V88" s="5"/>
      <c r="W88" s="5"/>
      <c r="X88" s="5"/>
      <c r="Y88" s="282"/>
      <c r="Z88" s="99"/>
      <c r="AA88" s="5"/>
      <c r="AB88" s="5"/>
      <c r="AC88" s="5"/>
      <c r="AD88" s="5"/>
      <c r="AE88" s="5"/>
      <c r="AF88" s="5"/>
      <c r="AG88" s="285"/>
      <c r="AK88" s="126"/>
    </row>
    <row r="89" spans="1:38" x14ac:dyDescent="0.3">
      <c r="A89" s="165"/>
      <c r="B89" s="99"/>
      <c r="C89" s="5"/>
      <c r="D89" s="5"/>
      <c r="E89" s="5"/>
      <c r="F89" s="5"/>
      <c r="G89" s="5"/>
      <c r="H89" s="5"/>
      <c r="I89" s="282"/>
      <c r="J89" s="99"/>
      <c r="K89" s="5"/>
      <c r="L89" s="5"/>
      <c r="M89" s="5"/>
      <c r="N89" s="5"/>
      <c r="O89" s="5"/>
      <c r="P89" s="5"/>
      <c r="Q89" s="282"/>
      <c r="R89" s="99"/>
      <c r="S89" s="5"/>
      <c r="T89" s="5"/>
      <c r="U89" s="5"/>
      <c r="V89" s="5"/>
      <c r="W89" s="5"/>
      <c r="X89" s="5"/>
      <c r="Y89" s="282"/>
      <c r="Z89" s="99"/>
      <c r="AA89" s="5"/>
      <c r="AB89" s="5"/>
      <c r="AC89" s="5"/>
      <c r="AD89" s="5"/>
      <c r="AE89" s="5"/>
      <c r="AF89" s="5"/>
      <c r="AG89" s="285"/>
      <c r="AK89" s="126"/>
    </row>
    <row r="90" spans="1:38" x14ac:dyDescent="0.3">
      <c r="A90" s="165" t="s">
        <v>740</v>
      </c>
      <c r="B90" s="99" t="s">
        <v>729</v>
      </c>
      <c r="C90" s="5">
        <v>1</v>
      </c>
      <c r="D90" s="5">
        <v>1</v>
      </c>
      <c r="E90" s="5">
        <v>1</v>
      </c>
      <c r="F90" s="5">
        <v>1</v>
      </c>
      <c r="G90" s="5">
        <v>1</v>
      </c>
      <c r="H90" s="5">
        <v>1</v>
      </c>
      <c r="I90" s="282">
        <v>1</v>
      </c>
      <c r="J90" s="99"/>
      <c r="K90" s="5"/>
      <c r="L90" s="5"/>
      <c r="M90" s="5"/>
      <c r="N90" s="5"/>
      <c r="O90" s="5"/>
      <c r="P90" s="5"/>
      <c r="Q90" s="282"/>
      <c r="R90" s="99"/>
      <c r="S90" s="5"/>
      <c r="T90" s="5"/>
      <c r="U90" s="5"/>
      <c r="V90" s="5"/>
      <c r="W90" s="5"/>
      <c r="X90" s="5"/>
      <c r="Y90" s="282"/>
      <c r="Z90" s="99"/>
      <c r="AA90" s="5"/>
      <c r="AB90" s="5"/>
      <c r="AC90" s="5"/>
      <c r="AD90" s="5"/>
      <c r="AE90" s="5"/>
      <c r="AF90" s="5"/>
      <c r="AG90" s="285"/>
      <c r="AK90" s="126"/>
      <c r="AL90" t="s">
        <v>912</v>
      </c>
    </row>
    <row r="91" spans="1:38" x14ac:dyDescent="0.3">
      <c r="A91" s="165" t="s">
        <v>741</v>
      </c>
      <c r="B91" s="99" t="s">
        <v>730</v>
      </c>
      <c r="C91" s="5">
        <v>0.71</v>
      </c>
      <c r="D91" s="5">
        <v>0.71</v>
      </c>
      <c r="E91" s="5">
        <v>0.34</v>
      </c>
      <c r="F91" s="5">
        <v>0.37</v>
      </c>
      <c r="G91" s="5">
        <v>0.61</v>
      </c>
      <c r="H91" s="5">
        <v>0.71</v>
      </c>
      <c r="I91" s="282">
        <v>0.95</v>
      </c>
      <c r="J91" s="99" t="s">
        <v>731</v>
      </c>
      <c r="K91" s="5">
        <v>0.28999999999999998</v>
      </c>
      <c r="L91" s="5">
        <v>0.28999999999999998</v>
      </c>
      <c r="M91" s="5">
        <v>0.66</v>
      </c>
      <c r="N91" s="5">
        <v>0.63</v>
      </c>
      <c r="O91" s="5">
        <v>0.39</v>
      </c>
      <c r="P91" s="5">
        <v>0.28999999999999998</v>
      </c>
      <c r="Q91" s="282">
        <v>0.05</v>
      </c>
      <c r="R91" s="99"/>
      <c r="S91" s="5"/>
      <c r="T91" s="5"/>
      <c r="U91" s="5"/>
      <c r="V91" s="5"/>
      <c r="W91" s="5"/>
      <c r="X91" s="5"/>
      <c r="Y91" s="282"/>
      <c r="Z91" s="99"/>
      <c r="AA91" s="5"/>
      <c r="AB91" s="5"/>
      <c r="AC91" s="5"/>
      <c r="AD91" s="5"/>
      <c r="AE91" s="5"/>
      <c r="AF91" s="5"/>
      <c r="AG91" s="285"/>
      <c r="AK91" s="126">
        <v>297.5</v>
      </c>
    </row>
    <row r="92" spans="1:38" x14ac:dyDescent="0.3">
      <c r="A92" s="165" t="s">
        <v>742</v>
      </c>
      <c r="B92" s="99" t="s">
        <v>729</v>
      </c>
      <c r="C92" s="5">
        <v>1</v>
      </c>
      <c r="D92" s="5">
        <v>1</v>
      </c>
      <c r="E92" s="5">
        <v>1</v>
      </c>
      <c r="F92" s="5">
        <v>1</v>
      </c>
      <c r="G92" s="5">
        <v>1</v>
      </c>
      <c r="H92" s="5">
        <v>1</v>
      </c>
      <c r="I92" s="282">
        <v>1</v>
      </c>
      <c r="J92" s="99"/>
      <c r="K92" s="5"/>
      <c r="L92" s="5"/>
      <c r="M92" s="5"/>
      <c r="N92" s="5"/>
      <c r="O92" s="5"/>
      <c r="P92" s="5"/>
      <c r="Q92" s="282"/>
      <c r="R92" s="99"/>
      <c r="S92" s="5"/>
      <c r="T92" s="5"/>
      <c r="U92" s="5"/>
      <c r="V92" s="5"/>
      <c r="W92" s="5"/>
      <c r="X92" s="5"/>
      <c r="Y92" s="282"/>
      <c r="Z92" s="99"/>
      <c r="AA92" s="5"/>
      <c r="AB92" s="5"/>
      <c r="AC92" s="5"/>
      <c r="AD92" s="5"/>
      <c r="AE92" s="5"/>
      <c r="AF92" s="5"/>
      <c r="AG92" s="285"/>
      <c r="AK92" s="126"/>
      <c r="AL92" t="s">
        <v>912</v>
      </c>
    </row>
    <row r="93" spans="1:38" x14ac:dyDescent="0.3">
      <c r="A93" s="165" t="s">
        <v>743</v>
      </c>
      <c r="B93" s="99" t="s">
        <v>732</v>
      </c>
      <c r="C93" s="5">
        <v>1</v>
      </c>
      <c r="D93" s="5">
        <v>1</v>
      </c>
      <c r="E93" s="5">
        <v>1</v>
      </c>
      <c r="F93" s="5">
        <v>1</v>
      </c>
      <c r="G93" s="5">
        <v>1</v>
      </c>
      <c r="H93" s="5">
        <v>1</v>
      </c>
      <c r="I93" s="282">
        <v>1</v>
      </c>
      <c r="J93" s="99"/>
      <c r="K93" s="5"/>
      <c r="L93" s="5"/>
      <c r="M93" s="5"/>
      <c r="N93" s="5"/>
      <c r="O93" s="5"/>
      <c r="P93" s="5"/>
      <c r="Q93" s="282"/>
      <c r="R93" s="99"/>
      <c r="S93" s="5"/>
      <c r="T93" s="5"/>
      <c r="U93" s="5"/>
      <c r="V93" s="5"/>
      <c r="W93" s="5"/>
      <c r="X93" s="5"/>
      <c r="Y93" s="282"/>
      <c r="Z93" s="99"/>
      <c r="AA93" s="5"/>
      <c r="AB93" s="5"/>
      <c r="AC93" s="5"/>
      <c r="AD93" s="5"/>
      <c r="AE93" s="5"/>
      <c r="AF93" s="5"/>
      <c r="AG93" s="285"/>
      <c r="AK93" s="126">
        <v>42.5</v>
      </c>
    </row>
    <row r="94" spans="1:38" x14ac:dyDescent="0.3">
      <c r="A94" s="165" t="s">
        <v>744</v>
      </c>
      <c r="B94" s="99" t="s">
        <v>747</v>
      </c>
      <c r="C94" s="5">
        <v>1</v>
      </c>
      <c r="D94" s="5">
        <v>1</v>
      </c>
      <c r="E94" s="5">
        <v>1</v>
      </c>
      <c r="F94" s="5">
        <v>1</v>
      </c>
      <c r="G94" s="5">
        <v>1</v>
      </c>
      <c r="H94" s="5">
        <v>1</v>
      </c>
      <c r="I94" s="282">
        <v>1</v>
      </c>
      <c r="J94" s="99"/>
      <c r="K94" s="5"/>
      <c r="L94" s="5"/>
      <c r="M94" s="5"/>
      <c r="N94" s="5"/>
      <c r="O94" s="5"/>
      <c r="P94" s="5"/>
      <c r="Q94" s="282"/>
      <c r="R94" s="99"/>
      <c r="S94" s="5"/>
      <c r="T94" s="5"/>
      <c r="U94" s="5"/>
      <c r="V94" s="5"/>
      <c r="W94" s="5"/>
      <c r="X94" s="5"/>
      <c r="Y94" s="282"/>
      <c r="Z94" s="99"/>
      <c r="AA94" s="5"/>
      <c r="AB94" s="5"/>
      <c r="AC94" s="5"/>
      <c r="AD94" s="5"/>
      <c r="AE94" s="5"/>
      <c r="AF94" s="5"/>
      <c r="AG94" s="285"/>
      <c r="AK94" s="126"/>
      <c r="AL94" t="s">
        <v>912</v>
      </c>
    </row>
    <row r="95" spans="1:38" x14ac:dyDescent="0.3">
      <c r="A95" s="165" t="s">
        <v>745</v>
      </c>
      <c r="B95" s="99" t="s">
        <v>748</v>
      </c>
      <c r="C95" s="5">
        <v>0.52</v>
      </c>
      <c r="D95" s="5">
        <v>0.52</v>
      </c>
      <c r="E95" s="5">
        <v>0.28999999999999998</v>
      </c>
      <c r="F95" s="5">
        <v>0.35</v>
      </c>
      <c r="G95" s="5">
        <v>0.52</v>
      </c>
      <c r="H95" s="5">
        <v>0.52</v>
      </c>
      <c r="I95" s="282">
        <v>0.95</v>
      </c>
      <c r="J95" s="99" t="s">
        <v>750</v>
      </c>
      <c r="K95" s="5">
        <v>0.48</v>
      </c>
      <c r="L95" s="5">
        <v>0.48</v>
      </c>
      <c r="M95" s="5">
        <v>0.71</v>
      </c>
      <c r="N95" s="5">
        <v>0.65</v>
      </c>
      <c r="O95" s="5">
        <v>0.48</v>
      </c>
      <c r="P95" s="5">
        <v>0.48</v>
      </c>
      <c r="Q95" s="282">
        <v>0.05</v>
      </c>
      <c r="R95" s="99"/>
      <c r="S95" s="5"/>
      <c r="T95" s="5"/>
      <c r="U95" s="5"/>
      <c r="V95" s="5"/>
      <c r="W95" s="5"/>
      <c r="X95" s="5"/>
      <c r="Y95" s="282"/>
      <c r="Z95" s="99"/>
      <c r="AA95" s="5"/>
      <c r="AB95" s="5"/>
      <c r="AC95" s="5"/>
      <c r="AD95" s="5"/>
      <c r="AE95" s="5"/>
      <c r="AF95" s="5"/>
      <c r="AG95" s="285"/>
      <c r="AK95" s="126">
        <v>5.0999999999999996</v>
      </c>
    </row>
    <row r="96" spans="1:38" x14ac:dyDescent="0.3">
      <c r="A96" s="165" t="s">
        <v>746</v>
      </c>
      <c r="B96" s="99" t="s">
        <v>749</v>
      </c>
      <c r="C96" s="5">
        <v>1</v>
      </c>
      <c r="D96" s="5">
        <v>1</v>
      </c>
      <c r="E96" s="5">
        <v>1</v>
      </c>
      <c r="F96" s="5">
        <v>1</v>
      </c>
      <c r="G96" s="5">
        <v>1</v>
      </c>
      <c r="H96" s="5">
        <v>1</v>
      </c>
      <c r="I96" s="282">
        <v>1</v>
      </c>
      <c r="J96" s="99"/>
      <c r="K96" s="5"/>
      <c r="L96" s="5"/>
      <c r="M96" s="5"/>
      <c r="N96" s="5"/>
      <c r="O96" s="5"/>
      <c r="P96" s="5"/>
      <c r="Q96" s="282"/>
      <c r="R96" s="99"/>
      <c r="S96" s="5"/>
      <c r="T96" s="5"/>
      <c r="U96" s="5"/>
      <c r="V96" s="5"/>
      <c r="W96" s="5"/>
      <c r="X96" s="5"/>
      <c r="Y96" s="282"/>
      <c r="Z96" s="99"/>
      <c r="AA96" s="5"/>
      <c r="AB96" s="5"/>
      <c r="AC96" s="5"/>
      <c r="AD96" s="5"/>
      <c r="AE96" s="5"/>
      <c r="AF96" s="5"/>
      <c r="AG96" s="285"/>
      <c r="AK96" s="126">
        <v>1.7</v>
      </c>
    </row>
    <row r="97" spans="1:37" x14ac:dyDescent="0.3">
      <c r="A97" s="165" t="s">
        <v>764</v>
      </c>
      <c r="B97" s="99" t="s">
        <v>747</v>
      </c>
      <c r="C97" s="5">
        <v>1</v>
      </c>
      <c r="D97" s="5">
        <v>1</v>
      </c>
      <c r="E97" s="5">
        <v>1</v>
      </c>
      <c r="F97" s="5">
        <v>1</v>
      </c>
      <c r="G97" s="5">
        <v>1</v>
      </c>
      <c r="H97" s="5">
        <v>1</v>
      </c>
      <c r="I97" s="282">
        <v>1</v>
      </c>
      <c r="J97" s="99"/>
      <c r="K97" s="5"/>
      <c r="L97" s="5"/>
      <c r="M97" s="5"/>
      <c r="N97" s="5"/>
      <c r="O97" s="5"/>
      <c r="P97" s="5"/>
      <c r="Q97" s="282"/>
      <c r="R97" s="99"/>
      <c r="S97" s="5"/>
      <c r="T97" s="5"/>
      <c r="U97" s="5"/>
      <c r="V97" s="5"/>
      <c r="W97" s="5"/>
      <c r="X97" s="5"/>
      <c r="Y97" s="282"/>
      <c r="Z97" s="99"/>
      <c r="AA97" s="5"/>
      <c r="AB97" s="5"/>
      <c r="AC97" s="5"/>
      <c r="AD97" s="5"/>
      <c r="AE97" s="5"/>
      <c r="AF97" s="5"/>
      <c r="AG97" s="285"/>
      <c r="AK97" s="126"/>
    </row>
    <row r="98" spans="1:37" x14ac:dyDescent="0.3">
      <c r="A98" s="165" t="s">
        <v>762</v>
      </c>
      <c r="B98" s="99" t="s">
        <v>767</v>
      </c>
      <c r="C98" s="5">
        <v>0.5</v>
      </c>
      <c r="D98" s="5">
        <v>0.5</v>
      </c>
      <c r="E98" s="5">
        <v>0.3</v>
      </c>
      <c r="F98" s="5">
        <v>0.34</v>
      </c>
      <c r="G98" s="5">
        <v>0.46</v>
      </c>
      <c r="H98" s="5">
        <v>0.5</v>
      </c>
      <c r="I98" s="282">
        <v>0.95</v>
      </c>
      <c r="J98" s="99" t="s">
        <v>765</v>
      </c>
      <c r="K98" s="5">
        <v>0.5</v>
      </c>
      <c r="L98" s="5">
        <v>0.5</v>
      </c>
      <c r="M98" s="5">
        <v>0.7</v>
      </c>
      <c r="N98" s="5">
        <v>0.66</v>
      </c>
      <c r="O98" s="5">
        <v>0.54</v>
      </c>
      <c r="P98" s="5">
        <v>0.5</v>
      </c>
      <c r="Q98" s="282">
        <v>0.05</v>
      </c>
      <c r="R98" s="99"/>
      <c r="S98" s="5"/>
      <c r="T98" s="5"/>
      <c r="U98" s="5"/>
      <c r="V98" s="5"/>
      <c r="W98" s="5"/>
      <c r="X98" s="5"/>
      <c r="Y98" s="282"/>
      <c r="Z98" s="99"/>
      <c r="AA98" s="5"/>
      <c r="AB98" s="5"/>
      <c r="AC98" s="5"/>
      <c r="AD98" s="5"/>
      <c r="AE98" s="5"/>
      <c r="AF98" s="5"/>
      <c r="AG98" s="285"/>
      <c r="AK98" s="126">
        <v>25.5</v>
      </c>
    </row>
    <row r="99" spans="1:37" x14ac:dyDescent="0.3">
      <c r="A99" s="165" t="s">
        <v>763</v>
      </c>
      <c r="B99" s="99" t="s">
        <v>766</v>
      </c>
      <c r="C99" s="5">
        <v>1</v>
      </c>
      <c r="D99" s="5">
        <v>1</v>
      </c>
      <c r="E99" s="5">
        <v>1</v>
      </c>
      <c r="F99" s="5">
        <v>1</v>
      </c>
      <c r="G99" s="5">
        <v>1</v>
      </c>
      <c r="H99" s="5">
        <v>1</v>
      </c>
      <c r="I99" s="282">
        <v>1</v>
      </c>
      <c r="J99" s="99"/>
      <c r="K99" s="5"/>
      <c r="L99" s="5"/>
      <c r="M99" s="5"/>
      <c r="N99" s="5"/>
      <c r="O99" s="5"/>
      <c r="P99" s="5"/>
      <c r="Q99" s="282"/>
      <c r="R99" s="99"/>
      <c r="S99" s="5"/>
      <c r="T99" s="5"/>
      <c r="U99" s="5"/>
      <c r="V99" s="5"/>
      <c r="W99" s="5"/>
      <c r="X99" s="5"/>
      <c r="Y99" s="282"/>
      <c r="Z99" s="99"/>
      <c r="AA99" s="5"/>
      <c r="AB99" s="5"/>
      <c r="AC99" s="5"/>
      <c r="AD99" s="5"/>
      <c r="AE99" s="5"/>
      <c r="AF99" s="5"/>
      <c r="AG99" s="285"/>
      <c r="AK99" s="126">
        <v>8.5</v>
      </c>
    </row>
    <row r="100" spans="1:37" x14ac:dyDescent="0.3">
      <c r="A100" s="165"/>
      <c r="B100" s="99"/>
      <c r="C100" s="5"/>
      <c r="D100" s="5"/>
      <c r="E100" s="5"/>
      <c r="F100" s="5"/>
      <c r="G100" s="5"/>
      <c r="H100" s="5"/>
      <c r="I100" s="282"/>
      <c r="J100" s="99"/>
      <c r="K100" s="5"/>
      <c r="L100" s="5"/>
      <c r="M100" s="5"/>
      <c r="N100" s="5"/>
      <c r="O100" s="5"/>
      <c r="P100" s="5"/>
      <c r="Q100" s="282"/>
      <c r="R100" s="99"/>
      <c r="S100" s="5"/>
      <c r="T100" s="5"/>
      <c r="U100" s="5"/>
      <c r="V100" s="5"/>
      <c r="W100" s="5"/>
      <c r="X100" s="5"/>
      <c r="Y100" s="282"/>
      <c r="Z100" s="99"/>
      <c r="AA100" s="5"/>
      <c r="AB100" s="5"/>
      <c r="AC100" s="5"/>
      <c r="AD100" s="5"/>
      <c r="AE100" s="5"/>
      <c r="AF100" s="5"/>
      <c r="AG100" s="285"/>
      <c r="AK100" s="126"/>
    </row>
    <row r="101" spans="1:37" x14ac:dyDescent="0.3">
      <c r="A101" s="165"/>
      <c r="B101" s="99"/>
      <c r="C101" s="5"/>
      <c r="D101" s="5"/>
      <c r="E101" s="5"/>
      <c r="F101" s="5"/>
      <c r="G101" s="5"/>
      <c r="H101" s="5"/>
      <c r="I101" s="282"/>
      <c r="J101" s="99"/>
      <c r="K101" s="5"/>
      <c r="L101" s="5"/>
      <c r="M101" s="5"/>
      <c r="N101" s="5"/>
      <c r="O101" s="5"/>
      <c r="P101" s="5"/>
      <c r="Q101" s="282"/>
      <c r="R101" s="99"/>
      <c r="S101" s="5"/>
      <c r="T101" s="5"/>
      <c r="U101" s="5"/>
      <c r="V101" s="5"/>
      <c r="W101" s="5"/>
      <c r="X101" s="5"/>
      <c r="Y101" s="282"/>
      <c r="Z101" s="99"/>
      <c r="AA101" s="5"/>
      <c r="AB101" s="5"/>
      <c r="AC101" s="5"/>
      <c r="AD101" s="5"/>
      <c r="AE101" s="5"/>
      <c r="AF101" s="5"/>
      <c r="AG101" s="285"/>
      <c r="AK101" s="126"/>
    </row>
    <row r="102" spans="1:37" x14ac:dyDescent="0.3">
      <c r="A102" s="165"/>
      <c r="B102" s="99"/>
      <c r="C102" s="5"/>
      <c r="D102" s="5"/>
      <c r="E102" s="5"/>
      <c r="F102" s="5"/>
      <c r="G102" s="5"/>
      <c r="H102" s="5"/>
      <c r="I102" s="282"/>
      <c r="J102" s="99"/>
      <c r="K102" s="5"/>
      <c r="L102" s="5"/>
      <c r="M102" s="5"/>
      <c r="N102" s="5"/>
      <c r="O102" s="5"/>
      <c r="P102" s="5"/>
      <c r="Q102" s="282"/>
      <c r="R102" s="99"/>
      <c r="S102" s="5"/>
      <c r="T102" s="5"/>
      <c r="U102" s="5"/>
      <c r="V102" s="5"/>
      <c r="W102" s="5"/>
      <c r="X102" s="5"/>
      <c r="Y102" s="282"/>
      <c r="Z102" s="99"/>
      <c r="AA102" s="5"/>
      <c r="AB102" s="5"/>
      <c r="AC102" s="5"/>
      <c r="AD102" s="5"/>
      <c r="AE102" s="5"/>
      <c r="AF102" s="5"/>
      <c r="AG102" s="285"/>
      <c r="AK102" s="126"/>
    </row>
    <row r="103" spans="1:37" x14ac:dyDescent="0.3">
      <c r="A103" s="165"/>
      <c r="B103" s="99"/>
      <c r="C103" s="5"/>
      <c r="D103" s="5"/>
      <c r="E103" s="5"/>
      <c r="F103" s="5"/>
      <c r="G103" s="5"/>
      <c r="H103" s="5"/>
      <c r="I103" s="282"/>
      <c r="J103" s="99"/>
      <c r="K103" s="5"/>
      <c r="L103" s="5"/>
      <c r="M103" s="5"/>
      <c r="N103" s="5"/>
      <c r="O103" s="5"/>
      <c r="P103" s="5"/>
      <c r="Q103" s="282"/>
      <c r="R103" s="99"/>
      <c r="S103" s="5"/>
      <c r="T103" s="5"/>
      <c r="U103" s="5"/>
      <c r="V103" s="5"/>
      <c r="W103" s="5"/>
      <c r="X103" s="5"/>
      <c r="Y103" s="282"/>
      <c r="Z103" s="99"/>
      <c r="AA103" s="5"/>
      <c r="AB103" s="5"/>
      <c r="AC103" s="5"/>
      <c r="AD103" s="5"/>
      <c r="AE103" s="5"/>
      <c r="AF103" s="5"/>
      <c r="AG103" s="285"/>
      <c r="AK103" s="126"/>
    </row>
    <row r="104" spans="1:37" x14ac:dyDescent="0.3">
      <c r="A104" s="165"/>
      <c r="B104" s="99"/>
      <c r="C104" s="5"/>
      <c r="D104" s="5"/>
      <c r="E104" s="5"/>
      <c r="F104" s="5"/>
      <c r="G104" s="5"/>
      <c r="H104" s="5"/>
      <c r="I104" s="282"/>
      <c r="J104" s="99"/>
      <c r="K104" s="5"/>
      <c r="L104" s="5"/>
      <c r="M104" s="5"/>
      <c r="N104" s="5"/>
      <c r="O104" s="5"/>
      <c r="P104" s="5"/>
      <c r="Q104" s="282"/>
      <c r="R104" s="99"/>
      <c r="S104" s="5"/>
      <c r="T104" s="5"/>
      <c r="U104" s="5"/>
      <c r="V104" s="5"/>
      <c r="W104" s="5"/>
      <c r="X104" s="5"/>
      <c r="Y104" s="282"/>
      <c r="Z104" s="99"/>
      <c r="AA104" s="5"/>
      <c r="AB104" s="5"/>
      <c r="AC104" s="5"/>
      <c r="AD104" s="5"/>
      <c r="AE104" s="5"/>
      <c r="AF104" s="5"/>
      <c r="AG104" s="285"/>
      <c r="AK104" s="126"/>
    </row>
    <row r="105" spans="1:37" ht="15" thickBot="1" x14ac:dyDescent="0.35">
      <c r="A105" s="165"/>
      <c r="B105" s="100"/>
      <c r="C105" s="101"/>
      <c r="D105" s="101"/>
      <c r="E105" s="101"/>
      <c r="F105" s="101"/>
      <c r="G105" s="101"/>
      <c r="H105" s="101"/>
      <c r="I105" s="283"/>
      <c r="J105" s="100"/>
      <c r="K105" s="101"/>
      <c r="L105" s="101"/>
      <c r="M105" s="101"/>
      <c r="N105" s="101"/>
      <c r="O105" s="101"/>
      <c r="P105" s="101"/>
      <c r="Q105" s="283"/>
      <c r="R105" s="100"/>
      <c r="S105" s="101"/>
      <c r="T105" s="101"/>
      <c r="U105" s="101"/>
      <c r="V105" s="101"/>
      <c r="W105" s="101"/>
      <c r="X105" s="101"/>
      <c r="Y105" s="283"/>
      <c r="Z105" s="100"/>
      <c r="AA105" s="101"/>
      <c r="AB105" s="101"/>
      <c r="AC105" s="101"/>
      <c r="AD105" s="101"/>
      <c r="AE105" s="101"/>
      <c r="AF105" s="101"/>
      <c r="AG105" s="286"/>
      <c r="AK105" s="126"/>
    </row>
  </sheetData>
  <dataValidations count="1">
    <dataValidation type="list" allowBlank="1" showInputMessage="1" showErrorMessage="1" sqref="S4:Y105 AA4:AC105" xr:uid="{00000000-0002-0000-1300-000000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1000000}">
          <x14:formula1>
            <xm:f>'Processed products'!$AJ$5:$AJ$104</xm:f>
          </x14:formula1>
          <xm:sqref>Z4:Z105 R4:R105</xm:sqref>
        </x14:dataValidation>
        <x14:dataValidation type="list" allowBlank="1" showInputMessage="1" showErrorMessage="1" xr:uid="{00000000-0002-0000-1300-000002000000}">
          <x14:formula1>
            <xm:f>'Processed products'!$AJ$5:$AJ$250</xm:f>
          </x14:formula1>
          <xm:sqref>B4:B105 J4:J105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tabColor theme="8" tint="-0.249977111117893"/>
  </sheetPr>
  <dimension ref="A1:BS54"/>
  <sheetViews>
    <sheetView workbookViewId="0"/>
  </sheetViews>
  <sheetFormatPr defaultRowHeight="14.4" x14ac:dyDescent="0.3"/>
  <cols>
    <col min="2" max="2" width="33.44140625" customWidth="1"/>
    <col min="3" max="3" width="31.6640625" bestFit="1" customWidth="1"/>
    <col min="4" max="4" width="12.6640625" customWidth="1"/>
    <col min="5" max="5" width="29" bestFit="1" customWidth="1"/>
    <col min="12" max="13" width="43.44140625" customWidth="1"/>
    <col min="14" max="14" width="42.44140625" customWidth="1"/>
    <col min="15" max="20" width="10.6640625" customWidth="1"/>
    <col min="21" max="21" width="12.33203125" bestFit="1" customWidth="1"/>
    <col min="22" max="22" width="14.33203125" bestFit="1" customWidth="1"/>
    <col min="23" max="23" width="12.33203125" bestFit="1" customWidth="1"/>
    <col min="24" max="29" width="12.33203125" customWidth="1"/>
    <col min="30" max="30" width="12.5546875" bestFit="1" customWidth="1"/>
    <col min="31" max="31" width="12.33203125" customWidth="1"/>
    <col min="32" max="32" width="12.5546875" bestFit="1" customWidth="1"/>
    <col min="33" max="33" width="5.6640625" customWidth="1"/>
    <col min="34" max="34" width="8.44140625" customWidth="1"/>
    <col min="41" max="41" width="21.6640625" bestFit="1" customWidth="1"/>
    <col min="42" max="42" width="7.44140625" bestFit="1" customWidth="1"/>
    <col min="43" max="43" width="7.44140625" customWidth="1"/>
    <col min="44" max="44" width="17.44140625" bestFit="1" customWidth="1"/>
    <col min="45" max="45" width="7.44140625" bestFit="1" customWidth="1"/>
    <col min="46" max="46" width="7.44140625" customWidth="1"/>
    <col min="47" max="47" width="16" bestFit="1" customWidth="1"/>
    <col min="48" max="48" width="7.44140625" bestFit="1" customWidth="1"/>
    <col min="49" max="49" width="7.44140625" customWidth="1"/>
    <col min="50" max="50" width="14.6640625" bestFit="1" customWidth="1"/>
    <col min="51" max="51" width="7.6640625" bestFit="1" customWidth="1"/>
    <col min="52" max="52" width="7.44140625" customWidth="1"/>
    <col min="53" max="53" width="14.6640625" bestFit="1" customWidth="1"/>
    <col min="54" max="54" width="7.44140625" bestFit="1" customWidth="1"/>
    <col min="55" max="55" width="7.44140625" customWidth="1"/>
    <col min="56" max="56" width="16.5546875" bestFit="1" customWidth="1"/>
    <col min="57" max="57" width="10.109375" bestFit="1" customWidth="1"/>
    <col min="58" max="58" width="7.44140625" customWidth="1"/>
    <col min="60" max="60" width="31.109375" bestFit="1" customWidth="1"/>
    <col min="62" max="62" width="14" bestFit="1" customWidth="1"/>
    <col min="63" max="63" width="10.6640625" bestFit="1" customWidth="1"/>
    <col min="64" max="64" width="31.88671875" bestFit="1" customWidth="1"/>
  </cols>
  <sheetData>
    <row r="1" spans="1:71" ht="33" thickBot="1" x14ac:dyDescent="0.65">
      <c r="A1" s="2" t="s">
        <v>1651</v>
      </c>
    </row>
    <row r="2" spans="1:71" ht="16.2" thickBot="1" x14ac:dyDescent="0.35">
      <c r="A2" s="328"/>
      <c r="B2" s="128"/>
      <c r="C2" s="128"/>
      <c r="D2" s="128"/>
      <c r="E2" s="128"/>
      <c r="F2" s="128"/>
      <c r="G2" s="128"/>
      <c r="H2" s="128"/>
      <c r="I2" s="128"/>
      <c r="J2" s="128"/>
      <c r="K2" s="128"/>
      <c r="L2" s="128"/>
      <c r="M2" s="128"/>
      <c r="N2" s="128"/>
      <c r="O2" s="128"/>
      <c r="P2" s="128"/>
      <c r="Q2" s="128"/>
      <c r="R2" s="128"/>
      <c r="S2" s="128"/>
      <c r="T2" s="128"/>
      <c r="U2" s="196" t="s">
        <v>878</v>
      </c>
      <c r="V2" s="197"/>
      <c r="W2" s="197"/>
      <c r="X2" s="197"/>
      <c r="Y2" s="197"/>
      <c r="Z2" s="197"/>
      <c r="AA2" s="197"/>
      <c r="AB2" s="197"/>
      <c r="AC2" s="197"/>
      <c r="AD2" s="197"/>
      <c r="AE2" s="197"/>
      <c r="AF2" s="198"/>
      <c r="AG2" s="128"/>
      <c r="AH2" s="128"/>
      <c r="AI2" s="128"/>
      <c r="AJ2" s="128"/>
      <c r="AK2" s="128"/>
      <c r="AL2" s="128"/>
      <c r="AM2" s="128"/>
      <c r="AN2" s="128"/>
      <c r="AO2" s="329" t="s">
        <v>887</v>
      </c>
      <c r="AP2" s="329"/>
      <c r="AQ2" s="329"/>
      <c r="AR2" s="329"/>
      <c r="AS2" s="329"/>
      <c r="AT2" s="329"/>
      <c r="AU2" s="329"/>
      <c r="AV2" s="329"/>
      <c r="AW2" s="329"/>
      <c r="AX2" s="329"/>
      <c r="AY2" s="329"/>
      <c r="AZ2" s="329"/>
      <c r="BA2" s="329"/>
      <c r="BB2" s="329"/>
      <c r="BC2" s="329"/>
      <c r="BD2" s="329"/>
      <c r="BE2" s="329"/>
      <c r="BF2" s="329"/>
      <c r="BG2" s="329"/>
      <c r="BH2" s="329"/>
      <c r="BI2" s="329"/>
      <c r="BJ2" s="329"/>
      <c r="BK2" s="329"/>
      <c r="BL2" s="329"/>
      <c r="BM2" s="128"/>
      <c r="BN2" s="128"/>
      <c r="BO2" s="128"/>
      <c r="BP2" s="128"/>
      <c r="BQ2" s="128"/>
      <c r="BR2" s="128"/>
      <c r="BS2" s="289"/>
    </row>
    <row r="3" spans="1:71" ht="16.2" thickBot="1" x14ac:dyDescent="0.35">
      <c r="A3" s="330" t="s">
        <v>871</v>
      </c>
      <c r="B3" s="293"/>
      <c r="C3" s="293"/>
      <c r="D3" s="293"/>
      <c r="E3" s="293"/>
      <c r="F3" s="304" t="s">
        <v>874</v>
      </c>
      <c r="G3" s="304"/>
      <c r="H3" s="304"/>
      <c r="I3" s="304"/>
      <c r="J3" s="304"/>
      <c r="K3" s="304"/>
      <c r="L3" s="331"/>
      <c r="M3" s="331"/>
      <c r="N3" s="331"/>
      <c r="O3" s="186" t="s">
        <v>877</v>
      </c>
      <c r="P3" s="187"/>
      <c r="Q3" s="187"/>
      <c r="R3" s="187"/>
      <c r="S3" s="187"/>
      <c r="T3" s="188"/>
      <c r="U3" s="310" t="s">
        <v>62</v>
      </c>
      <c r="V3" s="311"/>
      <c r="W3" s="312"/>
      <c r="X3" s="310" t="s">
        <v>63</v>
      </c>
      <c r="Y3" s="311"/>
      <c r="Z3" s="311"/>
      <c r="AA3" s="311"/>
      <c r="AB3" s="312"/>
      <c r="AC3" s="308" t="s">
        <v>64</v>
      </c>
      <c r="AD3" s="309"/>
      <c r="AE3" s="308" t="s">
        <v>65</v>
      </c>
      <c r="AF3" s="309"/>
      <c r="AG3" s="331"/>
      <c r="AH3" s="291" t="s">
        <v>886</v>
      </c>
      <c r="AI3" s="291"/>
      <c r="AJ3" s="291"/>
      <c r="AK3" s="291"/>
      <c r="AL3" s="291"/>
      <c r="AM3" s="291"/>
      <c r="AN3" s="331"/>
      <c r="AO3" s="304" t="s">
        <v>888</v>
      </c>
      <c r="AP3" s="304"/>
      <c r="AQ3" s="304"/>
      <c r="AR3" s="304"/>
      <c r="AS3" s="304"/>
      <c r="AT3" s="304"/>
      <c r="AU3" s="304"/>
      <c r="AV3" s="304"/>
      <c r="AW3" s="304"/>
      <c r="AX3" s="304"/>
      <c r="AY3" s="304"/>
      <c r="AZ3" s="304"/>
      <c r="BA3" s="304"/>
      <c r="BB3" s="304"/>
      <c r="BC3" s="304"/>
      <c r="BD3" s="304"/>
      <c r="BE3" s="304"/>
      <c r="BF3" s="304"/>
      <c r="BG3" s="304"/>
      <c r="BH3" s="291"/>
      <c r="BI3" s="331"/>
      <c r="BJ3" s="305" t="s">
        <v>869</v>
      </c>
      <c r="BK3" s="306"/>
      <c r="BL3" s="307"/>
      <c r="BM3" s="331"/>
      <c r="BN3" s="291" t="s">
        <v>890</v>
      </c>
      <c r="BO3" s="291"/>
      <c r="BP3" s="291"/>
      <c r="BQ3" s="291"/>
      <c r="BR3" s="291"/>
      <c r="BS3" s="332"/>
    </row>
    <row r="4" spans="1:71" ht="15.6" x14ac:dyDescent="0.3">
      <c r="A4" s="97" t="s">
        <v>870</v>
      </c>
      <c r="B4" s="1" t="s">
        <v>788</v>
      </c>
      <c r="C4" s="69" t="s">
        <v>872</v>
      </c>
      <c r="D4" s="69" t="s">
        <v>142</v>
      </c>
      <c r="E4" s="66" t="s">
        <v>873</v>
      </c>
      <c r="F4" s="66" t="s">
        <v>132</v>
      </c>
      <c r="G4" s="66" t="s">
        <v>62</v>
      </c>
      <c r="H4" s="66" t="s">
        <v>63</v>
      </c>
      <c r="I4" s="66" t="s">
        <v>64</v>
      </c>
      <c r="J4" s="66" t="s">
        <v>65</v>
      </c>
      <c r="K4" s="66" t="s">
        <v>66</v>
      </c>
      <c r="L4" s="69" t="s">
        <v>134</v>
      </c>
      <c r="M4" s="104" t="s">
        <v>875</v>
      </c>
      <c r="N4" s="108" t="s">
        <v>876</v>
      </c>
      <c r="O4" s="94" t="s">
        <v>132</v>
      </c>
      <c r="P4" s="66" t="s">
        <v>62</v>
      </c>
      <c r="Q4" s="66" t="s">
        <v>63</v>
      </c>
      <c r="R4" s="66" t="s">
        <v>64</v>
      </c>
      <c r="S4" s="66" t="s">
        <v>65</v>
      </c>
      <c r="T4" s="98" t="s">
        <v>66</v>
      </c>
      <c r="U4" s="194" t="s">
        <v>879</v>
      </c>
      <c r="V4" s="89" t="s">
        <v>880</v>
      </c>
      <c r="W4" s="195" t="s">
        <v>238</v>
      </c>
      <c r="X4" s="194" t="s">
        <v>881</v>
      </c>
      <c r="Y4" s="89" t="s">
        <v>234</v>
      </c>
      <c r="Z4" s="89" t="s">
        <v>235</v>
      </c>
      <c r="AA4" s="89" t="s">
        <v>236</v>
      </c>
      <c r="AB4" s="195" t="s">
        <v>237</v>
      </c>
      <c r="AC4" s="194" t="s">
        <v>882</v>
      </c>
      <c r="AD4" s="195" t="s">
        <v>883</v>
      </c>
      <c r="AE4" s="194" t="s">
        <v>884</v>
      </c>
      <c r="AF4" s="195" t="s">
        <v>885</v>
      </c>
      <c r="AG4" s="331"/>
      <c r="AH4" s="89" t="s">
        <v>132</v>
      </c>
      <c r="AI4" s="66" t="s">
        <v>62</v>
      </c>
      <c r="AJ4" s="66" t="s">
        <v>63</v>
      </c>
      <c r="AK4" s="66" t="s">
        <v>64</v>
      </c>
      <c r="AL4" s="66" t="s">
        <v>65</v>
      </c>
      <c r="AM4" s="66" t="s">
        <v>66</v>
      </c>
      <c r="AN4" s="331"/>
      <c r="AO4" s="104" t="s">
        <v>100</v>
      </c>
      <c r="AP4" s="105" t="s">
        <v>17</v>
      </c>
      <c r="AQ4" s="106" t="s">
        <v>171</v>
      </c>
      <c r="AR4" s="104" t="s">
        <v>100</v>
      </c>
      <c r="AS4" s="105" t="s">
        <v>17</v>
      </c>
      <c r="AT4" s="108" t="s">
        <v>171</v>
      </c>
      <c r="AU4" s="104" t="s">
        <v>100</v>
      </c>
      <c r="AV4" s="105" t="s">
        <v>17</v>
      </c>
      <c r="AW4" s="108" t="s">
        <v>171</v>
      </c>
      <c r="AX4" s="104" t="s">
        <v>100</v>
      </c>
      <c r="AY4" s="105" t="s">
        <v>17</v>
      </c>
      <c r="AZ4" s="108" t="s">
        <v>171</v>
      </c>
      <c r="BA4" s="104" t="s">
        <v>100</v>
      </c>
      <c r="BB4" s="105" t="s">
        <v>17</v>
      </c>
      <c r="BC4" s="108" t="s">
        <v>171</v>
      </c>
      <c r="BD4" s="104" t="s">
        <v>18</v>
      </c>
      <c r="BE4" s="105" t="s">
        <v>889</v>
      </c>
      <c r="BF4" s="105" t="s">
        <v>17</v>
      </c>
      <c r="BG4" s="106" t="s">
        <v>171</v>
      </c>
      <c r="BH4" s="94" t="s">
        <v>777</v>
      </c>
      <c r="BI4" s="331"/>
      <c r="BJ4" s="97" t="s">
        <v>672</v>
      </c>
      <c r="BK4" s="96" t="s">
        <v>171</v>
      </c>
      <c r="BL4" s="98" t="s">
        <v>698</v>
      </c>
      <c r="BM4" s="331"/>
      <c r="BN4" s="66" t="s">
        <v>62</v>
      </c>
      <c r="BO4" s="66" t="s">
        <v>63</v>
      </c>
      <c r="BP4" s="66" t="s">
        <v>64</v>
      </c>
      <c r="BQ4" s="66" t="s">
        <v>65</v>
      </c>
      <c r="BR4" s="66" t="s">
        <v>66</v>
      </c>
      <c r="BS4" s="98" t="s">
        <v>213</v>
      </c>
    </row>
    <row r="5" spans="1:71" x14ac:dyDescent="0.3">
      <c r="A5" s="333">
        <v>1</v>
      </c>
      <c r="B5" s="5" t="s">
        <v>780</v>
      </c>
      <c r="C5" s="5" t="s">
        <v>782</v>
      </c>
      <c r="D5" s="5">
        <v>180</v>
      </c>
      <c r="E5" s="5" t="s">
        <v>412</v>
      </c>
      <c r="F5" s="5">
        <v>10</v>
      </c>
      <c r="G5" s="5">
        <v>10</v>
      </c>
      <c r="H5" s="5">
        <v>10</v>
      </c>
      <c r="I5" s="5">
        <v>10</v>
      </c>
      <c r="J5" s="5">
        <v>10</v>
      </c>
      <c r="K5" s="5">
        <v>10</v>
      </c>
      <c r="L5" s="165" t="s">
        <v>135</v>
      </c>
      <c r="M5" s="99" t="s">
        <v>71</v>
      </c>
      <c r="N5" s="90" t="s">
        <v>286</v>
      </c>
      <c r="O5" s="185">
        <v>100</v>
      </c>
      <c r="P5" s="5">
        <v>100</v>
      </c>
      <c r="Q5" s="5">
        <v>100</v>
      </c>
      <c r="R5" s="5">
        <v>100</v>
      </c>
      <c r="S5" s="5">
        <v>100</v>
      </c>
      <c r="T5" s="90">
        <v>100</v>
      </c>
      <c r="U5" s="99">
        <v>0</v>
      </c>
      <c r="V5" s="5">
        <v>0</v>
      </c>
      <c r="W5" s="90">
        <v>0</v>
      </c>
      <c r="X5" s="99">
        <v>0</v>
      </c>
      <c r="Y5" s="5">
        <v>0</v>
      </c>
      <c r="Z5" s="5">
        <v>0</v>
      </c>
      <c r="AA5" s="5">
        <v>0</v>
      </c>
      <c r="AB5" s="90">
        <v>0</v>
      </c>
      <c r="AC5" s="99">
        <v>0</v>
      </c>
      <c r="AD5" s="90">
        <v>0</v>
      </c>
      <c r="AE5" s="99">
        <v>0</v>
      </c>
      <c r="AF5" s="90">
        <v>0</v>
      </c>
      <c r="AG5" s="331"/>
      <c r="AH5" s="81">
        <f>IF($E5="","",VLOOKUP($E5,Biomass_pool_output_Tech1_modul!$A$3:$G$100,7,FALSE))</f>
        <v>181.626006259945</v>
      </c>
      <c r="AI5" s="81">
        <f>IF($E5="","",VLOOKUP($E5,Biomass_pool_output_Tech1_modul!$A$3:$G$100,2,FALSE))</f>
        <v>450.00000233204003</v>
      </c>
      <c r="AJ5" s="81">
        <f>IF($E5="","",VLOOKUP($E5,Biomass_pool_output_Tech1_modul!$A$3:$G$100,3,FALSE))</f>
        <v>27.0203229895893</v>
      </c>
      <c r="AK5" s="81">
        <f>IF($E5="","",VLOOKUP($E5,Biomass_pool_output_Tech1_modul!$A$3:$G$100,4,FALSE))</f>
        <v>3.6646866480221498</v>
      </c>
      <c r="AL5" s="81">
        <f>IF($E5="","",VLOOKUP($E5,Biomass_pool_output_Tech1_modul!$A$3:$G$100,5,FALSE))</f>
        <v>28.092453829169798</v>
      </c>
      <c r="AM5" s="81">
        <f>IF($E5="","",VLOOKUP($E5,Biomass_pool_output_Tech1_modul!$A$3:$G$100,6,FALSE))</f>
        <v>16.549135894677399</v>
      </c>
      <c r="AN5" s="331"/>
      <c r="AO5" s="99" t="s">
        <v>167</v>
      </c>
      <c r="AP5" s="30">
        <f>IF(AO5="",0,(VLOOKUP(AO5,'Diesel consumption for field op'!$B$4:$C$78,2,FALSE)*(1000/$AH5)))</f>
        <v>2.7529097308036103</v>
      </c>
      <c r="AQ5" s="90">
        <v>-1</v>
      </c>
      <c r="AR5" s="99" t="s">
        <v>168</v>
      </c>
      <c r="AS5" s="30">
        <f>IF(AR5="",0,(VLOOKUP(AR5,'Diesel consumption for field op'!$B$4:$C$78,2,FALSE)*(1000/$AH5)))</f>
        <v>1.1011638923214442</v>
      </c>
      <c r="AT5" s="90">
        <v>-1</v>
      </c>
      <c r="AU5" s="99" t="s">
        <v>169</v>
      </c>
      <c r="AV5" s="30">
        <f>IF(AU5="",0,(VLOOKUP(AU5,'Diesel consumption for field op'!$B$4:$C$78,2,FALSE)*(1000/$AH5)))</f>
        <v>2.7529097308036103</v>
      </c>
      <c r="AW5" s="90">
        <v>-1</v>
      </c>
      <c r="AX5" s="99" t="s">
        <v>170</v>
      </c>
      <c r="AY5" s="30">
        <f>IF(AX5="",0,(VLOOKUP(AX5,'Diesel consumption for field op'!$B$4:$C$78,2,FALSE)*(1000/$AH5)))</f>
        <v>5.5058194616072207</v>
      </c>
      <c r="AZ5" s="90">
        <v>-1</v>
      </c>
      <c r="BA5" s="99"/>
      <c r="BB5" s="30">
        <f>IF(BA5="",0,(VLOOKUP(BA5,'Diesel consumption for field op'!$B$4:$C$78,2,FALSE)*(1000/$AH5)))</f>
        <v>0</v>
      </c>
      <c r="BC5" s="90"/>
      <c r="BD5" s="99"/>
      <c r="BE5" s="5"/>
      <c r="BF5" s="103">
        <f>IF(BD5="",0,(VLOOKUP(BD5,'Diesel consumption for field op'!$B$4:$C$78,2,FALSE)*(1000/$AH5))*BE5)</f>
        <v>0</v>
      </c>
      <c r="BG5" s="90"/>
      <c r="BH5" s="109">
        <f>(AP5*(AQ5)+AS5*(AT5)+AV5*(AW5)+AY5*(AZ5)+BB5*(BC5)+BF5*(BG5))/1000</f>
        <v>-1.2112802815535886E-2</v>
      </c>
      <c r="BI5" s="331"/>
      <c r="BJ5" s="99"/>
      <c r="BK5" s="5"/>
      <c r="BL5" s="90"/>
      <c r="BM5" s="331"/>
      <c r="BN5" s="81">
        <f t="shared" ref="BN5:BN36" si="0">IF(B5="",0,((AI5*((100-G5)/100))/((100-$F5)/100)))</f>
        <v>450.00000233204003</v>
      </c>
      <c r="BO5" s="81">
        <f t="shared" ref="BO5:BO36" si="1">IF(C5="",0,((AJ5*((100-H5)/100))/((100-$F5)/100)))</f>
        <v>27.0203229895893</v>
      </c>
      <c r="BP5" s="81">
        <f t="shared" ref="BP5:BP36" si="2">IF(D5="",0,((AK5*((100-I5)/100))/((100-$F5)/100)))</f>
        <v>3.6646866480221498</v>
      </c>
      <c r="BQ5" s="81">
        <f t="shared" ref="BQ5:BQ36" si="3">IF(E5="",0,((AL5*((100-J5)/100))/((100-$F5)/100)))</f>
        <v>28.092453829169798</v>
      </c>
      <c r="BR5" s="81">
        <f t="shared" ref="BR5:BR36" si="4">IF(F5="",0,((AM5*((100-K5)/100))/((100-$F5)/100)))</f>
        <v>16.549135894677399</v>
      </c>
      <c r="BS5" s="88">
        <f>BO5*6.25</f>
        <v>168.87701868493312</v>
      </c>
    </row>
    <row r="6" spans="1:71" x14ac:dyDescent="0.3">
      <c r="A6" s="333">
        <v>2</v>
      </c>
      <c r="B6" s="5" t="s">
        <v>136</v>
      </c>
      <c r="C6" s="5" t="s">
        <v>131</v>
      </c>
      <c r="D6" s="5">
        <v>359</v>
      </c>
      <c r="E6" s="5" t="s">
        <v>412</v>
      </c>
      <c r="F6" s="5">
        <v>15.1</v>
      </c>
      <c r="G6" s="5">
        <v>15.1</v>
      </c>
      <c r="H6" s="5">
        <v>3.9</v>
      </c>
      <c r="I6" s="5">
        <v>0</v>
      </c>
      <c r="J6" s="5">
        <v>0</v>
      </c>
      <c r="K6" s="5">
        <v>15.1</v>
      </c>
      <c r="L6" s="165" t="s">
        <v>251</v>
      </c>
      <c r="M6" s="99" t="s">
        <v>72</v>
      </c>
      <c r="N6" s="90"/>
      <c r="O6" s="185"/>
      <c r="P6" s="5"/>
      <c r="Q6" s="5"/>
      <c r="R6" s="5"/>
      <c r="S6" s="5"/>
      <c r="T6" s="90"/>
      <c r="U6" s="99">
        <v>100</v>
      </c>
      <c r="V6" s="5">
        <v>0</v>
      </c>
      <c r="W6" s="90">
        <v>0</v>
      </c>
      <c r="X6" s="99">
        <v>100</v>
      </c>
      <c r="Y6" s="5">
        <v>0</v>
      </c>
      <c r="Z6" s="5">
        <v>0</v>
      </c>
      <c r="AA6" s="5">
        <v>0</v>
      </c>
      <c r="AB6" s="90">
        <v>0</v>
      </c>
      <c r="AC6" s="99">
        <v>100</v>
      </c>
      <c r="AD6" s="90">
        <v>0</v>
      </c>
      <c r="AE6" s="99">
        <v>100</v>
      </c>
      <c r="AF6" s="90">
        <v>0</v>
      </c>
      <c r="AG6" s="331"/>
      <c r="AH6" s="81">
        <f>IF($E6="","",VLOOKUP($E6,Biomass_pool_output_Tech1_modul!$A$3:$G$100,7,FALSE))</f>
        <v>181.626006259945</v>
      </c>
      <c r="AI6" s="81">
        <f>IF($E6="","",VLOOKUP($E6,Biomass_pool_output_Tech1_modul!$A$3:$G$100,2,FALSE))</f>
        <v>450.00000233204003</v>
      </c>
      <c r="AJ6" s="81">
        <f>IF($E6="","",VLOOKUP($E6,Biomass_pool_output_Tech1_modul!$A$3:$G$100,3,FALSE))</f>
        <v>27.0203229895893</v>
      </c>
      <c r="AK6" s="81">
        <f>IF($E6="","",VLOOKUP($E6,Biomass_pool_output_Tech1_modul!$A$3:$G$100,4,FALSE))</f>
        <v>3.6646866480221498</v>
      </c>
      <c r="AL6" s="81">
        <f>IF($E6="","",VLOOKUP($E6,Biomass_pool_output_Tech1_modul!$A$3:$G$100,5,FALSE))</f>
        <v>28.092453829169798</v>
      </c>
      <c r="AM6" s="81">
        <f>IF($E6="","",VLOOKUP($E6,Biomass_pool_output_Tech1_modul!$A$3:$G$100,6,FALSE))</f>
        <v>16.549135894677399</v>
      </c>
      <c r="AN6" s="331"/>
      <c r="AO6" s="99" t="s">
        <v>173</v>
      </c>
      <c r="AP6" s="30">
        <f>IF(AO6="",0,(VLOOKUP(AO6,'Diesel consumption for field op'!$B$4:$C$78,2,FALSE)*(1000/$AH6)))</f>
        <v>2.7529097308036103</v>
      </c>
      <c r="AQ6" s="90">
        <v>1</v>
      </c>
      <c r="AR6" s="99"/>
      <c r="AS6" s="30">
        <f>IF(AR6="",0,(VLOOKUP(AR6,'Diesel consumption for field op'!$B$4:$C$78,2,FALSE)*(1000/$AH6)))</f>
        <v>0</v>
      </c>
      <c r="AT6" s="90"/>
      <c r="AU6" s="99"/>
      <c r="AV6" s="30">
        <f>IF(AU6="",0,(VLOOKUP(AU6,'Diesel consumption for field op'!$B$4:$C$78,2,FALSE)*(1000/$AH6)))</f>
        <v>0</v>
      </c>
      <c r="AW6" s="90"/>
      <c r="AX6" s="99"/>
      <c r="AY6" s="30">
        <f>IF(AX6="",0,(VLOOKUP(AX6,'Diesel consumption for field op'!$B$4:$C$78,2,FALSE)*(1000/$AH6)))</f>
        <v>0</v>
      </c>
      <c r="AZ6" s="90"/>
      <c r="BA6" s="99"/>
      <c r="BB6" s="30">
        <f>IF(BA6="",0,(VLOOKUP(BA6,'Diesel consumption for field op'!$B$4:$C$78,2,FALSE)*(1000/$AH6)))</f>
        <v>0</v>
      </c>
      <c r="BC6" s="90"/>
      <c r="BD6" s="99" t="s">
        <v>172</v>
      </c>
      <c r="BE6" s="5">
        <v>5</v>
      </c>
      <c r="BF6" s="103">
        <f>IF(BD6="",0,(VLOOKUP(BD6,'Diesel consumption for field op'!$B$4:$C$78,2,FALSE)*(1000/$AH6))*BE6)</f>
        <v>5.5058194616072207</v>
      </c>
      <c r="BG6" s="90">
        <v>1</v>
      </c>
      <c r="BH6" s="109">
        <f>(AP6*(AQ6)+AS6*(AT6)+AV6*(AW6)+AY6*(AZ6)+BB6*(BC6)+BF6*(BG6))/1000</f>
        <v>8.2587291924108314E-3</v>
      </c>
      <c r="BI6" s="331"/>
      <c r="BJ6" s="99" t="s">
        <v>673</v>
      </c>
      <c r="BK6" s="5">
        <v>1</v>
      </c>
      <c r="BL6" s="90">
        <v>1E-3</v>
      </c>
      <c r="BM6" s="331"/>
      <c r="BN6" s="81">
        <f t="shared" si="0"/>
        <v>450.00000233204008</v>
      </c>
      <c r="BO6" s="81">
        <f t="shared" si="1"/>
        <v>30.5848414522913</v>
      </c>
      <c r="BP6" s="81">
        <f t="shared" si="2"/>
        <v>4.3164742615101881</v>
      </c>
      <c r="BQ6" s="81">
        <f t="shared" si="3"/>
        <v>33.088873768162301</v>
      </c>
      <c r="BR6" s="81">
        <f t="shared" si="4"/>
        <v>16.549135894677399</v>
      </c>
      <c r="BS6" s="88">
        <f t="shared" ref="BS6:BS54" si="5">BO6*6.25</f>
        <v>191.15525907682064</v>
      </c>
    </row>
    <row r="7" spans="1:71" x14ac:dyDescent="0.3">
      <c r="A7" s="333">
        <v>3</v>
      </c>
      <c r="B7" s="5" t="s">
        <v>137</v>
      </c>
      <c r="C7" s="5" t="s">
        <v>133</v>
      </c>
      <c r="D7" s="5">
        <v>349</v>
      </c>
      <c r="E7" s="5" t="s">
        <v>413</v>
      </c>
      <c r="F7" s="5">
        <v>15.1</v>
      </c>
      <c r="G7" s="5">
        <v>15.1</v>
      </c>
      <c r="H7" s="5">
        <v>3.9</v>
      </c>
      <c r="I7" s="5">
        <v>0</v>
      </c>
      <c r="J7" s="5">
        <v>0</v>
      </c>
      <c r="K7" s="5">
        <v>15.1</v>
      </c>
      <c r="L7" s="165" t="s">
        <v>251</v>
      </c>
      <c r="M7" s="99" t="s">
        <v>72</v>
      </c>
      <c r="N7" s="90"/>
      <c r="O7" s="185"/>
      <c r="P7" s="5"/>
      <c r="Q7" s="5"/>
      <c r="R7" s="5"/>
      <c r="S7" s="5"/>
      <c r="T7" s="90"/>
      <c r="U7" s="99">
        <v>100</v>
      </c>
      <c r="V7" s="5">
        <v>0</v>
      </c>
      <c r="W7" s="90">
        <v>0</v>
      </c>
      <c r="X7" s="99">
        <v>100</v>
      </c>
      <c r="Y7" s="5">
        <v>0</v>
      </c>
      <c r="Z7" s="5">
        <v>0</v>
      </c>
      <c r="AA7" s="5">
        <v>0</v>
      </c>
      <c r="AB7" s="90">
        <v>0</v>
      </c>
      <c r="AC7" s="99">
        <v>100</v>
      </c>
      <c r="AD7" s="90">
        <v>0</v>
      </c>
      <c r="AE7" s="99">
        <v>100</v>
      </c>
      <c r="AF7" s="90">
        <v>0</v>
      </c>
      <c r="AG7" s="331"/>
      <c r="AH7" s="81">
        <f>IF($E7="","",VLOOKUP($E7,Biomass_pool_output_Tech1_modul!$A$3:$G$100,7,FALSE))</f>
        <v>318</v>
      </c>
      <c r="AI7" s="81">
        <f>IF($E7="","",VLOOKUP($E7,Biomass_pool_output_Tech1_modul!$A$3:$G$100,2,FALSE))</f>
        <v>450</v>
      </c>
      <c r="AJ7" s="81">
        <f>IF($E7="","",VLOOKUP($E7,Biomass_pool_output_Tech1_modul!$A$3:$G$100,3,FALSE))</f>
        <v>11.68</v>
      </c>
      <c r="AK7" s="81">
        <f>IF($E7="","",VLOOKUP($E7,Biomass_pool_output_Tech1_modul!$A$3:$G$100,4,FALSE))</f>
        <v>2.2000000000000002</v>
      </c>
      <c r="AL7" s="81">
        <f>IF($E7="","",VLOOKUP($E7,Biomass_pool_output_Tech1_modul!$A$3:$G$100,5,FALSE))</f>
        <v>11.3</v>
      </c>
      <c r="AM7" s="81">
        <f>IF($E7="","",VLOOKUP($E7,Biomass_pool_output_Tech1_modul!$A$3:$G$100,6,FALSE))</f>
        <v>17.7</v>
      </c>
      <c r="AN7" s="331"/>
      <c r="AO7" s="99" t="s">
        <v>173</v>
      </c>
      <c r="AP7" s="30">
        <f>IF(AO7="",0,(VLOOKUP(AO7,'Diesel consumption for field op'!$B$4:$C$78,2,FALSE)*(1000/$AH7)))</f>
        <v>1.5723270440251573</v>
      </c>
      <c r="AQ7" s="90">
        <v>1</v>
      </c>
      <c r="AR7" s="99"/>
      <c r="AS7" s="30">
        <f>IF(AR7="",0,(VLOOKUP(AR7,'Diesel consumption for field op'!$B$4:$C$78,2,FALSE)*(1000/$AH7)))</f>
        <v>0</v>
      </c>
      <c r="AT7" s="90"/>
      <c r="AU7" s="99"/>
      <c r="AV7" s="30">
        <f>IF(AU7="",0,(VLOOKUP(AU7,'Diesel consumption for field op'!$B$4:$C$78,2,FALSE)*(1000/$AH7)))</f>
        <v>0</v>
      </c>
      <c r="AW7" s="90"/>
      <c r="AX7" s="99"/>
      <c r="AY7" s="30">
        <f>IF(AX7="",0,(VLOOKUP(AX7,'Diesel consumption for field op'!$B$4:$C$78,2,FALSE)*(1000/$AH7)))</f>
        <v>0</v>
      </c>
      <c r="AZ7" s="90"/>
      <c r="BA7" s="99"/>
      <c r="BB7" s="30">
        <f>IF(BA7="",0,(VLOOKUP(BA7,'Diesel consumption for field op'!$B$4:$C$78,2,FALSE)*(1000/$AH7)))</f>
        <v>0</v>
      </c>
      <c r="BC7" s="90"/>
      <c r="BD7" s="99" t="s">
        <v>172</v>
      </c>
      <c r="BE7" s="5">
        <v>5</v>
      </c>
      <c r="BF7" s="103">
        <f>IF(BD7="",0,(VLOOKUP(BD7,'Diesel consumption for field op'!$B$4:$C$78,2,FALSE)*(1000/$AH7))*BE7)</f>
        <v>3.1446540880503147</v>
      </c>
      <c r="BG7" s="90">
        <v>1</v>
      </c>
      <c r="BH7" s="109">
        <f>(AP7*(AQ7)+AS7*(AT7)+AV7*(AW7)+AY7*(AZ7)+BB7*(BC7)+BF7*(BG7))/1000</f>
        <v>4.7169811320754724E-3</v>
      </c>
      <c r="BI7" s="331"/>
      <c r="BJ7" s="99" t="s">
        <v>673</v>
      </c>
      <c r="BK7" s="5">
        <v>1</v>
      </c>
      <c r="BL7" s="90">
        <v>1E-3</v>
      </c>
      <c r="BM7" s="331"/>
      <c r="BN7" s="81">
        <f t="shared" si="0"/>
        <v>449.99999999999994</v>
      </c>
      <c r="BO7" s="81">
        <f t="shared" si="1"/>
        <v>13.220824499411071</v>
      </c>
      <c r="BP7" s="81">
        <f t="shared" si="2"/>
        <v>2.5912838633686688</v>
      </c>
      <c r="BQ7" s="81">
        <f t="shared" si="3"/>
        <v>13.309776207302708</v>
      </c>
      <c r="BR7" s="81">
        <f t="shared" si="4"/>
        <v>17.7</v>
      </c>
      <c r="BS7" s="88">
        <f t="shared" si="5"/>
        <v>82.630153121319196</v>
      </c>
    </row>
    <row r="8" spans="1:71" x14ac:dyDescent="0.3">
      <c r="A8" s="333">
        <v>4</v>
      </c>
      <c r="B8" s="5" t="s">
        <v>781</v>
      </c>
      <c r="C8" s="5" t="s">
        <v>783</v>
      </c>
      <c r="D8" s="5">
        <v>180</v>
      </c>
      <c r="E8" s="5" t="s">
        <v>426</v>
      </c>
      <c r="F8" s="5">
        <v>10</v>
      </c>
      <c r="G8" s="5">
        <v>10</v>
      </c>
      <c r="H8" s="5">
        <v>10</v>
      </c>
      <c r="I8" s="5">
        <v>10</v>
      </c>
      <c r="J8" s="5">
        <v>10</v>
      </c>
      <c r="K8" s="5">
        <v>10</v>
      </c>
      <c r="L8" s="165" t="s">
        <v>135</v>
      </c>
      <c r="M8" s="99" t="s">
        <v>71</v>
      </c>
      <c r="N8" s="90" t="s">
        <v>427</v>
      </c>
      <c r="O8" s="185">
        <v>100</v>
      </c>
      <c r="P8" s="5">
        <v>100</v>
      </c>
      <c r="Q8" s="5">
        <v>100</v>
      </c>
      <c r="R8" s="5">
        <v>100</v>
      </c>
      <c r="S8" s="5">
        <v>100</v>
      </c>
      <c r="T8" s="90">
        <v>100</v>
      </c>
      <c r="U8" s="99">
        <v>0</v>
      </c>
      <c r="V8" s="5">
        <v>0</v>
      </c>
      <c r="W8" s="90">
        <v>0</v>
      </c>
      <c r="X8" s="99">
        <v>0</v>
      </c>
      <c r="Y8" s="5">
        <v>0</v>
      </c>
      <c r="Z8" s="5">
        <v>0</v>
      </c>
      <c r="AA8" s="5">
        <v>0</v>
      </c>
      <c r="AB8" s="90">
        <v>0</v>
      </c>
      <c r="AC8" s="99">
        <v>0</v>
      </c>
      <c r="AD8" s="90">
        <v>0</v>
      </c>
      <c r="AE8" s="99">
        <v>0</v>
      </c>
      <c r="AF8" s="90">
        <v>0</v>
      </c>
      <c r="AG8" s="331"/>
      <c r="AH8" s="81">
        <f>IF($E8="","",VLOOKUP($E8,Biomass_pool_output_Tech1_modul!$A$3:$G$100,7,FALSE))</f>
        <v>181.16755850137801</v>
      </c>
      <c r="AI8" s="81">
        <f>IF($E8="","",VLOOKUP($E8,Biomass_pool_output_Tech1_modul!$A$3:$G$100,2,FALSE))</f>
        <v>450.00007165681598</v>
      </c>
      <c r="AJ8" s="81">
        <f>IF($E8="","",VLOOKUP($E8,Biomass_pool_output_Tech1_modul!$A$3:$G$100,3,FALSE))</f>
        <v>26.523962609150399</v>
      </c>
      <c r="AK8" s="81">
        <f>IF($E8="","",VLOOKUP($E8,Biomass_pool_output_Tech1_modul!$A$3:$G$100,4,FALSE))</f>
        <v>3.6055782621371102</v>
      </c>
      <c r="AL8" s="81">
        <f>IF($E8="","",VLOOKUP($E8,Biomass_pool_output_Tech1_modul!$A$3:$G$100,5,FALSE))</f>
        <v>27.561193702598601</v>
      </c>
      <c r="AM8" s="81">
        <f>IF($E8="","",VLOOKUP($E8,Biomass_pool_output_Tech1_modul!$A$3:$G$100,6,FALSE))</f>
        <v>16.528960088099701</v>
      </c>
      <c r="AN8" s="331"/>
      <c r="AO8" s="99" t="s">
        <v>167</v>
      </c>
      <c r="AP8" s="30">
        <f>IF(AO8="",0,(VLOOKUP(AO8,'Diesel consumption for field op'!$B$4:$C$78,2,FALSE)*(1000/$AH8)))</f>
        <v>2.7598760182894271</v>
      </c>
      <c r="AQ8" s="90">
        <v>-1</v>
      </c>
      <c r="AR8" s="99" t="s">
        <v>168</v>
      </c>
      <c r="AS8" s="30">
        <f>IF(AR8="",0,(VLOOKUP(AR8,'Diesel consumption for field op'!$B$4:$C$78,2,FALSE)*(1000/$AH8)))</f>
        <v>1.1039504073157709</v>
      </c>
      <c r="AT8" s="90">
        <v>-1</v>
      </c>
      <c r="AU8" s="99" t="s">
        <v>169</v>
      </c>
      <c r="AV8" s="30">
        <f>IF(AU8="",0,(VLOOKUP(AU8,'Diesel consumption for field op'!$B$4:$C$78,2,FALSE)*(1000/$AH8)))</f>
        <v>2.7598760182894271</v>
      </c>
      <c r="AW8" s="90">
        <v>-1</v>
      </c>
      <c r="AX8" s="99" t="s">
        <v>170</v>
      </c>
      <c r="AY8" s="30">
        <f>IF(AX8="",0,(VLOOKUP(AX8,'Diesel consumption for field op'!$B$4:$C$78,2,FALSE)*(1000/$AH8)))</f>
        <v>5.5197520365788542</v>
      </c>
      <c r="AZ8" s="90">
        <v>-1</v>
      </c>
      <c r="BA8" s="99"/>
      <c r="BB8" s="30">
        <f>IF(BA8="",0,(VLOOKUP(BA8,'Diesel consumption for field op'!$B$4:$C$78,2,FALSE)*(1000/$AH8)))</f>
        <v>0</v>
      </c>
      <c r="BC8" s="90"/>
      <c r="BD8" s="99"/>
      <c r="BE8" s="5"/>
      <c r="BF8" s="103">
        <f>IF(BD8="",0,(VLOOKUP(BD8,'Diesel consumption for field op'!$B$4:$C$78,2,FALSE)*(1000/$AH8))*BE8)</f>
        <v>0</v>
      </c>
      <c r="BG8" s="90"/>
      <c r="BH8" s="109">
        <f t="shared" ref="BH8:BH54" si="6">(AP8*(AQ8)+AS8*(AT8)+AV8*(AW8)+AY8*(AZ8)+BB8*(BC8)+BF8*(BG8))/1000</f>
        <v>-1.214345448047348E-2</v>
      </c>
      <c r="BI8" s="331"/>
      <c r="BJ8" s="99"/>
      <c r="BK8" s="5"/>
      <c r="BL8" s="90"/>
      <c r="BM8" s="331"/>
      <c r="BN8" s="81">
        <f t="shared" si="0"/>
        <v>450.00007165681598</v>
      </c>
      <c r="BO8" s="81">
        <f t="shared" si="1"/>
        <v>26.523962609150399</v>
      </c>
      <c r="BP8" s="81">
        <f t="shared" si="2"/>
        <v>3.6055782621371102</v>
      </c>
      <c r="BQ8" s="81">
        <f t="shared" si="3"/>
        <v>27.561193702598601</v>
      </c>
      <c r="BR8" s="81">
        <f t="shared" si="4"/>
        <v>16.528960088099701</v>
      </c>
      <c r="BS8" s="88">
        <f t="shared" si="5"/>
        <v>165.77476630718999</v>
      </c>
    </row>
    <row r="9" spans="1:71" x14ac:dyDescent="0.3">
      <c r="A9" s="333">
        <v>5</v>
      </c>
      <c r="B9" s="5" t="s">
        <v>428</v>
      </c>
      <c r="C9" s="5" t="s">
        <v>430</v>
      </c>
      <c r="D9" s="5">
        <v>359</v>
      </c>
      <c r="E9" s="5" t="s">
        <v>426</v>
      </c>
      <c r="F9" s="5">
        <v>15.1</v>
      </c>
      <c r="G9" s="5">
        <v>15.1</v>
      </c>
      <c r="H9" s="5">
        <v>3.9</v>
      </c>
      <c r="I9" s="5">
        <v>0</v>
      </c>
      <c r="J9" s="5">
        <v>0</v>
      </c>
      <c r="K9" s="5">
        <v>15.1</v>
      </c>
      <c r="L9" s="165" t="s">
        <v>251</v>
      </c>
      <c r="M9" s="99" t="s">
        <v>72</v>
      </c>
      <c r="N9" s="90"/>
      <c r="O9" s="185"/>
      <c r="P9" s="5"/>
      <c r="Q9" s="5"/>
      <c r="R9" s="5"/>
      <c r="S9" s="5"/>
      <c r="T9" s="90"/>
      <c r="U9" s="99">
        <v>100</v>
      </c>
      <c r="V9" s="5">
        <v>0</v>
      </c>
      <c r="W9" s="90">
        <v>0</v>
      </c>
      <c r="X9" s="99">
        <v>100</v>
      </c>
      <c r="Y9" s="5">
        <v>0</v>
      </c>
      <c r="Z9" s="5">
        <v>0</v>
      </c>
      <c r="AA9" s="5">
        <v>0</v>
      </c>
      <c r="AB9" s="90">
        <v>0</v>
      </c>
      <c r="AC9" s="99">
        <v>100</v>
      </c>
      <c r="AD9" s="90">
        <v>0</v>
      </c>
      <c r="AE9" s="99">
        <v>100</v>
      </c>
      <c r="AF9" s="90">
        <v>0</v>
      </c>
      <c r="AG9" s="331"/>
      <c r="AH9" s="81">
        <f>IF($E9="","",VLOOKUP($E9,Biomass_pool_output_Tech1_modul!$A$3:$G$100,7,FALSE))</f>
        <v>181.16755850137801</v>
      </c>
      <c r="AI9" s="81">
        <f>IF($E9="","",VLOOKUP($E9,Biomass_pool_output_Tech1_modul!$A$3:$G$100,2,FALSE))</f>
        <v>450.00007165681598</v>
      </c>
      <c r="AJ9" s="81">
        <f>IF($E9="","",VLOOKUP($E9,Biomass_pool_output_Tech1_modul!$A$3:$G$100,3,FALSE))</f>
        <v>26.523962609150399</v>
      </c>
      <c r="AK9" s="81">
        <f>IF($E9="","",VLOOKUP($E9,Biomass_pool_output_Tech1_modul!$A$3:$G$100,4,FALSE))</f>
        <v>3.6055782621371102</v>
      </c>
      <c r="AL9" s="81">
        <f>IF($E9="","",VLOOKUP($E9,Biomass_pool_output_Tech1_modul!$A$3:$G$100,5,FALSE))</f>
        <v>27.561193702598601</v>
      </c>
      <c r="AM9" s="81">
        <f>IF($E9="","",VLOOKUP($E9,Biomass_pool_output_Tech1_modul!$A$3:$G$100,6,FALSE))</f>
        <v>16.528960088099701</v>
      </c>
      <c r="AN9" s="331"/>
      <c r="AO9" s="99" t="s">
        <v>173</v>
      </c>
      <c r="AP9" s="30">
        <f>IF(AO9="",0,(VLOOKUP(AO9,'Diesel consumption for field op'!$B$4:$C$78,2,FALSE)*(1000/$AH9)))</f>
        <v>2.7598760182894271</v>
      </c>
      <c r="AQ9" s="90">
        <v>1</v>
      </c>
      <c r="AR9" s="99"/>
      <c r="AS9" s="30">
        <f>IF(AR9="",0,(VLOOKUP(AR9,'Diesel consumption for field op'!$B$4:$C$78,2,FALSE)*(1000/$AH9)))</f>
        <v>0</v>
      </c>
      <c r="AT9" s="90"/>
      <c r="AU9" s="99"/>
      <c r="AV9" s="30">
        <f>IF(AU9="",0,(VLOOKUP(AU9,'Diesel consumption for field op'!$B$4:$C$78,2,FALSE)*(1000/$AH9)))</f>
        <v>0</v>
      </c>
      <c r="AW9" s="90"/>
      <c r="AX9" s="99"/>
      <c r="AY9" s="30">
        <f>IF(AX9="",0,(VLOOKUP(AX9,'Diesel consumption for field op'!$B$4:$C$78,2,FALSE)*(1000/$AH9)))</f>
        <v>0</v>
      </c>
      <c r="AZ9" s="90"/>
      <c r="BA9" s="99"/>
      <c r="BB9" s="30">
        <f>IF(BA9="",0,(VLOOKUP(BA9,'Diesel consumption for field op'!$B$4:$C$78,2,FALSE)*(1000/$AH9)))</f>
        <v>0</v>
      </c>
      <c r="BC9" s="90"/>
      <c r="BD9" s="99" t="s">
        <v>172</v>
      </c>
      <c r="BE9" s="5">
        <v>5</v>
      </c>
      <c r="BF9" s="103">
        <f>IF(BD9="",0,(VLOOKUP(BD9,'Diesel consumption for field op'!$B$4:$C$78,2,FALSE)*(1000/$AH9))*BE9)</f>
        <v>5.5197520365788542</v>
      </c>
      <c r="BG9" s="90">
        <v>1</v>
      </c>
      <c r="BH9" s="109">
        <f t="shared" si="6"/>
        <v>8.2796280548682807E-3</v>
      </c>
      <c r="BI9" s="331"/>
      <c r="BJ9" s="99" t="s">
        <v>673</v>
      </c>
      <c r="BK9" s="5">
        <v>1</v>
      </c>
      <c r="BL9" s="90">
        <v>1E-3</v>
      </c>
      <c r="BM9" s="331"/>
      <c r="BN9" s="81">
        <f t="shared" si="0"/>
        <v>450.00007165681598</v>
      </c>
      <c r="BO9" s="81">
        <f t="shared" si="1"/>
        <v>30.023001257236196</v>
      </c>
      <c r="BP9" s="81">
        <f t="shared" si="2"/>
        <v>4.2468530767221555</v>
      </c>
      <c r="BQ9" s="81">
        <f t="shared" si="3"/>
        <v>32.463125680328147</v>
      </c>
      <c r="BR9" s="81">
        <f t="shared" si="4"/>
        <v>16.528960088099701</v>
      </c>
      <c r="BS9" s="88">
        <f t="shared" si="5"/>
        <v>187.64375785772623</v>
      </c>
    </row>
    <row r="10" spans="1:71" x14ac:dyDescent="0.3">
      <c r="A10" s="333">
        <v>6</v>
      </c>
      <c r="B10" s="5" t="s">
        <v>429</v>
      </c>
      <c r="C10" s="5" t="s">
        <v>431</v>
      </c>
      <c r="D10" s="5">
        <v>349</v>
      </c>
      <c r="E10" s="5" t="s">
        <v>439</v>
      </c>
      <c r="F10" s="5">
        <v>15.1</v>
      </c>
      <c r="G10" s="5">
        <v>15.1</v>
      </c>
      <c r="H10" s="5">
        <v>3.9</v>
      </c>
      <c r="I10" s="5">
        <v>0</v>
      </c>
      <c r="J10" s="5">
        <v>0</v>
      </c>
      <c r="K10" s="5">
        <v>15.1</v>
      </c>
      <c r="L10" s="165" t="s">
        <v>251</v>
      </c>
      <c r="M10" s="99" t="s">
        <v>72</v>
      </c>
      <c r="N10" s="90"/>
      <c r="O10" s="185"/>
      <c r="P10" s="5"/>
      <c r="Q10" s="5"/>
      <c r="R10" s="5"/>
      <c r="S10" s="5"/>
      <c r="T10" s="90"/>
      <c r="U10" s="99">
        <v>100</v>
      </c>
      <c r="V10" s="5">
        <v>0</v>
      </c>
      <c r="W10" s="90">
        <v>0</v>
      </c>
      <c r="X10" s="99">
        <v>100</v>
      </c>
      <c r="Y10" s="5">
        <v>0</v>
      </c>
      <c r="Z10" s="5">
        <v>0</v>
      </c>
      <c r="AA10" s="5">
        <v>0</v>
      </c>
      <c r="AB10" s="90">
        <v>0</v>
      </c>
      <c r="AC10" s="99">
        <v>100</v>
      </c>
      <c r="AD10" s="90">
        <v>0</v>
      </c>
      <c r="AE10" s="99">
        <v>100</v>
      </c>
      <c r="AF10" s="90">
        <v>0</v>
      </c>
      <c r="AG10" s="331"/>
      <c r="AH10" s="81">
        <f>IF($E10="","",VLOOKUP($E10,Biomass_pool_output_Tech1_modul!$A$3:$G$100,7,FALSE))</f>
        <v>318</v>
      </c>
      <c r="AI10" s="81">
        <f>IF($E10="","",VLOOKUP($E10,Biomass_pool_output_Tech1_modul!$A$3:$G$100,2,FALSE))</f>
        <v>450</v>
      </c>
      <c r="AJ10" s="81">
        <f>IF($E10="","",VLOOKUP($E10,Biomass_pool_output_Tech1_modul!$A$3:$G$100,3,FALSE))</f>
        <v>11.68</v>
      </c>
      <c r="AK10" s="81">
        <f>IF($E10="","",VLOOKUP($E10,Biomass_pool_output_Tech1_modul!$A$3:$G$100,4,FALSE))</f>
        <v>2.2000000000000002</v>
      </c>
      <c r="AL10" s="81">
        <f>IF($E10="","",VLOOKUP($E10,Biomass_pool_output_Tech1_modul!$A$3:$G$100,5,FALSE))</f>
        <v>11.3</v>
      </c>
      <c r="AM10" s="81">
        <f>IF($E10="","",VLOOKUP($E10,Biomass_pool_output_Tech1_modul!$A$3:$G$100,6,FALSE))</f>
        <v>17.7</v>
      </c>
      <c r="AN10" s="331"/>
      <c r="AO10" s="99" t="s">
        <v>173</v>
      </c>
      <c r="AP10" s="30">
        <f>IF(AO10="",0,(VLOOKUP(AO10,'Diesel consumption for field op'!$B$4:$C$78,2,FALSE)*(1000/$AH10)))</f>
        <v>1.5723270440251573</v>
      </c>
      <c r="AQ10" s="90">
        <v>1</v>
      </c>
      <c r="AR10" s="99"/>
      <c r="AS10" s="30">
        <f>IF(AR10="",0,(VLOOKUP(AR10,'Diesel consumption for field op'!$B$4:$C$78,2,FALSE)*(1000/$AH10)))</f>
        <v>0</v>
      </c>
      <c r="AT10" s="90"/>
      <c r="AU10" s="99"/>
      <c r="AV10" s="30">
        <f>IF(AU10="",0,(VLOOKUP(AU10,'Diesel consumption for field op'!$B$4:$C$78,2,FALSE)*(1000/$AH10)))</f>
        <v>0</v>
      </c>
      <c r="AW10" s="90"/>
      <c r="AX10" s="99"/>
      <c r="AY10" s="30">
        <f>IF(AX10="",0,(VLOOKUP(AX10,'Diesel consumption for field op'!$B$4:$C$78,2,FALSE)*(1000/$AH10)))</f>
        <v>0</v>
      </c>
      <c r="AZ10" s="90"/>
      <c r="BA10" s="99"/>
      <c r="BB10" s="30">
        <f>IF(BA10="",0,(VLOOKUP(BA10,'Diesel consumption for field op'!$B$4:$C$78,2,FALSE)*(1000/$AH10)))</f>
        <v>0</v>
      </c>
      <c r="BC10" s="90"/>
      <c r="BD10" s="99" t="s">
        <v>172</v>
      </c>
      <c r="BE10" s="5">
        <v>5</v>
      </c>
      <c r="BF10" s="103">
        <f>IF(BD10="",0,(VLOOKUP(BD10,'Diesel consumption for field op'!$B$4:$C$78,2,FALSE)*(1000/$AH10))*BE10)</f>
        <v>3.1446540880503147</v>
      </c>
      <c r="BG10" s="90">
        <v>1</v>
      </c>
      <c r="BH10" s="109">
        <f t="shared" si="6"/>
        <v>4.7169811320754724E-3</v>
      </c>
      <c r="BI10" s="331"/>
      <c r="BJ10" s="99" t="s">
        <v>673</v>
      </c>
      <c r="BK10" s="5">
        <v>1</v>
      </c>
      <c r="BL10" s="90">
        <v>1E-3</v>
      </c>
      <c r="BM10" s="331"/>
      <c r="BN10" s="81">
        <f t="shared" si="0"/>
        <v>449.99999999999994</v>
      </c>
      <c r="BO10" s="81">
        <f t="shared" si="1"/>
        <v>13.220824499411071</v>
      </c>
      <c r="BP10" s="81">
        <f t="shared" si="2"/>
        <v>2.5912838633686688</v>
      </c>
      <c r="BQ10" s="81">
        <f t="shared" si="3"/>
        <v>13.309776207302708</v>
      </c>
      <c r="BR10" s="81">
        <f t="shared" si="4"/>
        <v>17.7</v>
      </c>
      <c r="BS10" s="88">
        <f t="shared" si="5"/>
        <v>82.630153121319196</v>
      </c>
    </row>
    <row r="11" spans="1:71" x14ac:dyDescent="0.3">
      <c r="A11" s="333">
        <v>7</v>
      </c>
      <c r="B11" s="5" t="s">
        <v>434</v>
      </c>
      <c r="C11" s="5" t="s">
        <v>437</v>
      </c>
      <c r="D11" s="5">
        <v>333</v>
      </c>
      <c r="E11" s="5" t="s">
        <v>435</v>
      </c>
      <c r="F11" s="5">
        <v>15.1</v>
      </c>
      <c r="G11" s="5">
        <v>15.1</v>
      </c>
      <c r="H11" s="5">
        <v>3.9</v>
      </c>
      <c r="I11" s="5">
        <v>0</v>
      </c>
      <c r="J11" s="5">
        <v>0</v>
      </c>
      <c r="K11" s="5">
        <v>15.1</v>
      </c>
      <c r="L11" s="165" t="s">
        <v>251</v>
      </c>
      <c r="M11" s="99" t="s">
        <v>72</v>
      </c>
      <c r="N11" s="90"/>
      <c r="O11" s="185"/>
      <c r="P11" s="5"/>
      <c r="Q11" s="5"/>
      <c r="R11" s="5"/>
      <c r="S11" s="5"/>
      <c r="T11" s="90"/>
      <c r="U11" s="99">
        <v>100</v>
      </c>
      <c r="V11" s="5">
        <v>0</v>
      </c>
      <c r="W11" s="90">
        <v>0</v>
      </c>
      <c r="X11" s="99">
        <v>100</v>
      </c>
      <c r="Y11" s="5">
        <v>0</v>
      </c>
      <c r="Z11" s="5">
        <v>0</v>
      </c>
      <c r="AA11" s="5">
        <v>0</v>
      </c>
      <c r="AB11" s="90">
        <v>0</v>
      </c>
      <c r="AC11" s="99">
        <v>100</v>
      </c>
      <c r="AD11" s="90">
        <v>0</v>
      </c>
      <c r="AE11" s="99">
        <v>100</v>
      </c>
      <c r="AF11" s="90">
        <v>0</v>
      </c>
      <c r="AG11" s="331"/>
      <c r="AH11" s="81">
        <f>IF($E11="","",VLOOKUP($E11,Biomass_pool_output_Tech1_modul!$A$3:$G$100,7,FALSE))</f>
        <v>337</v>
      </c>
      <c r="AI11" s="81">
        <f>IF($E11="","",VLOOKUP($E11,Biomass_pool_output_Tech1_modul!$A$3:$G$100,2,FALSE))</f>
        <v>450</v>
      </c>
      <c r="AJ11" s="81">
        <f>IF($E11="","",VLOOKUP($E11,Biomass_pool_output_Tech1_modul!$A$3:$G$100,3,FALSE))</f>
        <v>20.96</v>
      </c>
      <c r="AK11" s="81">
        <f>IF($E11="","",VLOOKUP($E11,Biomass_pool_output_Tech1_modul!$A$3:$G$100,4,FALSE))</f>
        <v>3.1</v>
      </c>
      <c r="AL11" s="81">
        <f>IF($E11="","",VLOOKUP($E11,Biomass_pool_output_Tech1_modul!$A$3:$G$100,5,FALSE))</f>
        <v>18.7</v>
      </c>
      <c r="AM11" s="81">
        <f>IF($E11="","",VLOOKUP($E11,Biomass_pool_output_Tech1_modul!$A$3:$G$100,6,FALSE))</f>
        <v>18.399999999999999</v>
      </c>
      <c r="AN11" s="331"/>
      <c r="AO11" s="99" t="s">
        <v>173</v>
      </c>
      <c r="AP11" s="30">
        <f>IF(AO11="",0,(VLOOKUP(AO11,'Diesel consumption for field op'!$B$4:$C$78,2,FALSE)*(1000/$AH11)))</f>
        <v>1.4836795252225519</v>
      </c>
      <c r="AQ11" s="90">
        <v>1</v>
      </c>
      <c r="AR11" s="99"/>
      <c r="AS11" s="30">
        <f>IF(AR11="",0,(VLOOKUP(AR11,'Diesel consumption for field op'!$B$4:$C$78,2,FALSE)*(1000/$AH11)))</f>
        <v>0</v>
      </c>
      <c r="AT11" s="90"/>
      <c r="AU11" s="99"/>
      <c r="AV11" s="30">
        <f>IF(AU11="",0,(VLOOKUP(AU11,'Diesel consumption for field op'!$B$4:$C$78,2,FALSE)*(1000/$AH11)))</f>
        <v>0</v>
      </c>
      <c r="AW11" s="90"/>
      <c r="AX11" s="99"/>
      <c r="AY11" s="30">
        <f>IF(AX11="",0,(VLOOKUP(AX11,'Diesel consumption for field op'!$B$4:$C$78,2,FALSE)*(1000/$AH11)))</f>
        <v>0</v>
      </c>
      <c r="AZ11" s="90"/>
      <c r="BA11" s="99"/>
      <c r="BB11" s="30">
        <f>IF(BA11="",0,(VLOOKUP(BA11,'Diesel consumption for field op'!$B$4:$C$78,2,FALSE)*(1000/$AH11)))</f>
        <v>0</v>
      </c>
      <c r="BC11" s="90"/>
      <c r="BD11" s="99" t="s">
        <v>172</v>
      </c>
      <c r="BE11" s="5">
        <v>5</v>
      </c>
      <c r="BF11" s="103">
        <f>IF(BD11="",0,(VLOOKUP(BD11,'Diesel consumption for field op'!$B$4:$C$78,2,FALSE)*(1000/$AH11))*BE11)</f>
        <v>2.9673590504451037</v>
      </c>
      <c r="BG11" s="90">
        <v>1</v>
      </c>
      <c r="BH11" s="109">
        <f t="shared" si="6"/>
        <v>4.4510385756676551E-3</v>
      </c>
      <c r="BI11" s="331"/>
      <c r="BJ11" s="99" t="s">
        <v>673</v>
      </c>
      <c r="BK11" s="5">
        <v>1</v>
      </c>
      <c r="BL11" s="90">
        <v>1E-3</v>
      </c>
      <c r="BM11" s="331"/>
      <c r="BN11" s="81">
        <f t="shared" si="0"/>
        <v>449.99999999999994</v>
      </c>
      <c r="BO11" s="81">
        <f t="shared" si="1"/>
        <v>23.72504122497055</v>
      </c>
      <c r="BP11" s="81">
        <f t="shared" si="2"/>
        <v>3.6513545347467606</v>
      </c>
      <c r="BQ11" s="81">
        <f t="shared" si="3"/>
        <v>22.025912838633683</v>
      </c>
      <c r="BR11" s="81">
        <f t="shared" si="4"/>
        <v>18.399999999999999</v>
      </c>
      <c r="BS11" s="88">
        <f t="shared" si="5"/>
        <v>148.28150765606594</v>
      </c>
    </row>
    <row r="12" spans="1:71" x14ac:dyDescent="0.3">
      <c r="A12" s="333">
        <v>8</v>
      </c>
      <c r="B12" s="5" t="s">
        <v>433</v>
      </c>
      <c r="C12" s="5" t="s">
        <v>438</v>
      </c>
      <c r="D12" s="5">
        <v>333</v>
      </c>
      <c r="E12" s="5" t="s">
        <v>436</v>
      </c>
      <c r="F12" s="5">
        <v>15.1</v>
      </c>
      <c r="G12" s="5">
        <v>15.1</v>
      </c>
      <c r="H12" s="5">
        <v>3.9</v>
      </c>
      <c r="I12" s="5">
        <v>0</v>
      </c>
      <c r="J12" s="5">
        <v>0</v>
      </c>
      <c r="K12" s="5">
        <v>15.1</v>
      </c>
      <c r="L12" s="165" t="s">
        <v>251</v>
      </c>
      <c r="M12" s="99" t="s">
        <v>72</v>
      </c>
      <c r="N12" s="90"/>
      <c r="O12" s="185"/>
      <c r="P12" s="5"/>
      <c r="Q12" s="5"/>
      <c r="R12" s="5"/>
      <c r="S12" s="5"/>
      <c r="T12" s="90"/>
      <c r="U12" s="99">
        <v>100</v>
      </c>
      <c r="V12" s="5">
        <v>0</v>
      </c>
      <c r="W12" s="90">
        <v>0</v>
      </c>
      <c r="X12" s="99">
        <v>100</v>
      </c>
      <c r="Y12" s="5">
        <v>0</v>
      </c>
      <c r="Z12" s="5">
        <v>0</v>
      </c>
      <c r="AA12" s="5">
        <v>0</v>
      </c>
      <c r="AB12" s="90">
        <v>0</v>
      </c>
      <c r="AC12" s="99">
        <v>100</v>
      </c>
      <c r="AD12" s="90">
        <v>0</v>
      </c>
      <c r="AE12" s="99">
        <v>100</v>
      </c>
      <c r="AF12" s="90">
        <v>0</v>
      </c>
      <c r="AG12" s="331"/>
      <c r="AH12" s="81">
        <f>IF($E12="","",VLOOKUP($E12,Biomass_pool_output_Tech1_modul!$A$3:$G$100,7,FALSE))</f>
        <v>337</v>
      </c>
      <c r="AI12" s="81">
        <f>IF($E12="","",VLOOKUP($E12,Biomass_pool_output_Tech1_modul!$A$3:$G$100,2,FALSE))</f>
        <v>450</v>
      </c>
      <c r="AJ12" s="81">
        <f>IF($E12="","",VLOOKUP($E12,Biomass_pool_output_Tech1_modul!$A$3:$G$100,3,FALSE))</f>
        <v>20.96</v>
      </c>
      <c r="AK12" s="81">
        <f>IF($E12="","",VLOOKUP($E12,Biomass_pool_output_Tech1_modul!$A$3:$G$100,4,FALSE))</f>
        <v>3.1</v>
      </c>
      <c r="AL12" s="81">
        <f>IF($E12="","",VLOOKUP($E12,Biomass_pool_output_Tech1_modul!$A$3:$G$100,5,FALSE))</f>
        <v>18.7</v>
      </c>
      <c r="AM12" s="81">
        <f>IF($E12="","",VLOOKUP($E12,Biomass_pool_output_Tech1_modul!$A$3:$G$100,6,FALSE))</f>
        <v>18.399999999999999</v>
      </c>
      <c r="AN12" s="331"/>
      <c r="AO12" s="99" t="s">
        <v>173</v>
      </c>
      <c r="AP12" s="30">
        <f>IF(AO12="",0,(VLOOKUP(AO12,'Diesel consumption for field op'!$B$4:$C$78,2,FALSE)*(1000/$AH12)))</f>
        <v>1.4836795252225519</v>
      </c>
      <c r="AQ12" s="90">
        <v>1</v>
      </c>
      <c r="AR12" s="99"/>
      <c r="AS12" s="30">
        <f>IF(AR12="",0,(VLOOKUP(AR12,'Diesel consumption for field op'!$B$4:$C$78,2,FALSE)*(1000/$AH12)))</f>
        <v>0</v>
      </c>
      <c r="AT12" s="90"/>
      <c r="AU12" s="99"/>
      <c r="AV12" s="30">
        <f>IF(AU12="",0,(VLOOKUP(AU12,'Diesel consumption for field op'!$B$4:$C$78,2,FALSE)*(1000/$AH12)))</f>
        <v>0</v>
      </c>
      <c r="AW12" s="90"/>
      <c r="AX12" s="99"/>
      <c r="AY12" s="30">
        <f>IF(AX12="",0,(VLOOKUP(AX12,'Diesel consumption for field op'!$B$4:$C$78,2,FALSE)*(1000/$AH12)))</f>
        <v>0</v>
      </c>
      <c r="AZ12" s="90"/>
      <c r="BA12" s="99"/>
      <c r="BB12" s="30">
        <f>IF(BA12="",0,(VLOOKUP(BA12,'Diesel consumption for field op'!$B$4:$C$78,2,FALSE)*(1000/$AH12)))</f>
        <v>0</v>
      </c>
      <c r="BC12" s="90"/>
      <c r="BD12" s="99" t="s">
        <v>172</v>
      </c>
      <c r="BE12" s="5">
        <v>5</v>
      </c>
      <c r="BF12" s="103">
        <f>IF(BD12="",0,(VLOOKUP(BD12,'Diesel consumption for field op'!$B$4:$C$78,2,FALSE)*(1000/$AH12))*BE12)</f>
        <v>2.9673590504451037</v>
      </c>
      <c r="BG12" s="90">
        <v>1</v>
      </c>
      <c r="BH12" s="287">
        <f>(AP12*(AQ12)+AS12*(AT12)+AV12*(AW12)+AY12*(AZ12)+BB12*(BC12)+BF12*(BG12))/1000</f>
        <v>4.4510385756676551E-3</v>
      </c>
      <c r="BI12" s="331"/>
      <c r="BJ12" s="99" t="s">
        <v>673</v>
      </c>
      <c r="BK12" s="5">
        <v>1</v>
      </c>
      <c r="BL12" s="90">
        <v>1E-3</v>
      </c>
      <c r="BM12" s="331"/>
      <c r="BN12" s="81">
        <f t="shared" si="0"/>
        <v>449.99999999999994</v>
      </c>
      <c r="BO12" s="81">
        <f t="shared" si="1"/>
        <v>23.72504122497055</v>
      </c>
      <c r="BP12" s="81">
        <f t="shared" si="2"/>
        <v>3.6513545347467606</v>
      </c>
      <c r="BQ12" s="81">
        <f t="shared" si="3"/>
        <v>22.025912838633683</v>
      </c>
      <c r="BR12" s="81">
        <f t="shared" si="4"/>
        <v>18.399999999999999</v>
      </c>
      <c r="BS12" s="88">
        <f t="shared" si="5"/>
        <v>148.28150765606594</v>
      </c>
    </row>
    <row r="13" spans="1:71" x14ac:dyDescent="0.3">
      <c r="A13" s="333">
        <v>9</v>
      </c>
      <c r="B13" s="5" t="s">
        <v>687</v>
      </c>
      <c r="C13" s="5" t="s">
        <v>691</v>
      </c>
      <c r="D13" s="5">
        <v>349</v>
      </c>
      <c r="E13" s="5" t="s">
        <v>688</v>
      </c>
      <c r="F13" s="5">
        <v>15.1</v>
      </c>
      <c r="G13" s="5">
        <v>15.1</v>
      </c>
      <c r="H13" s="5">
        <v>3.9</v>
      </c>
      <c r="I13" s="5">
        <v>0</v>
      </c>
      <c r="J13" s="5">
        <v>0</v>
      </c>
      <c r="K13" s="5">
        <v>15.1</v>
      </c>
      <c r="L13" s="165" t="s">
        <v>251</v>
      </c>
      <c r="M13" s="99" t="s">
        <v>72</v>
      </c>
      <c r="N13" s="90"/>
      <c r="O13" s="185"/>
      <c r="P13" s="5"/>
      <c r="Q13" s="5"/>
      <c r="R13" s="5"/>
      <c r="S13" s="5"/>
      <c r="T13" s="90"/>
      <c r="U13" s="99">
        <v>100</v>
      </c>
      <c r="V13" s="5">
        <v>0</v>
      </c>
      <c r="W13" s="90">
        <v>0</v>
      </c>
      <c r="X13" s="99">
        <v>100</v>
      </c>
      <c r="Y13" s="5">
        <v>0</v>
      </c>
      <c r="Z13" s="5">
        <v>0</v>
      </c>
      <c r="AA13" s="5">
        <v>0</v>
      </c>
      <c r="AB13" s="90">
        <v>0</v>
      </c>
      <c r="AC13" s="99">
        <v>100</v>
      </c>
      <c r="AD13" s="90">
        <v>0</v>
      </c>
      <c r="AE13" s="99">
        <v>100</v>
      </c>
      <c r="AF13" s="90">
        <v>0</v>
      </c>
      <c r="AG13" s="331"/>
      <c r="AH13" s="81">
        <f>IF($E13="","",VLOOKUP($E13,Biomass_pool_output_Tech1_modul!$A$3:$G$100,7,FALSE))</f>
        <v>318</v>
      </c>
      <c r="AI13" s="81">
        <f>IF($E13="","",VLOOKUP($E13,Biomass_pool_output_Tech1_modul!$A$3:$G$100,2,FALSE))</f>
        <v>450</v>
      </c>
      <c r="AJ13" s="81">
        <f>IF($E13="","",VLOOKUP($E13,Biomass_pool_output_Tech1_modul!$A$3:$G$100,3,FALSE))</f>
        <v>11.68</v>
      </c>
      <c r="AK13" s="81">
        <f>IF($E13="","",VLOOKUP($E13,Biomass_pool_output_Tech1_modul!$A$3:$G$100,4,FALSE))</f>
        <v>2.2000000000000002</v>
      </c>
      <c r="AL13" s="81">
        <f>IF($E13="","",VLOOKUP($E13,Biomass_pool_output_Tech1_modul!$A$3:$G$100,5,FALSE))</f>
        <v>11.3</v>
      </c>
      <c r="AM13" s="81">
        <f>IF($E13="","",VLOOKUP($E13,Biomass_pool_output_Tech1_modul!$A$3:$G$100,6,FALSE))</f>
        <v>17.7</v>
      </c>
      <c r="AN13" s="331"/>
      <c r="AO13" s="99" t="s">
        <v>173</v>
      </c>
      <c r="AP13" s="30">
        <f>IF(AO13="",0,(VLOOKUP(AO13,'Diesel consumption for field op'!$B$4:$C$78,2,FALSE)*(1000/$AH13)))</f>
        <v>1.5723270440251573</v>
      </c>
      <c r="AQ13" s="90">
        <v>1</v>
      </c>
      <c r="AR13" s="99"/>
      <c r="AS13" s="30">
        <f>IF(AR13="",0,(VLOOKUP(AR13,'Diesel consumption for field op'!$B$4:$C$78,2,FALSE)*(1000/$AH13)))</f>
        <v>0</v>
      </c>
      <c r="AT13" s="90"/>
      <c r="AU13" s="99"/>
      <c r="AV13" s="30">
        <f>IF(AU13="",0,(VLOOKUP(AU13,'Diesel consumption for field op'!$B$4:$C$78,2,FALSE)*(1000/$AH13)))</f>
        <v>0</v>
      </c>
      <c r="AW13" s="90"/>
      <c r="AX13" s="99"/>
      <c r="AY13" s="30">
        <f>IF(AX13="",0,(VLOOKUP(AX13,'Diesel consumption for field op'!$B$4:$C$78,2,FALSE)*(1000/$AH13)))</f>
        <v>0</v>
      </c>
      <c r="AZ13" s="90"/>
      <c r="BA13" s="99"/>
      <c r="BB13" s="30">
        <f>IF(BA13="",0,(VLOOKUP(BA13,'Diesel consumption for field op'!$B$4:$C$78,2,FALSE)*(1000/$AH13)))</f>
        <v>0</v>
      </c>
      <c r="BC13" s="90"/>
      <c r="BD13" s="99" t="s">
        <v>172</v>
      </c>
      <c r="BE13" s="5">
        <v>5</v>
      </c>
      <c r="BF13" s="103">
        <f>IF(BD13="",0,(VLOOKUP(BD13,'Diesel consumption for field op'!$B$4:$C$78,2,FALSE)*(1000/$AH13))*BE13)</f>
        <v>3.1446540880503147</v>
      </c>
      <c r="BG13" s="90">
        <v>1</v>
      </c>
      <c r="BH13" s="109">
        <f>(AP13*(AQ13)+AS13*(AT13)+AV13*(AW13)+AY13*(AZ13)+BB13*(BC13)+BF13*(BG13))/1000</f>
        <v>4.7169811320754724E-3</v>
      </c>
      <c r="BI13" s="331"/>
      <c r="BJ13" s="99" t="s">
        <v>695</v>
      </c>
      <c r="BK13" s="5">
        <v>1</v>
      </c>
      <c r="BL13" s="90">
        <v>1E-3</v>
      </c>
      <c r="BM13" s="331"/>
      <c r="BN13" s="81">
        <f t="shared" si="0"/>
        <v>449.99999999999994</v>
      </c>
      <c r="BO13" s="81">
        <f t="shared" si="1"/>
        <v>13.220824499411071</v>
      </c>
      <c r="BP13" s="81">
        <f t="shared" si="2"/>
        <v>2.5912838633686688</v>
      </c>
      <c r="BQ13" s="81">
        <f t="shared" si="3"/>
        <v>13.309776207302708</v>
      </c>
      <c r="BR13" s="81">
        <f t="shared" si="4"/>
        <v>17.7</v>
      </c>
      <c r="BS13" s="88">
        <f t="shared" si="5"/>
        <v>82.630153121319196</v>
      </c>
    </row>
    <row r="14" spans="1:71" x14ac:dyDescent="0.3">
      <c r="A14" s="333">
        <v>10</v>
      </c>
      <c r="B14" s="5" t="s">
        <v>690</v>
      </c>
      <c r="C14" s="5" t="s">
        <v>692</v>
      </c>
      <c r="D14" s="5">
        <v>333</v>
      </c>
      <c r="E14" s="5" t="s">
        <v>689</v>
      </c>
      <c r="F14" s="5">
        <v>15.1</v>
      </c>
      <c r="G14" s="5">
        <v>15.1</v>
      </c>
      <c r="H14" s="5">
        <v>3.9</v>
      </c>
      <c r="I14" s="5">
        <v>0</v>
      </c>
      <c r="J14" s="5">
        <v>0</v>
      </c>
      <c r="K14" s="5">
        <v>15.1</v>
      </c>
      <c r="L14" s="165" t="s">
        <v>251</v>
      </c>
      <c r="M14" s="99" t="s">
        <v>72</v>
      </c>
      <c r="N14" s="90"/>
      <c r="O14" s="185"/>
      <c r="P14" s="5"/>
      <c r="Q14" s="5"/>
      <c r="R14" s="5"/>
      <c r="S14" s="5"/>
      <c r="T14" s="90"/>
      <c r="U14" s="99">
        <v>100</v>
      </c>
      <c r="V14" s="5">
        <v>0</v>
      </c>
      <c r="W14" s="90">
        <v>0</v>
      </c>
      <c r="X14" s="99">
        <v>100</v>
      </c>
      <c r="Y14" s="5">
        <v>0</v>
      </c>
      <c r="Z14" s="5">
        <v>0</v>
      </c>
      <c r="AA14" s="5">
        <v>0</v>
      </c>
      <c r="AB14" s="90">
        <v>0</v>
      </c>
      <c r="AC14" s="99">
        <v>100</v>
      </c>
      <c r="AD14" s="90">
        <v>0</v>
      </c>
      <c r="AE14" s="99">
        <v>100</v>
      </c>
      <c r="AF14" s="90">
        <v>0</v>
      </c>
      <c r="AG14" s="331"/>
      <c r="AH14" s="81">
        <f>IF($E14="","",VLOOKUP($E14,Biomass_pool_output_Tech1_modul!$A$3:$G$100,7,FALSE))</f>
        <v>337</v>
      </c>
      <c r="AI14" s="81">
        <f>IF($E14="","",VLOOKUP($E14,Biomass_pool_output_Tech1_modul!$A$3:$G$100,2,FALSE))</f>
        <v>450</v>
      </c>
      <c r="AJ14" s="81">
        <f>IF($E14="","",VLOOKUP($E14,Biomass_pool_output_Tech1_modul!$A$3:$G$100,3,FALSE))</f>
        <v>20.96</v>
      </c>
      <c r="AK14" s="81">
        <f>IF($E14="","",VLOOKUP($E14,Biomass_pool_output_Tech1_modul!$A$3:$G$100,4,FALSE))</f>
        <v>3.1</v>
      </c>
      <c r="AL14" s="81">
        <f>IF($E14="","",VLOOKUP($E14,Biomass_pool_output_Tech1_modul!$A$3:$G$100,5,FALSE))</f>
        <v>18.7</v>
      </c>
      <c r="AM14" s="81">
        <f>IF($E14="","",VLOOKUP($E14,Biomass_pool_output_Tech1_modul!$A$3:$G$100,6,FALSE))</f>
        <v>18.399999999999999</v>
      </c>
      <c r="AN14" s="331"/>
      <c r="AO14" s="99" t="s">
        <v>173</v>
      </c>
      <c r="AP14" s="30">
        <f>IF(AO14="",0,(VLOOKUP(AO14,'Diesel consumption for field op'!$B$4:$C$78,2,FALSE)*(1000/$AH14)))</f>
        <v>1.4836795252225519</v>
      </c>
      <c r="AQ14" s="90">
        <v>1</v>
      </c>
      <c r="AR14" s="99"/>
      <c r="AS14" s="30">
        <f>IF(AR14="",0,(VLOOKUP(AR14,'Diesel consumption for field op'!$B$4:$C$78,2,FALSE)*(1000/$AH14)))</f>
        <v>0</v>
      </c>
      <c r="AT14" s="90"/>
      <c r="AU14" s="99"/>
      <c r="AV14" s="30">
        <f>IF(AU14="",0,(VLOOKUP(AU14,'Diesel consumption for field op'!$B$4:$C$78,2,FALSE)*(1000/$AH14)))</f>
        <v>0</v>
      </c>
      <c r="AW14" s="90"/>
      <c r="AX14" s="99"/>
      <c r="AY14" s="30">
        <f>IF(AX14="",0,(VLOOKUP(AX14,'Diesel consumption for field op'!$B$4:$C$78,2,FALSE)*(1000/$AH14)))</f>
        <v>0</v>
      </c>
      <c r="AZ14" s="90"/>
      <c r="BA14" s="99"/>
      <c r="BB14" s="30">
        <f>IF(BA14="",0,(VLOOKUP(BA14,'Diesel consumption for field op'!$B$4:$C$78,2,FALSE)*(1000/$AH14)))</f>
        <v>0</v>
      </c>
      <c r="BC14" s="90"/>
      <c r="BD14" s="99" t="s">
        <v>172</v>
      </c>
      <c r="BE14" s="5">
        <v>5</v>
      </c>
      <c r="BF14" s="103">
        <f>IF(BD14="",0,(VLOOKUP(BD14,'Diesel consumption for field op'!$B$4:$C$78,2,FALSE)*(1000/$AH14))*BE14)</f>
        <v>2.9673590504451037</v>
      </c>
      <c r="BG14" s="90">
        <v>1</v>
      </c>
      <c r="BH14" s="109">
        <f>(AP14*(AQ14)+AS14*(AT14)+AV14*(AW14)+AY14*(AZ14)+BB14*(BC14)+BF14*(BG14))/1000</f>
        <v>4.4510385756676551E-3</v>
      </c>
      <c r="BI14" s="331"/>
      <c r="BJ14" s="99" t="s">
        <v>696</v>
      </c>
      <c r="BK14" s="5">
        <v>1</v>
      </c>
      <c r="BL14" s="90">
        <v>1E-3</v>
      </c>
      <c r="BM14" s="331"/>
      <c r="BN14" s="81">
        <f t="shared" si="0"/>
        <v>449.99999999999994</v>
      </c>
      <c r="BO14" s="81">
        <f t="shared" si="1"/>
        <v>23.72504122497055</v>
      </c>
      <c r="BP14" s="81">
        <f t="shared" si="2"/>
        <v>3.6513545347467606</v>
      </c>
      <c r="BQ14" s="81">
        <f t="shared" si="3"/>
        <v>22.025912838633683</v>
      </c>
      <c r="BR14" s="81">
        <f t="shared" si="4"/>
        <v>18.399999999999999</v>
      </c>
      <c r="BS14" s="88">
        <f t="shared" si="5"/>
        <v>148.28150765606594</v>
      </c>
    </row>
    <row r="15" spans="1:71" x14ac:dyDescent="0.3">
      <c r="A15" s="333">
        <v>11</v>
      </c>
      <c r="B15" s="5" t="s">
        <v>694</v>
      </c>
      <c r="C15" s="5" t="s">
        <v>693</v>
      </c>
      <c r="D15" s="5">
        <v>359</v>
      </c>
      <c r="E15" s="5" t="s">
        <v>446</v>
      </c>
      <c r="F15" s="5">
        <v>15.1</v>
      </c>
      <c r="G15" s="5">
        <v>15.1</v>
      </c>
      <c r="H15" s="5">
        <v>3.9</v>
      </c>
      <c r="I15" s="5">
        <v>0</v>
      </c>
      <c r="J15" s="5">
        <v>0</v>
      </c>
      <c r="K15" s="5">
        <v>15.1</v>
      </c>
      <c r="L15" s="165" t="s">
        <v>251</v>
      </c>
      <c r="M15" s="99" t="s">
        <v>72</v>
      </c>
      <c r="N15" s="90"/>
      <c r="O15" s="185"/>
      <c r="P15" s="5"/>
      <c r="Q15" s="5"/>
      <c r="R15" s="5"/>
      <c r="S15" s="5"/>
      <c r="T15" s="90"/>
      <c r="U15" s="99">
        <v>100</v>
      </c>
      <c r="V15" s="5">
        <v>0</v>
      </c>
      <c r="W15" s="90">
        <v>0</v>
      </c>
      <c r="X15" s="99">
        <v>100</v>
      </c>
      <c r="Y15" s="5">
        <v>0</v>
      </c>
      <c r="Z15" s="5">
        <v>0</v>
      </c>
      <c r="AA15" s="5">
        <v>0</v>
      </c>
      <c r="AB15" s="90">
        <v>0</v>
      </c>
      <c r="AC15" s="99">
        <v>100</v>
      </c>
      <c r="AD15" s="90">
        <v>0</v>
      </c>
      <c r="AE15" s="99">
        <v>100</v>
      </c>
      <c r="AF15" s="90">
        <v>0</v>
      </c>
      <c r="AG15" s="331"/>
      <c r="AH15" s="81">
        <f>IF($E15="","",VLOOKUP($E15,Biomass_pool_output_Tech1_modul!$A$3:$G$100,7,FALSE))</f>
        <v>850</v>
      </c>
      <c r="AI15" s="81">
        <f>IF($E15="","",VLOOKUP($E15,Biomass_pool_output_Tech1_modul!$A$3:$G$100,2,FALSE))</f>
        <v>450</v>
      </c>
      <c r="AJ15" s="81">
        <f>IF($E15="","",VLOOKUP($E15,Biomass_pool_output_Tech1_modul!$A$3:$G$100,3,FALSE))</f>
        <v>10.72</v>
      </c>
      <c r="AK15" s="81">
        <f>IF($E15="","",VLOOKUP($E15,Biomass_pool_output_Tech1_modul!$A$3:$G$100,4,FALSE))</f>
        <v>1.1000000000000001</v>
      </c>
      <c r="AL15" s="81">
        <f>IF($E15="","",VLOOKUP($E15,Biomass_pool_output_Tech1_modul!$A$3:$G$100,5,FALSE))</f>
        <v>15</v>
      </c>
      <c r="AM15" s="81">
        <f>IF($E15="","",VLOOKUP($E15,Biomass_pool_output_Tech1_modul!$A$3:$G$100,6,FALSE))</f>
        <v>18</v>
      </c>
      <c r="AN15" s="331"/>
      <c r="AO15" s="99" t="s">
        <v>173</v>
      </c>
      <c r="AP15" s="30">
        <f>IF(AO15="",0,(VLOOKUP(AO15,'Diesel consumption for field op'!$B$4:$C$78,2,FALSE)*(1000/$AH15)))</f>
        <v>0.58823529411764708</v>
      </c>
      <c r="AQ15" s="90">
        <v>1</v>
      </c>
      <c r="AR15" s="99"/>
      <c r="AS15" s="30">
        <f>IF(AR15="",0,(VLOOKUP(AR15,'Diesel consumption for field op'!$B$4:$C$78,2,FALSE)*(1000/$AH15)))</f>
        <v>0</v>
      </c>
      <c r="AT15" s="90"/>
      <c r="AU15" s="99"/>
      <c r="AV15" s="30">
        <f>IF(AU15="",0,(VLOOKUP(AU15,'Diesel consumption for field op'!$B$4:$C$78,2,FALSE)*(1000/$AH15)))</f>
        <v>0</v>
      </c>
      <c r="AW15" s="90"/>
      <c r="AX15" s="99"/>
      <c r="AY15" s="30">
        <f>IF(AX15="",0,(VLOOKUP(AX15,'Diesel consumption for field op'!$B$4:$C$78,2,FALSE)*(1000/$AH15)))</f>
        <v>0</v>
      </c>
      <c r="AZ15" s="90"/>
      <c r="BA15" s="99"/>
      <c r="BB15" s="30">
        <f>IF(BA15="",0,(VLOOKUP(BA15,'Diesel consumption for field op'!$B$4:$C$78,2,FALSE)*(1000/$AH15)))</f>
        <v>0</v>
      </c>
      <c r="BC15" s="90"/>
      <c r="BD15" s="99" t="s">
        <v>172</v>
      </c>
      <c r="BE15" s="5">
        <v>5</v>
      </c>
      <c r="BF15" s="103">
        <f>IF(BD15="",0,(VLOOKUP(BD15,'Diesel consumption for field op'!$B$4:$C$78,2,FALSE)*(1000/$AH15))*BE15)</f>
        <v>1.1764705882352942</v>
      </c>
      <c r="BG15" s="90">
        <v>1</v>
      </c>
      <c r="BH15" s="109">
        <f t="shared" si="6"/>
        <v>1.764705882352941E-3</v>
      </c>
      <c r="BI15" s="331"/>
      <c r="BJ15" s="99" t="s">
        <v>697</v>
      </c>
      <c r="BK15" s="5">
        <v>1</v>
      </c>
      <c r="BL15" s="90">
        <v>1E-3</v>
      </c>
      <c r="BM15" s="331"/>
      <c r="BN15" s="81">
        <f t="shared" si="0"/>
        <v>449.99999999999994</v>
      </c>
      <c r="BO15" s="81">
        <f t="shared" si="1"/>
        <v>12.134181389870436</v>
      </c>
      <c r="BP15" s="81">
        <f t="shared" si="2"/>
        <v>1.2956419316843344</v>
      </c>
      <c r="BQ15" s="81">
        <f t="shared" si="3"/>
        <v>17.667844522968196</v>
      </c>
      <c r="BR15" s="81">
        <f t="shared" si="4"/>
        <v>18</v>
      </c>
      <c r="BS15" s="88">
        <f t="shared" si="5"/>
        <v>75.83863368669023</v>
      </c>
    </row>
    <row r="16" spans="1:71" x14ac:dyDescent="0.3">
      <c r="A16" s="333">
        <v>12</v>
      </c>
      <c r="B16" s="5" t="s">
        <v>733</v>
      </c>
      <c r="C16" s="5" t="s">
        <v>734</v>
      </c>
      <c r="D16" s="5">
        <v>180</v>
      </c>
      <c r="E16" s="5" t="s">
        <v>426</v>
      </c>
      <c r="F16" s="5">
        <v>10</v>
      </c>
      <c r="G16" s="5">
        <v>10</v>
      </c>
      <c r="H16" s="5">
        <v>10</v>
      </c>
      <c r="I16" s="5">
        <v>10</v>
      </c>
      <c r="J16" s="5">
        <v>10</v>
      </c>
      <c r="K16" s="5">
        <v>10</v>
      </c>
      <c r="L16" s="165" t="s">
        <v>135</v>
      </c>
      <c r="M16" s="99" t="s">
        <v>71</v>
      </c>
      <c r="N16" s="90" t="s">
        <v>427</v>
      </c>
      <c r="O16" s="185">
        <v>100</v>
      </c>
      <c r="P16" s="5">
        <v>100</v>
      </c>
      <c r="Q16" s="5">
        <v>100</v>
      </c>
      <c r="R16" s="5">
        <v>100</v>
      </c>
      <c r="S16" s="5">
        <v>100</v>
      </c>
      <c r="T16" s="90">
        <v>100</v>
      </c>
      <c r="U16" s="99">
        <v>0</v>
      </c>
      <c r="V16" s="5">
        <v>0</v>
      </c>
      <c r="W16" s="90">
        <v>0</v>
      </c>
      <c r="X16" s="99">
        <v>0</v>
      </c>
      <c r="Y16" s="5">
        <v>0</v>
      </c>
      <c r="Z16" s="5">
        <v>0</v>
      </c>
      <c r="AA16" s="5">
        <v>0</v>
      </c>
      <c r="AB16" s="90">
        <v>0</v>
      </c>
      <c r="AC16" s="99">
        <v>0</v>
      </c>
      <c r="AD16" s="90">
        <v>0</v>
      </c>
      <c r="AE16" s="99">
        <v>0</v>
      </c>
      <c r="AF16" s="90">
        <v>0</v>
      </c>
      <c r="AG16" s="331"/>
      <c r="AH16" s="81">
        <f>IF($E16="","",VLOOKUP($E16,Biomass_pool_output_Tech1_modul!$A$3:$G$100,7,FALSE))</f>
        <v>181.16755850137801</v>
      </c>
      <c r="AI16" s="81">
        <f>IF($E16="","",VLOOKUP($E16,Biomass_pool_output_Tech1_modul!$A$3:$G$100,2,FALSE))</f>
        <v>450.00007165681598</v>
      </c>
      <c r="AJ16" s="81">
        <f>IF($E16="","",VLOOKUP($E16,Biomass_pool_output_Tech1_modul!$A$3:$G$100,3,FALSE))</f>
        <v>26.523962609150399</v>
      </c>
      <c r="AK16" s="81">
        <f>IF($E16="","",VLOOKUP($E16,Biomass_pool_output_Tech1_modul!$A$3:$G$100,4,FALSE))</f>
        <v>3.6055782621371102</v>
      </c>
      <c r="AL16" s="81">
        <f>IF($E16="","",VLOOKUP($E16,Biomass_pool_output_Tech1_modul!$A$3:$G$100,5,FALSE))</f>
        <v>27.561193702598601</v>
      </c>
      <c r="AM16" s="81">
        <f>IF($E16="","",VLOOKUP($E16,Biomass_pool_output_Tech1_modul!$A$3:$G$100,6,FALSE))</f>
        <v>16.528960088099701</v>
      </c>
      <c r="AN16" s="331"/>
      <c r="AO16" s="99" t="s">
        <v>167</v>
      </c>
      <c r="AP16" s="30">
        <f>IF(AO16="",0,(VLOOKUP(AO16,'Diesel consumption for field op'!$B$4:$C$78,2,FALSE)*(1000/$AH16)))</f>
        <v>2.7598760182894271</v>
      </c>
      <c r="AQ16" s="90">
        <v>-1</v>
      </c>
      <c r="AR16" s="99" t="s">
        <v>168</v>
      </c>
      <c r="AS16" s="30">
        <f>IF(AR16="",0,(VLOOKUP(AR16,'Diesel consumption for field op'!$B$4:$C$78,2,FALSE)*(1000/$AH16)))</f>
        <v>1.1039504073157709</v>
      </c>
      <c r="AT16" s="90">
        <v>-1</v>
      </c>
      <c r="AU16" s="99" t="s">
        <v>169</v>
      </c>
      <c r="AV16" s="30">
        <f>IF(AU16="",0,(VLOOKUP(AU16,'Diesel consumption for field op'!$B$4:$C$78,2,FALSE)*(1000/$AH16)))</f>
        <v>2.7598760182894271</v>
      </c>
      <c r="AW16" s="90">
        <v>-1</v>
      </c>
      <c r="AX16" s="99" t="s">
        <v>170</v>
      </c>
      <c r="AY16" s="30">
        <f>IF(AX16="",0,(VLOOKUP(AX16,'Diesel consumption for field op'!$B$4:$C$78,2,FALSE)*(1000/$AH16)))</f>
        <v>5.5197520365788542</v>
      </c>
      <c r="AZ16" s="90">
        <v>-1</v>
      </c>
      <c r="BA16" s="99"/>
      <c r="BB16" s="30">
        <f>IF(BA16="",0,(VLOOKUP(BA16,'Diesel consumption for field op'!$B$4:$C$78,2,FALSE)*(1000/$AH16)))</f>
        <v>0</v>
      </c>
      <c r="BC16" s="90"/>
      <c r="BD16" s="99"/>
      <c r="BE16" s="5"/>
      <c r="BF16" s="103">
        <f>IF(BD16="",0,(VLOOKUP(BD16,'Diesel consumption for field op'!$B$4:$C$78,2,FALSE)*(1000/$AH16))*BE16)</f>
        <v>0</v>
      </c>
      <c r="BG16" s="90"/>
      <c r="BH16" s="109">
        <f t="shared" si="6"/>
        <v>-1.214345448047348E-2</v>
      </c>
      <c r="BI16" s="331"/>
      <c r="BJ16" s="99"/>
      <c r="BK16" s="5"/>
      <c r="BL16" s="90"/>
      <c r="BM16" s="331"/>
      <c r="BN16" s="81">
        <f t="shared" si="0"/>
        <v>450.00007165681598</v>
      </c>
      <c r="BO16" s="81">
        <f t="shared" si="1"/>
        <v>26.523962609150399</v>
      </c>
      <c r="BP16" s="81">
        <f t="shared" si="2"/>
        <v>3.6055782621371102</v>
      </c>
      <c r="BQ16" s="81">
        <f t="shared" si="3"/>
        <v>27.561193702598601</v>
      </c>
      <c r="BR16" s="81">
        <f t="shared" si="4"/>
        <v>16.528960088099701</v>
      </c>
      <c r="BS16" s="88">
        <f t="shared" si="5"/>
        <v>165.77476630718999</v>
      </c>
    </row>
    <row r="17" spans="1:71" x14ac:dyDescent="0.3">
      <c r="A17" s="333">
        <v>13</v>
      </c>
      <c r="B17" s="5"/>
      <c r="C17" s="5"/>
      <c r="D17" s="5"/>
      <c r="E17" s="5"/>
      <c r="F17" s="5"/>
      <c r="G17" s="5"/>
      <c r="H17" s="5"/>
      <c r="I17" s="5"/>
      <c r="J17" s="5"/>
      <c r="K17" s="5"/>
      <c r="L17" s="165"/>
      <c r="M17" s="99"/>
      <c r="N17" s="90"/>
      <c r="O17" s="185"/>
      <c r="P17" s="5"/>
      <c r="Q17" s="5"/>
      <c r="R17" s="5"/>
      <c r="S17" s="5"/>
      <c r="T17" s="90"/>
      <c r="U17" s="99"/>
      <c r="V17" s="5"/>
      <c r="W17" s="90"/>
      <c r="X17" s="99"/>
      <c r="Y17" s="5"/>
      <c r="Z17" s="5"/>
      <c r="AA17" s="5"/>
      <c r="AB17" s="90"/>
      <c r="AC17" s="99"/>
      <c r="AD17" s="90"/>
      <c r="AE17" s="99"/>
      <c r="AF17" s="90"/>
      <c r="AG17" s="331"/>
      <c r="AH17" s="81" t="str">
        <f>IF($E17="","",VLOOKUP($E17,Biomass_pool_output_Tech1_modul!$A$3:$G$100,7,FALSE))</f>
        <v/>
      </c>
      <c r="AI17" s="81" t="str">
        <f>IF($E17="","",VLOOKUP($E17,Biomass_pool_output_Tech1_modul!$A$3:$G$100,2,FALSE))</f>
        <v/>
      </c>
      <c r="AJ17" s="81" t="str">
        <f>IF($E17="","",VLOOKUP($E17,Biomass_pool_output_Tech1_modul!$A$3:$G$100,3,FALSE))</f>
        <v/>
      </c>
      <c r="AK17" s="81" t="str">
        <f>IF($E17="","",VLOOKUP($E17,Biomass_pool_output_Tech1_modul!$A$3:$G$100,4,FALSE))</f>
        <v/>
      </c>
      <c r="AL17" s="81" t="str">
        <f>IF($E17="","",VLOOKUP($E17,Biomass_pool_output_Tech1_modul!$A$3:$G$100,5,FALSE))</f>
        <v/>
      </c>
      <c r="AM17" s="81" t="str">
        <f>IF($E17="","",VLOOKUP($E17,Biomass_pool_output_Tech1_modul!$A$3:$G$100,6,FALSE))</f>
        <v/>
      </c>
      <c r="AN17" s="331"/>
      <c r="AO17" s="99"/>
      <c r="AP17" s="30">
        <f>IF(AO17="",0,(VLOOKUP(AO17,'Diesel consumption for field op'!$B$4:$C$78,2,FALSE)*(1000/$AH17)))</f>
        <v>0</v>
      </c>
      <c r="AQ17" s="90"/>
      <c r="AR17" s="99"/>
      <c r="AS17" s="30">
        <f>IF(AR17="",0,(VLOOKUP(AR17,'Diesel consumption for field op'!$B$4:$C$78,2,FALSE)*(1000/$AH17)))</f>
        <v>0</v>
      </c>
      <c r="AT17" s="90"/>
      <c r="AU17" s="99"/>
      <c r="AV17" s="30">
        <f>IF(AU17="",0,(VLOOKUP(AU17,'Diesel consumption for field op'!$B$4:$C$78,2,FALSE)*(1000/$AH17)))</f>
        <v>0</v>
      </c>
      <c r="AW17" s="90"/>
      <c r="AX17" s="99"/>
      <c r="AY17" s="30">
        <f>IF(AX17="",0,(VLOOKUP(AX17,'Diesel consumption for field op'!$B$4:$C$78,2,FALSE)*(1000/$AH17)))</f>
        <v>0</v>
      </c>
      <c r="AZ17" s="90"/>
      <c r="BA17" s="99"/>
      <c r="BB17" s="30">
        <f>IF(BA17="",0,(VLOOKUP(BA17,'Diesel consumption for field op'!$B$4:$C$78,2,FALSE)*(1000/$AH17)))</f>
        <v>0</v>
      </c>
      <c r="BC17" s="90"/>
      <c r="BD17" s="99"/>
      <c r="BE17" s="5"/>
      <c r="BF17" s="103">
        <f>IF(BD17="",0,(VLOOKUP(BD17,'Diesel consumption for field op'!$B$4:$C$78,2,FALSE)*(1000/$AH17))*BE17)</f>
        <v>0</v>
      </c>
      <c r="BG17" s="90"/>
      <c r="BH17" s="109">
        <f t="shared" si="6"/>
        <v>0</v>
      </c>
      <c r="BI17" s="331"/>
      <c r="BJ17" s="99"/>
      <c r="BK17" s="5"/>
      <c r="BL17" s="90"/>
      <c r="BM17" s="331"/>
      <c r="BN17" s="81">
        <f t="shared" si="0"/>
        <v>0</v>
      </c>
      <c r="BO17" s="81">
        <f t="shared" si="1"/>
        <v>0</v>
      </c>
      <c r="BP17" s="81">
        <f t="shared" si="2"/>
        <v>0</v>
      </c>
      <c r="BQ17" s="81">
        <f t="shared" si="3"/>
        <v>0</v>
      </c>
      <c r="BR17" s="81">
        <f t="shared" si="4"/>
        <v>0</v>
      </c>
      <c r="BS17" s="88">
        <f t="shared" si="5"/>
        <v>0</v>
      </c>
    </row>
    <row r="18" spans="1:71" x14ac:dyDescent="0.3">
      <c r="A18" s="333">
        <v>14</v>
      </c>
      <c r="B18" s="5"/>
      <c r="C18" s="5"/>
      <c r="D18" s="5"/>
      <c r="E18" s="5"/>
      <c r="F18" s="5"/>
      <c r="G18" s="5"/>
      <c r="H18" s="5"/>
      <c r="I18" s="5"/>
      <c r="J18" s="5"/>
      <c r="K18" s="5"/>
      <c r="L18" s="165"/>
      <c r="M18" s="99"/>
      <c r="N18" s="90"/>
      <c r="O18" s="185"/>
      <c r="P18" s="5"/>
      <c r="Q18" s="5"/>
      <c r="R18" s="5"/>
      <c r="S18" s="5"/>
      <c r="T18" s="90"/>
      <c r="U18" s="99"/>
      <c r="V18" s="5"/>
      <c r="W18" s="90"/>
      <c r="X18" s="99"/>
      <c r="Y18" s="5"/>
      <c r="Z18" s="5"/>
      <c r="AA18" s="5"/>
      <c r="AB18" s="90"/>
      <c r="AC18" s="99"/>
      <c r="AD18" s="90"/>
      <c r="AE18" s="99"/>
      <c r="AF18" s="90"/>
      <c r="AG18" s="331"/>
      <c r="AH18" s="81" t="str">
        <f>IF($E18="","",VLOOKUP($E18,Biomass_pool_output_Tech1_modul!$A$3:$G$100,7,FALSE))</f>
        <v/>
      </c>
      <c r="AI18" s="81" t="str">
        <f>IF($E18="","",VLOOKUP($E18,Biomass_pool_output_Tech1_modul!$A$3:$G$100,2,FALSE))</f>
        <v/>
      </c>
      <c r="AJ18" s="81" t="str">
        <f>IF($E18="","",VLOOKUP($E18,Biomass_pool_output_Tech1_modul!$A$3:$G$100,3,FALSE))</f>
        <v/>
      </c>
      <c r="AK18" s="81" t="str">
        <f>IF($E18="","",VLOOKUP($E18,Biomass_pool_output_Tech1_modul!$A$3:$G$100,4,FALSE))</f>
        <v/>
      </c>
      <c r="AL18" s="81" t="str">
        <f>IF($E18="","",VLOOKUP($E18,Biomass_pool_output_Tech1_modul!$A$3:$G$100,5,FALSE))</f>
        <v/>
      </c>
      <c r="AM18" s="81" t="str">
        <f>IF($E18="","",VLOOKUP($E18,Biomass_pool_output_Tech1_modul!$A$3:$G$100,6,FALSE))</f>
        <v/>
      </c>
      <c r="AN18" s="331"/>
      <c r="AO18" s="99"/>
      <c r="AP18" s="30">
        <f>IF(AO18="",0,(VLOOKUP(AO18,'Diesel consumption for field op'!$B$4:$C$78,2,FALSE)*(1000/$AH18)))</f>
        <v>0</v>
      </c>
      <c r="AQ18" s="90"/>
      <c r="AR18" s="99"/>
      <c r="AS18" s="30">
        <f>IF(AR18="",0,(VLOOKUP(AR18,'Diesel consumption for field op'!$B$4:$C$78,2,FALSE)*(1000/$AH18)))</f>
        <v>0</v>
      </c>
      <c r="AT18" s="90"/>
      <c r="AU18" s="99"/>
      <c r="AV18" s="30">
        <f>IF(AU18="",0,(VLOOKUP(AU18,'Diesel consumption for field op'!$B$4:$C$78,2,FALSE)*(1000/$AH18)))</f>
        <v>0</v>
      </c>
      <c r="AW18" s="90"/>
      <c r="AX18" s="99"/>
      <c r="AY18" s="30">
        <f>IF(AX18="",0,(VLOOKUP(AX18,'Diesel consumption for field op'!$B$4:$C$78,2,FALSE)*(1000/$AH18)))</f>
        <v>0</v>
      </c>
      <c r="AZ18" s="90"/>
      <c r="BA18" s="99"/>
      <c r="BB18" s="30">
        <f>IF(BA18="",0,(VLOOKUP(BA18,'Diesel consumption for field op'!$B$4:$C$78,2,FALSE)*(1000/$AH18)))</f>
        <v>0</v>
      </c>
      <c r="BC18" s="90"/>
      <c r="BD18" s="99"/>
      <c r="BE18" s="5"/>
      <c r="BF18" s="103">
        <f>IF(BD18="",0,(VLOOKUP(BD18,'Diesel consumption for field op'!$B$4:$C$78,2,FALSE)*(1000/$AH18))*BE18)</f>
        <v>0</v>
      </c>
      <c r="BG18" s="90"/>
      <c r="BH18" s="109">
        <f t="shared" si="6"/>
        <v>0</v>
      </c>
      <c r="BI18" s="331"/>
      <c r="BJ18" s="99"/>
      <c r="BK18" s="5"/>
      <c r="BL18" s="90"/>
      <c r="BM18" s="331"/>
      <c r="BN18" s="81">
        <f t="shared" si="0"/>
        <v>0</v>
      </c>
      <c r="BO18" s="81">
        <f t="shared" si="1"/>
        <v>0</v>
      </c>
      <c r="BP18" s="81">
        <f t="shared" si="2"/>
        <v>0</v>
      </c>
      <c r="BQ18" s="81">
        <f t="shared" si="3"/>
        <v>0</v>
      </c>
      <c r="BR18" s="81">
        <f t="shared" si="4"/>
        <v>0</v>
      </c>
      <c r="BS18" s="88">
        <f t="shared" si="5"/>
        <v>0</v>
      </c>
    </row>
    <row r="19" spans="1:71" x14ac:dyDescent="0.3">
      <c r="A19" s="333">
        <v>15</v>
      </c>
      <c r="B19" s="5"/>
      <c r="C19" s="5"/>
      <c r="D19" s="5"/>
      <c r="E19" s="5"/>
      <c r="F19" s="5"/>
      <c r="G19" s="5"/>
      <c r="H19" s="5"/>
      <c r="I19" s="5"/>
      <c r="J19" s="5"/>
      <c r="K19" s="5"/>
      <c r="L19" s="165"/>
      <c r="M19" s="99"/>
      <c r="N19" s="90"/>
      <c r="O19" s="185"/>
      <c r="P19" s="5"/>
      <c r="Q19" s="5"/>
      <c r="R19" s="5"/>
      <c r="S19" s="5"/>
      <c r="T19" s="90"/>
      <c r="U19" s="99"/>
      <c r="V19" s="5"/>
      <c r="W19" s="90"/>
      <c r="X19" s="99"/>
      <c r="Y19" s="5"/>
      <c r="Z19" s="5"/>
      <c r="AA19" s="5"/>
      <c r="AB19" s="90"/>
      <c r="AC19" s="99"/>
      <c r="AD19" s="90"/>
      <c r="AE19" s="99"/>
      <c r="AF19" s="90"/>
      <c r="AG19" s="331"/>
      <c r="AH19" s="81" t="str">
        <f>IF($E19="","",VLOOKUP($E19,Biomass_pool_output_Tech1_modul!$A$3:$G$100,7,FALSE))</f>
        <v/>
      </c>
      <c r="AI19" s="81" t="str">
        <f>IF($E19="","",VLOOKUP($E19,Biomass_pool_output_Tech1_modul!$A$3:$G$100,2,FALSE))</f>
        <v/>
      </c>
      <c r="AJ19" s="81" t="str">
        <f>IF($E19="","",VLOOKUP($E19,Biomass_pool_output_Tech1_modul!$A$3:$G$100,3,FALSE))</f>
        <v/>
      </c>
      <c r="AK19" s="81" t="str">
        <f>IF($E19="","",VLOOKUP($E19,Biomass_pool_output_Tech1_modul!$A$3:$G$100,4,FALSE))</f>
        <v/>
      </c>
      <c r="AL19" s="81" t="str">
        <f>IF($E19="","",VLOOKUP($E19,Biomass_pool_output_Tech1_modul!$A$3:$G$100,5,FALSE))</f>
        <v/>
      </c>
      <c r="AM19" s="81" t="str">
        <f>IF($E19="","",VLOOKUP($E19,Biomass_pool_output_Tech1_modul!$A$3:$G$100,6,FALSE))</f>
        <v/>
      </c>
      <c r="AN19" s="331"/>
      <c r="AO19" s="99"/>
      <c r="AP19" s="30">
        <f>IF(AO19="",0,(VLOOKUP(AO19,'Diesel consumption for field op'!$B$4:$C$78,2,FALSE)*(1000/$AH19)))</f>
        <v>0</v>
      </c>
      <c r="AQ19" s="90"/>
      <c r="AR19" s="99"/>
      <c r="AS19" s="30">
        <f>IF(AR19="",0,(VLOOKUP(AR19,'Diesel consumption for field op'!$B$4:$C$78,2,FALSE)*(1000/$AH19)))</f>
        <v>0</v>
      </c>
      <c r="AT19" s="90"/>
      <c r="AU19" s="99"/>
      <c r="AV19" s="30">
        <f>IF(AU19="",0,(VLOOKUP(AU19,'Diesel consumption for field op'!$B$4:$C$78,2,FALSE)*(1000/$AH19)))</f>
        <v>0</v>
      </c>
      <c r="AW19" s="90"/>
      <c r="AX19" s="99"/>
      <c r="AY19" s="30">
        <f>IF(AX19="",0,(VLOOKUP(AX19,'Diesel consumption for field op'!$B$4:$C$78,2,FALSE)*(1000/$AH19)))</f>
        <v>0</v>
      </c>
      <c r="AZ19" s="90"/>
      <c r="BA19" s="99"/>
      <c r="BB19" s="30">
        <f>IF(BA19="",0,(VLOOKUP(BA19,'Diesel consumption for field op'!$B$4:$C$78,2,FALSE)*(1000/$AH19)))</f>
        <v>0</v>
      </c>
      <c r="BC19" s="90"/>
      <c r="BD19" s="99"/>
      <c r="BE19" s="5"/>
      <c r="BF19" s="103">
        <f>IF(BD19="",0,(VLOOKUP(BD19,'Diesel consumption for field op'!$B$4:$C$78,2,FALSE)*(1000/$AH19))*BE19)</f>
        <v>0</v>
      </c>
      <c r="BG19" s="90"/>
      <c r="BH19" s="109">
        <f t="shared" si="6"/>
        <v>0</v>
      </c>
      <c r="BI19" s="331"/>
      <c r="BJ19" s="99"/>
      <c r="BK19" s="5"/>
      <c r="BL19" s="90"/>
      <c r="BM19" s="331"/>
      <c r="BN19" s="81">
        <f t="shared" si="0"/>
        <v>0</v>
      </c>
      <c r="BO19" s="81">
        <f t="shared" si="1"/>
        <v>0</v>
      </c>
      <c r="BP19" s="81">
        <f t="shared" si="2"/>
        <v>0</v>
      </c>
      <c r="BQ19" s="81">
        <f t="shared" si="3"/>
        <v>0</v>
      </c>
      <c r="BR19" s="81">
        <f t="shared" si="4"/>
        <v>0</v>
      </c>
      <c r="BS19" s="88">
        <f t="shared" si="5"/>
        <v>0</v>
      </c>
    </row>
    <row r="20" spans="1:71" x14ac:dyDescent="0.3">
      <c r="A20" s="333">
        <v>16</v>
      </c>
      <c r="B20" s="5"/>
      <c r="C20" s="5"/>
      <c r="D20" s="5"/>
      <c r="E20" s="5"/>
      <c r="F20" s="5"/>
      <c r="G20" s="5"/>
      <c r="H20" s="5"/>
      <c r="I20" s="5"/>
      <c r="J20" s="5"/>
      <c r="K20" s="5"/>
      <c r="L20" s="165"/>
      <c r="M20" s="99"/>
      <c r="N20" s="90"/>
      <c r="O20" s="185"/>
      <c r="P20" s="5"/>
      <c r="Q20" s="5"/>
      <c r="R20" s="5"/>
      <c r="S20" s="5"/>
      <c r="T20" s="90"/>
      <c r="U20" s="99"/>
      <c r="V20" s="5"/>
      <c r="W20" s="90"/>
      <c r="X20" s="99"/>
      <c r="Y20" s="5"/>
      <c r="Z20" s="5"/>
      <c r="AA20" s="5"/>
      <c r="AB20" s="90"/>
      <c r="AC20" s="99"/>
      <c r="AD20" s="90"/>
      <c r="AE20" s="99"/>
      <c r="AF20" s="90"/>
      <c r="AG20" s="331"/>
      <c r="AH20" s="81" t="str">
        <f>IF($E20="","",VLOOKUP($E20,Biomass_pool_output_Tech1_modul!$A$3:$G$100,7,FALSE))</f>
        <v/>
      </c>
      <c r="AI20" s="81" t="str">
        <f>IF($E20="","",VLOOKUP($E20,Biomass_pool_output_Tech1_modul!$A$3:$G$100,2,FALSE))</f>
        <v/>
      </c>
      <c r="AJ20" s="81" t="str">
        <f>IF($E20="","",VLOOKUP($E20,Biomass_pool_output_Tech1_modul!$A$3:$G$100,3,FALSE))</f>
        <v/>
      </c>
      <c r="AK20" s="81" t="str">
        <f>IF($E20="","",VLOOKUP($E20,Biomass_pool_output_Tech1_modul!$A$3:$G$100,4,FALSE))</f>
        <v/>
      </c>
      <c r="AL20" s="81" t="str">
        <f>IF($E20="","",VLOOKUP($E20,Biomass_pool_output_Tech1_modul!$A$3:$G$100,5,FALSE))</f>
        <v/>
      </c>
      <c r="AM20" s="81" t="str">
        <f>IF($E20="","",VLOOKUP($E20,Biomass_pool_output_Tech1_modul!$A$3:$G$100,6,FALSE))</f>
        <v/>
      </c>
      <c r="AN20" s="331"/>
      <c r="AO20" s="99"/>
      <c r="AP20" s="30">
        <f>IF(AO20="",0,(VLOOKUP(AO20,'Diesel consumption for field op'!$B$4:$C$78,2,FALSE)*(1000/$AH20)))</f>
        <v>0</v>
      </c>
      <c r="AQ20" s="90"/>
      <c r="AR20" s="99"/>
      <c r="AS20" s="30">
        <f>IF(AR20="",0,(VLOOKUP(AR20,'Diesel consumption for field op'!$B$4:$C$78,2,FALSE)*(1000/$AH20)))</f>
        <v>0</v>
      </c>
      <c r="AT20" s="90"/>
      <c r="AU20" s="99"/>
      <c r="AV20" s="30">
        <f>IF(AU20="",0,(VLOOKUP(AU20,'Diesel consumption for field op'!$B$4:$C$78,2,FALSE)*(1000/$AH20)))</f>
        <v>0</v>
      </c>
      <c r="AW20" s="90"/>
      <c r="AX20" s="99"/>
      <c r="AY20" s="30">
        <f>IF(AX20="",0,(VLOOKUP(AX20,'Diesel consumption for field op'!$B$4:$C$78,2,FALSE)*(1000/$AH20)))</f>
        <v>0</v>
      </c>
      <c r="AZ20" s="90"/>
      <c r="BA20" s="99"/>
      <c r="BB20" s="30">
        <f>IF(BA20="",0,(VLOOKUP(BA20,'Diesel consumption for field op'!$B$4:$C$78,2,FALSE)*(1000/$AH20)))</f>
        <v>0</v>
      </c>
      <c r="BC20" s="90"/>
      <c r="BD20" s="99"/>
      <c r="BE20" s="5"/>
      <c r="BF20" s="103">
        <f>IF(BD20="",0,(VLOOKUP(BD20,'Diesel consumption for field op'!$B$4:$C$78,2,FALSE)*(1000/$AH20))*BE20)</f>
        <v>0</v>
      </c>
      <c r="BG20" s="90"/>
      <c r="BH20" s="109">
        <f t="shared" si="6"/>
        <v>0</v>
      </c>
      <c r="BI20" s="331"/>
      <c r="BJ20" s="99"/>
      <c r="BK20" s="5"/>
      <c r="BL20" s="90"/>
      <c r="BM20" s="331"/>
      <c r="BN20" s="81">
        <f t="shared" si="0"/>
        <v>0</v>
      </c>
      <c r="BO20" s="81">
        <f t="shared" si="1"/>
        <v>0</v>
      </c>
      <c r="BP20" s="81">
        <f t="shared" si="2"/>
        <v>0</v>
      </c>
      <c r="BQ20" s="81">
        <f t="shared" si="3"/>
        <v>0</v>
      </c>
      <c r="BR20" s="81">
        <f t="shared" si="4"/>
        <v>0</v>
      </c>
      <c r="BS20" s="88">
        <f t="shared" si="5"/>
        <v>0</v>
      </c>
    </row>
    <row r="21" spans="1:71" x14ac:dyDescent="0.3">
      <c r="A21" s="333">
        <v>17</v>
      </c>
      <c r="B21" s="5"/>
      <c r="C21" s="5"/>
      <c r="D21" s="5"/>
      <c r="E21" s="5"/>
      <c r="F21" s="5"/>
      <c r="G21" s="5"/>
      <c r="H21" s="5"/>
      <c r="I21" s="5"/>
      <c r="J21" s="5"/>
      <c r="K21" s="5"/>
      <c r="L21" s="165"/>
      <c r="M21" s="99"/>
      <c r="N21" s="90"/>
      <c r="O21" s="185"/>
      <c r="P21" s="5"/>
      <c r="Q21" s="5"/>
      <c r="R21" s="5"/>
      <c r="S21" s="5"/>
      <c r="T21" s="90"/>
      <c r="U21" s="99"/>
      <c r="V21" s="5"/>
      <c r="W21" s="90"/>
      <c r="X21" s="99"/>
      <c r="Y21" s="5"/>
      <c r="Z21" s="5"/>
      <c r="AA21" s="5"/>
      <c r="AB21" s="90"/>
      <c r="AC21" s="99"/>
      <c r="AD21" s="90"/>
      <c r="AE21" s="99"/>
      <c r="AF21" s="90"/>
      <c r="AG21" s="331"/>
      <c r="AH21" s="81" t="str">
        <f>IF($E21="","",VLOOKUP($E21,Biomass_pool_output_Tech1_modul!$A$3:$G$100,7,FALSE))</f>
        <v/>
      </c>
      <c r="AI21" s="81" t="str">
        <f>IF($E21="","",VLOOKUP($E21,Biomass_pool_output_Tech1_modul!$A$3:$G$100,2,FALSE))</f>
        <v/>
      </c>
      <c r="AJ21" s="81" t="str">
        <f>IF($E21="","",VLOOKUP($E21,Biomass_pool_output_Tech1_modul!$A$3:$G$100,3,FALSE))</f>
        <v/>
      </c>
      <c r="AK21" s="81" t="str">
        <f>IF($E21="","",VLOOKUP($E21,Biomass_pool_output_Tech1_modul!$A$3:$G$100,4,FALSE))</f>
        <v/>
      </c>
      <c r="AL21" s="81" t="str">
        <f>IF($E21="","",VLOOKUP($E21,Biomass_pool_output_Tech1_modul!$A$3:$G$100,5,FALSE))</f>
        <v/>
      </c>
      <c r="AM21" s="81" t="str">
        <f>IF($E21="","",VLOOKUP($E21,Biomass_pool_output_Tech1_modul!$A$3:$G$100,6,FALSE))</f>
        <v/>
      </c>
      <c r="AN21" s="331"/>
      <c r="AO21" s="99"/>
      <c r="AP21" s="30">
        <f>IF(AO21="",0,(VLOOKUP(AO21,'Diesel consumption for field op'!$B$4:$C$78,2,FALSE)*(1000/$AH21)))</f>
        <v>0</v>
      </c>
      <c r="AQ21" s="90"/>
      <c r="AR21" s="99"/>
      <c r="AS21" s="30">
        <f>IF(AR21="",0,(VLOOKUP(AR21,'Diesel consumption for field op'!$B$4:$C$78,2,FALSE)*(1000/$AH21)))</f>
        <v>0</v>
      </c>
      <c r="AT21" s="90"/>
      <c r="AU21" s="99"/>
      <c r="AV21" s="30">
        <f>IF(AU21="",0,(VLOOKUP(AU21,'Diesel consumption for field op'!$B$4:$C$78,2,FALSE)*(1000/$AH21)))</f>
        <v>0</v>
      </c>
      <c r="AW21" s="90"/>
      <c r="AX21" s="99"/>
      <c r="AY21" s="30">
        <f>IF(AX21="",0,(VLOOKUP(AX21,'Diesel consumption for field op'!$B$4:$C$78,2,FALSE)*(1000/$AH21)))</f>
        <v>0</v>
      </c>
      <c r="AZ21" s="90"/>
      <c r="BA21" s="99"/>
      <c r="BB21" s="30">
        <f>IF(BA21="",0,(VLOOKUP(BA21,'Diesel consumption for field op'!$B$4:$C$78,2,FALSE)*(1000/$AH21)))</f>
        <v>0</v>
      </c>
      <c r="BC21" s="90"/>
      <c r="BD21" s="99"/>
      <c r="BE21" s="5"/>
      <c r="BF21" s="103">
        <f>IF(BD21="",0,(VLOOKUP(BD21,'Diesel consumption for field op'!$B$4:$C$78,2,FALSE)*(1000/$AH21))*BE21)</f>
        <v>0</v>
      </c>
      <c r="BG21" s="90"/>
      <c r="BH21" s="109">
        <f t="shared" si="6"/>
        <v>0</v>
      </c>
      <c r="BI21" s="331"/>
      <c r="BJ21" s="99"/>
      <c r="BK21" s="5"/>
      <c r="BL21" s="90"/>
      <c r="BM21" s="331"/>
      <c r="BN21" s="81">
        <f t="shared" si="0"/>
        <v>0</v>
      </c>
      <c r="BO21" s="81">
        <f t="shared" si="1"/>
        <v>0</v>
      </c>
      <c r="BP21" s="81">
        <f t="shared" si="2"/>
        <v>0</v>
      </c>
      <c r="BQ21" s="81">
        <f t="shared" si="3"/>
        <v>0</v>
      </c>
      <c r="BR21" s="81">
        <f t="shared" si="4"/>
        <v>0</v>
      </c>
      <c r="BS21" s="88">
        <f t="shared" si="5"/>
        <v>0</v>
      </c>
    </row>
    <row r="22" spans="1:71" x14ac:dyDescent="0.3">
      <c r="A22" s="333">
        <v>18</v>
      </c>
      <c r="B22" s="5"/>
      <c r="C22" s="5"/>
      <c r="D22" s="5"/>
      <c r="E22" s="5"/>
      <c r="F22" s="5"/>
      <c r="G22" s="5"/>
      <c r="H22" s="5"/>
      <c r="I22" s="5"/>
      <c r="J22" s="5"/>
      <c r="K22" s="5"/>
      <c r="L22" s="165"/>
      <c r="M22" s="99"/>
      <c r="N22" s="90"/>
      <c r="O22" s="185"/>
      <c r="P22" s="5"/>
      <c r="Q22" s="5"/>
      <c r="R22" s="5"/>
      <c r="S22" s="5"/>
      <c r="T22" s="90"/>
      <c r="U22" s="99"/>
      <c r="V22" s="5"/>
      <c r="W22" s="90"/>
      <c r="X22" s="99"/>
      <c r="Y22" s="5"/>
      <c r="Z22" s="5"/>
      <c r="AA22" s="5"/>
      <c r="AB22" s="90"/>
      <c r="AC22" s="99"/>
      <c r="AD22" s="90"/>
      <c r="AE22" s="99"/>
      <c r="AF22" s="90"/>
      <c r="AG22" s="331"/>
      <c r="AH22" s="81" t="str">
        <f>IF($E22="","",VLOOKUP($E22,Biomass_pool_output_Tech1_modul!$A$3:$G$100,7,FALSE))</f>
        <v/>
      </c>
      <c r="AI22" s="81" t="str">
        <f>IF($E22="","",VLOOKUP($E22,Biomass_pool_output_Tech1_modul!$A$3:$G$100,2,FALSE))</f>
        <v/>
      </c>
      <c r="AJ22" s="81" t="str">
        <f>IF($E22="","",VLOOKUP($E22,Biomass_pool_output_Tech1_modul!$A$3:$G$100,3,FALSE))</f>
        <v/>
      </c>
      <c r="AK22" s="81" t="str">
        <f>IF($E22="","",VLOOKUP($E22,Biomass_pool_output_Tech1_modul!$A$3:$G$100,4,FALSE))</f>
        <v/>
      </c>
      <c r="AL22" s="81" t="str">
        <f>IF($E22="","",VLOOKUP($E22,Biomass_pool_output_Tech1_modul!$A$3:$G$100,5,FALSE))</f>
        <v/>
      </c>
      <c r="AM22" s="81" t="str">
        <f>IF($E22="","",VLOOKUP($E22,Biomass_pool_output_Tech1_modul!$A$3:$G$100,6,FALSE))</f>
        <v/>
      </c>
      <c r="AN22" s="331"/>
      <c r="AO22" s="99"/>
      <c r="AP22" s="30">
        <f>IF(AO22="",0,(VLOOKUP(AO22,'Diesel consumption for field op'!$B$4:$C$78,2,FALSE)*(1000/$AH22)))</f>
        <v>0</v>
      </c>
      <c r="AQ22" s="90"/>
      <c r="AR22" s="99"/>
      <c r="AS22" s="30">
        <f>IF(AR22="",0,(VLOOKUP(AR22,'Diesel consumption for field op'!$B$4:$C$78,2,FALSE)*(1000/$AH22)))</f>
        <v>0</v>
      </c>
      <c r="AT22" s="90"/>
      <c r="AU22" s="99"/>
      <c r="AV22" s="30">
        <f>IF(AU22="",0,(VLOOKUP(AU22,'Diesel consumption for field op'!$B$4:$C$78,2,FALSE)*(1000/$AH22)))</f>
        <v>0</v>
      </c>
      <c r="AW22" s="90"/>
      <c r="AX22" s="99"/>
      <c r="AY22" s="30">
        <f>IF(AX22="",0,(VLOOKUP(AX22,'Diesel consumption for field op'!$B$4:$C$78,2,FALSE)*(1000/$AH22)))</f>
        <v>0</v>
      </c>
      <c r="AZ22" s="90"/>
      <c r="BA22" s="99"/>
      <c r="BB22" s="30">
        <f>IF(BA22="",0,(VLOOKUP(BA22,'Diesel consumption for field op'!$B$4:$C$78,2,FALSE)*(1000/$AH22)))</f>
        <v>0</v>
      </c>
      <c r="BC22" s="90"/>
      <c r="BD22" s="99"/>
      <c r="BE22" s="5"/>
      <c r="BF22" s="103">
        <f>IF(BD22="",0,(VLOOKUP(BD22,'Diesel consumption for field op'!$B$4:$C$78,2,FALSE)*(1000/$AH22))*BE22)</f>
        <v>0</v>
      </c>
      <c r="BG22" s="90"/>
      <c r="BH22" s="109">
        <f t="shared" si="6"/>
        <v>0</v>
      </c>
      <c r="BI22" s="331"/>
      <c r="BJ22" s="99"/>
      <c r="BK22" s="5"/>
      <c r="BL22" s="90"/>
      <c r="BM22" s="331"/>
      <c r="BN22" s="81">
        <f t="shared" si="0"/>
        <v>0</v>
      </c>
      <c r="BO22" s="81">
        <f t="shared" si="1"/>
        <v>0</v>
      </c>
      <c r="BP22" s="81">
        <f t="shared" si="2"/>
        <v>0</v>
      </c>
      <c r="BQ22" s="81">
        <f t="shared" si="3"/>
        <v>0</v>
      </c>
      <c r="BR22" s="81">
        <f t="shared" si="4"/>
        <v>0</v>
      </c>
      <c r="BS22" s="88">
        <f t="shared" si="5"/>
        <v>0</v>
      </c>
    </row>
    <row r="23" spans="1:71" x14ac:dyDescent="0.3">
      <c r="A23" s="333">
        <v>19</v>
      </c>
      <c r="B23" s="5"/>
      <c r="C23" s="5"/>
      <c r="D23" s="5"/>
      <c r="E23" s="5"/>
      <c r="F23" s="5"/>
      <c r="G23" s="5"/>
      <c r="H23" s="5"/>
      <c r="I23" s="5"/>
      <c r="J23" s="5"/>
      <c r="K23" s="5"/>
      <c r="L23" s="165"/>
      <c r="M23" s="99"/>
      <c r="N23" s="90"/>
      <c r="O23" s="185"/>
      <c r="P23" s="5"/>
      <c r="Q23" s="5"/>
      <c r="R23" s="5"/>
      <c r="S23" s="5"/>
      <c r="T23" s="90"/>
      <c r="U23" s="99"/>
      <c r="V23" s="5"/>
      <c r="W23" s="90"/>
      <c r="X23" s="99"/>
      <c r="Y23" s="5"/>
      <c r="Z23" s="5"/>
      <c r="AA23" s="5"/>
      <c r="AB23" s="90"/>
      <c r="AC23" s="99"/>
      <c r="AD23" s="90"/>
      <c r="AE23" s="99"/>
      <c r="AF23" s="90"/>
      <c r="AG23" s="331"/>
      <c r="AH23" s="81" t="str">
        <f>IF($E23="","",VLOOKUP($E23,Biomass_pool_output_Tech1_modul!$A$3:$G$100,7,FALSE))</f>
        <v/>
      </c>
      <c r="AI23" s="81" t="str">
        <f>IF($E23="","",VLOOKUP($E23,Biomass_pool_output_Tech1_modul!$A$3:$G$100,2,FALSE))</f>
        <v/>
      </c>
      <c r="AJ23" s="81" t="str">
        <f>IF($E23="","",VLOOKUP($E23,Biomass_pool_output_Tech1_modul!$A$3:$G$100,3,FALSE))</f>
        <v/>
      </c>
      <c r="AK23" s="81" t="str">
        <f>IF($E23="","",VLOOKUP($E23,Biomass_pool_output_Tech1_modul!$A$3:$G$100,4,FALSE))</f>
        <v/>
      </c>
      <c r="AL23" s="81" t="str">
        <f>IF($E23="","",VLOOKUP($E23,Biomass_pool_output_Tech1_modul!$A$3:$G$100,5,FALSE))</f>
        <v/>
      </c>
      <c r="AM23" s="81" t="str">
        <f>IF($E23="","",VLOOKUP($E23,Biomass_pool_output_Tech1_modul!$A$3:$G$100,6,FALSE))</f>
        <v/>
      </c>
      <c r="AN23" s="331"/>
      <c r="AO23" s="99"/>
      <c r="AP23" s="30">
        <f>IF(AO23="",0,(VLOOKUP(AO23,'Diesel consumption for field op'!$B$4:$C$78,2,FALSE)*(1000/$AH23)))</f>
        <v>0</v>
      </c>
      <c r="AQ23" s="90"/>
      <c r="AR23" s="99"/>
      <c r="AS23" s="30">
        <f>IF(AR23="",0,(VLOOKUP(AR23,'Diesel consumption for field op'!$B$4:$C$78,2,FALSE)*(1000/$AH23)))</f>
        <v>0</v>
      </c>
      <c r="AT23" s="90"/>
      <c r="AU23" s="99"/>
      <c r="AV23" s="30">
        <f>IF(AU23="",0,(VLOOKUP(AU23,'Diesel consumption for field op'!$B$4:$C$78,2,FALSE)*(1000/$AH23)))</f>
        <v>0</v>
      </c>
      <c r="AW23" s="90"/>
      <c r="AX23" s="99"/>
      <c r="AY23" s="30">
        <f>IF(AX23="",0,(VLOOKUP(AX23,'Diesel consumption for field op'!$B$4:$C$78,2,FALSE)*(1000/$AH23)))</f>
        <v>0</v>
      </c>
      <c r="AZ23" s="90"/>
      <c r="BA23" s="99"/>
      <c r="BB23" s="30">
        <f>IF(BA23="",0,(VLOOKUP(BA23,'Diesel consumption for field op'!$B$4:$C$78,2,FALSE)*(1000/$AH23)))</f>
        <v>0</v>
      </c>
      <c r="BC23" s="90"/>
      <c r="BD23" s="99"/>
      <c r="BE23" s="5"/>
      <c r="BF23" s="103">
        <f>IF(BD23="",0,(VLOOKUP(BD23,'Diesel consumption for field op'!$B$4:$C$78,2,FALSE)*(1000/$AH23))*BE23)</f>
        <v>0</v>
      </c>
      <c r="BG23" s="90"/>
      <c r="BH23" s="109">
        <f t="shared" si="6"/>
        <v>0</v>
      </c>
      <c r="BI23" s="331"/>
      <c r="BJ23" s="99"/>
      <c r="BK23" s="5"/>
      <c r="BL23" s="90"/>
      <c r="BM23" s="331"/>
      <c r="BN23" s="81">
        <f t="shared" si="0"/>
        <v>0</v>
      </c>
      <c r="BO23" s="81">
        <f t="shared" si="1"/>
        <v>0</v>
      </c>
      <c r="BP23" s="81">
        <f t="shared" si="2"/>
        <v>0</v>
      </c>
      <c r="BQ23" s="81">
        <f t="shared" si="3"/>
        <v>0</v>
      </c>
      <c r="BR23" s="81">
        <f t="shared" si="4"/>
        <v>0</v>
      </c>
      <c r="BS23" s="88">
        <f t="shared" si="5"/>
        <v>0</v>
      </c>
    </row>
    <row r="24" spans="1:71" x14ac:dyDescent="0.3">
      <c r="A24" s="333">
        <v>20</v>
      </c>
      <c r="B24" s="5"/>
      <c r="C24" s="5"/>
      <c r="D24" s="5"/>
      <c r="E24" s="5"/>
      <c r="F24" s="5"/>
      <c r="G24" s="5"/>
      <c r="H24" s="5"/>
      <c r="I24" s="5"/>
      <c r="J24" s="5"/>
      <c r="K24" s="5"/>
      <c r="L24" s="165"/>
      <c r="M24" s="99"/>
      <c r="N24" s="90"/>
      <c r="O24" s="185"/>
      <c r="P24" s="5"/>
      <c r="Q24" s="5"/>
      <c r="R24" s="5"/>
      <c r="S24" s="5"/>
      <c r="T24" s="90"/>
      <c r="U24" s="99"/>
      <c r="V24" s="5"/>
      <c r="W24" s="90"/>
      <c r="X24" s="99"/>
      <c r="Y24" s="5"/>
      <c r="Z24" s="5"/>
      <c r="AA24" s="5"/>
      <c r="AB24" s="90"/>
      <c r="AC24" s="99"/>
      <c r="AD24" s="90"/>
      <c r="AE24" s="99"/>
      <c r="AF24" s="90"/>
      <c r="AG24" s="331"/>
      <c r="AH24" s="81" t="str">
        <f>IF($E24="","",VLOOKUP($E24,Biomass_pool_output_Tech1_modul!$A$3:$G$100,7,FALSE))</f>
        <v/>
      </c>
      <c r="AI24" s="81" t="str">
        <f>IF($E24="","",VLOOKUP($E24,Biomass_pool_output_Tech1_modul!$A$3:$G$100,2,FALSE))</f>
        <v/>
      </c>
      <c r="AJ24" s="81" t="str">
        <f>IF($E24="","",VLOOKUP($E24,Biomass_pool_output_Tech1_modul!$A$3:$G$100,3,FALSE))</f>
        <v/>
      </c>
      <c r="AK24" s="81" t="str">
        <f>IF($E24="","",VLOOKUP($E24,Biomass_pool_output_Tech1_modul!$A$3:$G$100,4,FALSE))</f>
        <v/>
      </c>
      <c r="AL24" s="81" t="str">
        <f>IF($E24="","",VLOOKUP($E24,Biomass_pool_output_Tech1_modul!$A$3:$G$100,5,FALSE))</f>
        <v/>
      </c>
      <c r="AM24" s="81" t="str">
        <f>IF($E24="","",VLOOKUP($E24,Biomass_pool_output_Tech1_modul!$A$3:$G$100,6,FALSE))</f>
        <v/>
      </c>
      <c r="AN24" s="331"/>
      <c r="AO24" s="99"/>
      <c r="AP24" s="30">
        <f>IF(AO24="",0,(VLOOKUP(AO24,'Diesel consumption for field op'!$B$4:$C$78,2,FALSE)*(1000/$AH24)))</f>
        <v>0</v>
      </c>
      <c r="AQ24" s="90"/>
      <c r="AR24" s="99"/>
      <c r="AS24" s="30">
        <f>IF(AR24="",0,(VLOOKUP(AR24,'Diesel consumption for field op'!$B$4:$C$78,2,FALSE)*(1000/$AH24)))</f>
        <v>0</v>
      </c>
      <c r="AT24" s="90"/>
      <c r="AU24" s="99"/>
      <c r="AV24" s="30">
        <f>IF(AU24="",0,(VLOOKUP(AU24,'Diesel consumption for field op'!$B$4:$C$78,2,FALSE)*(1000/$AH24)))</f>
        <v>0</v>
      </c>
      <c r="AW24" s="90"/>
      <c r="AX24" s="99"/>
      <c r="AY24" s="30">
        <f>IF(AX24="",0,(VLOOKUP(AX24,'Diesel consumption for field op'!$B$4:$C$78,2,FALSE)*(1000/$AH24)))</f>
        <v>0</v>
      </c>
      <c r="AZ24" s="90"/>
      <c r="BA24" s="99"/>
      <c r="BB24" s="30">
        <f>IF(BA24="",0,(VLOOKUP(BA24,'Diesel consumption for field op'!$B$4:$C$78,2,FALSE)*(1000/$AH24)))</f>
        <v>0</v>
      </c>
      <c r="BC24" s="90"/>
      <c r="BD24" s="99"/>
      <c r="BE24" s="5"/>
      <c r="BF24" s="103">
        <f>IF(BD24="",0,(VLOOKUP(BD24,'Diesel consumption for field op'!$B$4:$C$78,2,FALSE)*(1000/$AH24))*BE24)</f>
        <v>0</v>
      </c>
      <c r="BG24" s="90"/>
      <c r="BH24" s="109">
        <f t="shared" si="6"/>
        <v>0</v>
      </c>
      <c r="BI24" s="331"/>
      <c r="BJ24" s="99"/>
      <c r="BK24" s="5"/>
      <c r="BL24" s="90"/>
      <c r="BM24" s="331"/>
      <c r="BN24" s="81">
        <f t="shared" si="0"/>
        <v>0</v>
      </c>
      <c r="BO24" s="81">
        <f t="shared" si="1"/>
        <v>0</v>
      </c>
      <c r="BP24" s="81">
        <f t="shared" si="2"/>
        <v>0</v>
      </c>
      <c r="BQ24" s="81">
        <f t="shared" si="3"/>
        <v>0</v>
      </c>
      <c r="BR24" s="81">
        <f t="shared" si="4"/>
        <v>0</v>
      </c>
      <c r="BS24" s="88">
        <f t="shared" si="5"/>
        <v>0</v>
      </c>
    </row>
    <row r="25" spans="1:71" x14ac:dyDescent="0.3">
      <c r="A25" s="333">
        <v>21</v>
      </c>
      <c r="B25" s="5"/>
      <c r="C25" s="5"/>
      <c r="D25" s="5"/>
      <c r="E25" s="5"/>
      <c r="F25" s="5"/>
      <c r="G25" s="5"/>
      <c r="H25" s="5"/>
      <c r="I25" s="5"/>
      <c r="J25" s="5"/>
      <c r="K25" s="5"/>
      <c r="L25" s="165"/>
      <c r="M25" s="99"/>
      <c r="N25" s="90"/>
      <c r="O25" s="185"/>
      <c r="P25" s="5"/>
      <c r="Q25" s="5"/>
      <c r="R25" s="5"/>
      <c r="S25" s="5"/>
      <c r="T25" s="90"/>
      <c r="U25" s="99"/>
      <c r="V25" s="5"/>
      <c r="W25" s="90"/>
      <c r="X25" s="99"/>
      <c r="Y25" s="5"/>
      <c r="Z25" s="5"/>
      <c r="AA25" s="5"/>
      <c r="AB25" s="90"/>
      <c r="AC25" s="99"/>
      <c r="AD25" s="90"/>
      <c r="AE25" s="99"/>
      <c r="AF25" s="90"/>
      <c r="AG25" s="331"/>
      <c r="AH25" s="81" t="str">
        <f>IF($E25="","",VLOOKUP($E25,Biomass_pool_output_Tech1_modul!$A$3:$G$100,7,FALSE))</f>
        <v/>
      </c>
      <c r="AI25" s="81" t="str">
        <f>IF($E25="","",VLOOKUP($E25,Biomass_pool_output_Tech1_modul!$A$3:$G$100,2,FALSE))</f>
        <v/>
      </c>
      <c r="AJ25" s="81" t="str">
        <f>IF($E25="","",VLOOKUP($E25,Biomass_pool_output_Tech1_modul!$A$3:$G$100,3,FALSE))</f>
        <v/>
      </c>
      <c r="AK25" s="81" t="str">
        <f>IF($E25="","",VLOOKUP($E25,Biomass_pool_output_Tech1_modul!$A$3:$G$100,4,FALSE))</f>
        <v/>
      </c>
      <c r="AL25" s="81" t="str">
        <f>IF($E25="","",VLOOKUP($E25,Biomass_pool_output_Tech1_modul!$A$3:$G$100,5,FALSE))</f>
        <v/>
      </c>
      <c r="AM25" s="81" t="str">
        <f>IF($E25="","",VLOOKUP($E25,Biomass_pool_output_Tech1_modul!$A$3:$G$100,6,FALSE))</f>
        <v/>
      </c>
      <c r="AN25" s="331"/>
      <c r="AO25" s="99"/>
      <c r="AP25" s="30">
        <f>IF(AO25="",0,(VLOOKUP(AO25,'Diesel consumption for field op'!$B$4:$C$78,2,FALSE)*(1000/$AH25)))</f>
        <v>0</v>
      </c>
      <c r="AQ25" s="90"/>
      <c r="AR25" s="99"/>
      <c r="AS25" s="30">
        <f>IF(AR25="",0,(VLOOKUP(AR25,'Diesel consumption for field op'!$B$4:$C$78,2,FALSE)*(1000/$AH25)))</f>
        <v>0</v>
      </c>
      <c r="AT25" s="90"/>
      <c r="AU25" s="99"/>
      <c r="AV25" s="30">
        <f>IF(AU25="",0,(VLOOKUP(AU25,'Diesel consumption for field op'!$B$4:$C$78,2,FALSE)*(1000/$AH25)))</f>
        <v>0</v>
      </c>
      <c r="AW25" s="90"/>
      <c r="AX25" s="99"/>
      <c r="AY25" s="30">
        <f>IF(AX25="",0,(VLOOKUP(AX25,'Diesel consumption for field op'!$B$4:$C$78,2,FALSE)*(1000/$AH25)))</f>
        <v>0</v>
      </c>
      <c r="AZ25" s="90"/>
      <c r="BA25" s="99"/>
      <c r="BB25" s="30">
        <f>IF(BA25="",0,(VLOOKUP(BA25,'Diesel consumption for field op'!$B$4:$C$78,2,FALSE)*(1000/$AH25)))</f>
        <v>0</v>
      </c>
      <c r="BC25" s="90"/>
      <c r="BD25" s="99"/>
      <c r="BE25" s="5"/>
      <c r="BF25" s="103">
        <f>IF(BD25="",0,(VLOOKUP(BD25,'Diesel consumption for field op'!$B$4:$C$78,2,FALSE)*(1000/$AH25))*BE25)</f>
        <v>0</v>
      </c>
      <c r="BG25" s="90"/>
      <c r="BH25" s="109">
        <f t="shared" si="6"/>
        <v>0</v>
      </c>
      <c r="BI25" s="331"/>
      <c r="BJ25" s="99"/>
      <c r="BK25" s="5"/>
      <c r="BL25" s="90"/>
      <c r="BM25" s="331"/>
      <c r="BN25" s="81">
        <f t="shared" si="0"/>
        <v>0</v>
      </c>
      <c r="BO25" s="81">
        <f t="shared" si="1"/>
        <v>0</v>
      </c>
      <c r="BP25" s="81">
        <f t="shared" si="2"/>
        <v>0</v>
      </c>
      <c r="BQ25" s="81">
        <f t="shared" si="3"/>
        <v>0</v>
      </c>
      <c r="BR25" s="81">
        <f t="shared" si="4"/>
        <v>0</v>
      </c>
      <c r="BS25" s="88">
        <f t="shared" si="5"/>
        <v>0</v>
      </c>
    </row>
    <row r="26" spans="1:71" x14ac:dyDescent="0.3">
      <c r="A26" s="333">
        <v>22</v>
      </c>
      <c r="B26" s="5"/>
      <c r="C26" s="5"/>
      <c r="D26" s="5"/>
      <c r="E26" s="5"/>
      <c r="F26" s="5"/>
      <c r="G26" s="5"/>
      <c r="H26" s="5"/>
      <c r="I26" s="5"/>
      <c r="J26" s="5"/>
      <c r="K26" s="5"/>
      <c r="L26" s="165"/>
      <c r="M26" s="99"/>
      <c r="N26" s="90"/>
      <c r="O26" s="185"/>
      <c r="P26" s="5"/>
      <c r="Q26" s="5"/>
      <c r="R26" s="5"/>
      <c r="S26" s="5"/>
      <c r="T26" s="90"/>
      <c r="U26" s="99"/>
      <c r="V26" s="5"/>
      <c r="W26" s="90"/>
      <c r="X26" s="99"/>
      <c r="Y26" s="5"/>
      <c r="Z26" s="5"/>
      <c r="AA26" s="5"/>
      <c r="AB26" s="90"/>
      <c r="AC26" s="99"/>
      <c r="AD26" s="90"/>
      <c r="AE26" s="99"/>
      <c r="AF26" s="90"/>
      <c r="AG26" s="331"/>
      <c r="AH26" s="81" t="str">
        <f>IF($E26="","",VLOOKUP($E26,Biomass_pool_output_Tech1_modul!$A$3:$G$100,7,FALSE))</f>
        <v/>
      </c>
      <c r="AI26" s="81" t="str">
        <f>IF($E26="","",VLOOKUP($E26,Biomass_pool_output_Tech1_modul!$A$3:$G$100,2,FALSE))</f>
        <v/>
      </c>
      <c r="AJ26" s="81" t="str">
        <f>IF($E26="","",VLOOKUP($E26,Biomass_pool_output_Tech1_modul!$A$3:$G$100,3,FALSE))</f>
        <v/>
      </c>
      <c r="AK26" s="81" t="str">
        <f>IF($E26="","",VLOOKUP($E26,Biomass_pool_output_Tech1_modul!$A$3:$G$100,4,FALSE))</f>
        <v/>
      </c>
      <c r="AL26" s="81" t="str">
        <f>IF($E26="","",VLOOKUP($E26,Biomass_pool_output_Tech1_modul!$A$3:$G$100,5,FALSE))</f>
        <v/>
      </c>
      <c r="AM26" s="81" t="str">
        <f>IF($E26="","",VLOOKUP($E26,Biomass_pool_output_Tech1_modul!$A$3:$G$100,6,FALSE))</f>
        <v/>
      </c>
      <c r="AN26" s="331"/>
      <c r="AO26" s="99"/>
      <c r="AP26" s="30">
        <f>IF(AO26="",0,(VLOOKUP(AO26,'Diesel consumption for field op'!$B$4:$C$78,2,FALSE)*(1000/$AH26)))</f>
        <v>0</v>
      </c>
      <c r="AQ26" s="90"/>
      <c r="AR26" s="99"/>
      <c r="AS26" s="30">
        <f>IF(AR26="",0,(VLOOKUP(AR26,'Diesel consumption for field op'!$B$4:$C$78,2,FALSE)*(1000/$AH26)))</f>
        <v>0</v>
      </c>
      <c r="AT26" s="90"/>
      <c r="AU26" s="99"/>
      <c r="AV26" s="30">
        <f>IF(AU26="",0,(VLOOKUP(AU26,'Diesel consumption for field op'!$B$4:$C$78,2,FALSE)*(1000/$AH26)))</f>
        <v>0</v>
      </c>
      <c r="AW26" s="90"/>
      <c r="AX26" s="99"/>
      <c r="AY26" s="30">
        <f>IF(AX26="",0,(VLOOKUP(AX26,'Diesel consumption for field op'!$B$4:$C$78,2,FALSE)*(1000/$AH26)))</f>
        <v>0</v>
      </c>
      <c r="AZ26" s="90"/>
      <c r="BA26" s="99"/>
      <c r="BB26" s="30">
        <f>IF(BA26="",0,(VLOOKUP(BA26,'Diesel consumption for field op'!$B$4:$C$78,2,FALSE)*(1000/$AH26)))</f>
        <v>0</v>
      </c>
      <c r="BC26" s="90"/>
      <c r="BD26" s="99"/>
      <c r="BE26" s="5"/>
      <c r="BF26" s="103">
        <f>IF(BD26="",0,(VLOOKUP(BD26,'Diesel consumption for field op'!$B$4:$C$78,2,FALSE)*(1000/$AH26))*BE26)</f>
        <v>0</v>
      </c>
      <c r="BG26" s="90"/>
      <c r="BH26" s="109">
        <f t="shared" si="6"/>
        <v>0</v>
      </c>
      <c r="BI26" s="331"/>
      <c r="BJ26" s="99"/>
      <c r="BK26" s="5"/>
      <c r="BL26" s="90"/>
      <c r="BM26" s="331"/>
      <c r="BN26" s="81">
        <f t="shared" si="0"/>
        <v>0</v>
      </c>
      <c r="BO26" s="81">
        <f t="shared" si="1"/>
        <v>0</v>
      </c>
      <c r="BP26" s="81">
        <f t="shared" si="2"/>
        <v>0</v>
      </c>
      <c r="BQ26" s="81">
        <f t="shared" si="3"/>
        <v>0</v>
      </c>
      <c r="BR26" s="81">
        <f t="shared" si="4"/>
        <v>0</v>
      </c>
      <c r="BS26" s="88">
        <f t="shared" si="5"/>
        <v>0</v>
      </c>
    </row>
    <row r="27" spans="1:71" x14ac:dyDescent="0.3">
      <c r="A27" s="333">
        <v>23</v>
      </c>
      <c r="B27" s="5"/>
      <c r="C27" s="5"/>
      <c r="D27" s="5"/>
      <c r="E27" s="5"/>
      <c r="F27" s="5"/>
      <c r="G27" s="5"/>
      <c r="H27" s="5"/>
      <c r="I27" s="5"/>
      <c r="J27" s="5"/>
      <c r="K27" s="5"/>
      <c r="L27" s="165"/>
      <c r="M27" s="99"/>
      <c r="N27" s="90"/>
      <c r="O27" s="185"/>
      <c r="P27" s="5"/>
      <c r="Q27" s="5"/>
      <c r="R27" s="5"/>
      <c r="S27" s="5"/>
      <c r="T27" s="90"/>
      <c r="U27" s="99"/>
      <c r="V27" s="5"/>
      <c r="W27" s="90"/>
      <c r="X27" s="99"/>
      <c r="Y27" s="5"/>
      <c r="Z27" s="5"/>
      <c r="AA27" s="5"/>
      <c r="AB27" s="90"/>
      <c r="AC27" s="99"/>
      <c r="AD27" s="90"/>
      <c r="AE27" s="99"/>
      <c r="AF27" s="90"/>
      <c r="AG27" s="331"/>
      <c r="AH27" s="81" t="str">
        <f>IF($E27="","",VLOOKUP($E27,Biomass_pool_output_Tech1_modul!$A$3:$G$100,7,FALSE))</f>
        <v/>
      </c>
      <c r="AI27" s="81" t="str">
        <f>IF($E27="","",VLOOKUP($E27,Biomass_pool_output_Tech1_modul!$A$3:$G$100,2,FALSE))</f>
        <v/>
      </c>
      <c r="AJ27" s="81" t="str">
        <f>IF($E27="","",VLOOKUP($E27,Biomass_pool_output_Tech1_modul!$A$3:$G$100,3,FALSE))</f>
        <v/>
      </c>
      <c r="AK27" s="81" t="str">
        <f>IF($E27="","",VLOOKUP($E27,Biomass_pool_output_Tech1_modul!$A$3:$G$100,4,FALSE))</f>
        <v/>
      </c>
      <c r="AL27" s="81" t="str">
        <f>IF($E27="","",VLOOKUP($E27,Biomass_pool_output_Tech1_modul!$A$3:$G$100,5,FALSE))</f>
        <v/>
      </c>
      <c r="AM27" s="81" t="str">
        <f>IF($E27="","",VLOOKUP($E27,Biomass_pool_output_Tech1_modul!$A$3:$G$100,6,FALSE))</f>
        <v/>
      </c>
      <c r="AN27" s="331"/>
      <c r="AO27" s="99"/>
      <c r="AP27" s="30">
        <f>IF(AO27="",0,(VLOOKUP(AO27,'Diesel consumption for field op'!$B$4:$C$78,2,FALSE)*(1000/$AH27)))</f>
        <v>0</v>
      </c>
      <c r="AQ27" s="90"/>
      <c r="AR27" s="99"/>
      <c r="AS27" s="30">
        <f>IF(AR27="",0,(VLOOKUP(AR27,'Diesel consumption for field op'!$B$4:$C$78,2,FALSE)*(1000/$AH27)))</f>
        <v>0</v>
      </c>
      <c r="AT27" s="90"/>
      <c r="AU27" s="99"/>
      <c r="AV27" s="30">
        <f>IF(AU27="",0,(VLOOKUP(AU27,'Diesel consumption for field op'!$B$4:$C$78,2,FALSE)*(1000/$AH27)))</f>
        <v>0</v>
      </c>
      <c r="AW27" s="90"/>
      <c r="AX27" s="99"/>
      <c r="AY27" s="30">
        <f>IF(AX27="",0,(VLOOKUP(AX27,'Diesel consumption for field op'!$B$4:$C$78,2,FALSE)*(1000/$AH27)))</f>
        <v>0</v>
      </c>
      <c r="AZ27" s="90"/>
      <c r="BA27" s="99"/>
      <c r="BB27" s="30">
        <f>IF(BA27="",0,(VLOOKUP(BA27,'Diesel consumption for field op'!$B$4:$C$78,2,FALSE)*(1000/$AH27)))</f>
        <v>0</v>
      </c>
      <c r="BC27" s="90"/>
      <c r="BD27" s="99"/>
      <c r="BE27" s="5"/>
      <c r="BF27" s="103">
        <f>IF(BD27="",0,(VLOOKUP(BD27,'Diesel consumption for field op'!$B$4:$C$78,2,FALSE)*(1000/$AH27))*BE27)</f>
        <v>0</v>
      </c>
      <c r="BG27" s="90"/>
      <c r="BH27" s="109">
        <f t="shared" si="6"/>
        <v>0</v>
      </c>
      <c r="BI27" s="331"/>
      <c r="BJ27" s="99"/>
      <c r="BK27" s="5"/>
      <c r="BL27" s="90"/>
      <c r="BM27" s="331"/>
      <c r="BN27" s="81">
        <f t="shared" si="0"/>
        <v>0</v>
      </c>
      <c r="BO27" s="81">
        <f t="shared" si="1"/>
        <v>0</v>
      </c>
      <c r="BP27" s="81">
        <f t="shared" si="2"/>
        <v>0</v>
      </c>
      <c r="BQ27" s="81">
        <f t="shared" si="3"/>
        <v>0</v>
      </c>
      <c r="BR27" s="81">
        <f t="shared" si="4"/>
        <v>0</v>
      </c>
      <c r="BS27" s="88">
        <f t="shared" si="5"/>
        <v>0</v>
      </c>
    </row>
    <row r="28" spans="1:71" x14ac:dyDescent="0.3">
      <c r="A28" s="333">
        <v>24</v>
      </c>
      <c r="B28" s="5"/>
      <c r="C28" s="5"/>
      <c r="D28" s="5"/>
      <c r="E28" s="5"/>
      <c r="F28" s="5"/>
      <c r="G28" s="5"/>
      <c r="H28" s="5"/>
      <c r="I28" s="5"/>
      <c r="J28" s="5"/>
      <c r="K28" s="5"/>
      <c r="L28" s="165"/>
      <c r="M28" s="99"/>
      <c r="N28" s="90"/>
      <c r="O28" s="185"/>
      <c r="P28" s="5"/>
      <c r="Q28" s="5"/>
      <c r="R28" s="5"/>
      <c r="S28" s="5"/>
      <c r="T28" s="90"/>
      <c r="U28" s="99"/>
      <c r="V28" s="5"/>
      <c r="W28" s="90"/>
      <c r="X28" s="99"/>
      <c r="Y28" s="5"/>
      <c r="Z28" s="5"/>
      <c r="AA28" s="5"/>
      <c r="AB28" s="90"/>
      <c r="AC28" s="99"/>
      <c r="AD28" s="90"/>
      <c r="AE28" s="99"/>
      <c r="AF28" s="90"/>
      <c r="AG28" s="331"/>
      <c r="AH28" s="81" t="str">
        <f>IF($E28="","",VLOOKUP($E28,Biomass_pool_output_Tech1_modul!$A$3:$G$100,7,FALSE))</f>
        <v/>
      </c>
      <c r="AI28" s="81" t="str">
        <f>IF($E28="","",VLOOKUP($E28,Biomass_pool_output_Tech1_modul!$A$3:$G$100,2,FALSE))</f>
        <v/>
      </c>
      <c r="AJ28" s="81" t="str">
        <f>IF($E28="","",VLOOKUP($E28,Biomass_pool_output_Tech1_modul!$A$3:$G$100,3,FALSE))</f>
        <v/>
      </c>
      <c r="AK28" s="81" t="str">
        <f>IF($E28="","",VLOOKUP($E28,Biomass_pool_output_Tech1_modul!$A$3:$G$100,4,FALSE))</f>
        <v/>
      </c>
      <c r="AL28" s="81" t="str">
        <f>IF($E28="","",VLOOKUP($E28,Biomass_pool_output_Tech1_modul!$A$3:$G$100,5,FALSE))</f>
        <v/>
      </c>
      <c r="AM28" s="81" t="str">
        <f>IF($E28="","",VLOOKUP($E28,Biomass_pool_output_Tech1_modul!$A$3:$G$100,6,FALSE))</f>
        <v/>
      </c>
      <c r="AN28" s="331"/>
      <c r="AO28" s="99"/>
      <c r="AP28" s="30">
        <f>IF(AO28="",0,(VLOOKUP(AO28,'Diesel consumption for field op'!$B$4:$C$78,2,FALSE)*(1000/$AH28)))</f>
        <v>0</v>
      </c>
      <c r="AQ28" s="90"/>
      <c r="AR28" s="99"/>
      <c r="AS28" s="30">
        <f>IF(AR28="",0,(VLOOKUP(AR28,'Diesel consumption for field op'!$B$4:$C$78,2,FALSE)*(1000/$AH28)))</f>
        <v>0</v>
      </c>
      <c r="AT28" s="90"/>
      <c r="AU28" s="99"/>
      <c r="AV28" s="30">
        <f>IF(AU28="",0,(VLOOKUP(AU28,'Diesel consumption for field op'!$B$4:$C$78,2,FALSE)*(1000/$AH28)))</f>
        <v>0</v>
      </c>
      <c r="AW28" s="90"/>
      <c r="AX28" s="99"/>
      <c r="AY28" s="30">
        <f>IF(AX28="",0,(VLOOKUP(AX28,'Diesel consumption for field op'!$B$4:$C$78,2,FALSE)*(1000/$AH28)))</f>
        <v>0</v>
      </c>
      <c r="AZ28" s="90"/>
      <c r="BA28" s="99"/>
      <c r="BB28" s="30">
        <f>IF(BA28="",0,(VLOOKUP(BA28,'Diesel consumption for field op'!$B$4:$C$78,2,FALSE)*(1000/$AH28)))</f>
        <v>0</v>
      </c>
      <c r="BC28" s="90"/>
      <c r="BD28" s="99"/>
      <c r="BE28" s="5"/>
      <c r="BF28" s="103">
        <f>IF(BD28="",0,(VLOOKUP(BD28,'Diesel consumption for field op'!$B$4:$C$78,2,FALSE)*(1000/$AH28))*BE28)</f>
        <v>0</v>
      </c>
      <c r="BG28" s="90"/>
      <c r="BH28" s="109">
        <f t="shared" si="6"/>
        <v>0</v>
      </c>
      <c r="BI28" s="331"/>
      <c r="BJ28" s="99"/>
      <c r="BK28" s="5"/>
      <c r="BL28" s="90"/>
      <c r="BM28" s="331"/>
      <c r="BN28" s="81">
        <f t="shared" si="0"/>
        <v>0</v>
      </c>
      <c r="BO28" s="81">
        <f t="shared" si="1"/>
        <v>0</v>
      </c>
      <c r="BP28" s="81">
        <f t="shared" si="2"/>
        <v>0</v>
      </c>
      <c r="BQ28" s="81">
        <f t="shared" si="3"/>
        <v>0</v>
      </c>
      <c r="BR28" s="81">
        <f t="shared" si="4"/>
        <v>0</v>
      </c>
      <c r="BS28" s="88">
        <f t="shared" si="5"/>
        <v>0</v>
      </c>
    </row>
    <row r="29" spans="1:71" x14ac:dyDescent="0.3">
      <c r="A29" s="333">
        <v>25</v>
      </c>
      <c r="B29" s="5"/>
      <c r="C29" s="5"/>
      <c r="D29" s="5"/>
      <c r="E29" s="5"/>
      <c r="F29" s="5"/>
      <c r="G29" s="5"/>
      <c r="H29" s="5"/>
      <c r="I29" s="5"/>
      <c r="J29" s="5"/>
      <c r="K29" s="5"/>
      <c r="L29" s="165"/>
      <c r="M29" s="99"/>
      <c r="N29" s="90"/>
      <c r="O29" s="185"/>
      <c r="P29" s="5"/>
      <c r="Q29" s="5"/>
      <c r="R29" s="5"/>
      <c r="S29" s="5"/>
      <c r="T29" s="90"/>
      <c r="U29" s="99"/>
      <c r="V29" s="5"/>
      <c r="W29" s="90"/>
      <c r="X29" s="99"/>
      <c r="Y29" s="5"/>
      <c r="Z29" s="5"/>
      <c r="AA29" s="5"/>
      <c r="AB29" s="90"/>
      <c r="AC29" s="99"/>
      <c r="AD29" s="90"/>
      <c r="AE29" s="99"/>
      <c r="AF29" s="90"/>
      <c r="AG29" s="331"/>
      <c r="AH29" s="81" t="str">
        <f>IF($E29="","",VLOOKUP($E29,Biomass_pool_output_Tech1_modul!$A$3:$G$100,7,FALSE))</f>
        <v/>
      </c>
      <c r="AI29" s="81" t="str">
        <f>IF($E29="","",VLOOKUP($E29,Biomass_pool_output_Tech1_modul!$A$3:$G$100,2,FALSE))</f>
        <v/>
      </c>
      <c r="AJ29" s="81" t="str">
        <f>IF($E29="","",VLOOKUP($E29,Biomass_pool_output_Tech1_modul!$A$3:$G$100,3,FALSE))</f>
        <v/>
      </c>
      <c r="AK29" s="81" t="str">
        <f>IF($E29="","",VLOOKUP($E29,Biomass_pool_output_Tech1_modul!$A$3:$G$100,4,FALSE))</f>
        <v/>
      </c>
      <c r="AL29" s="81" t="str">
        <f>IF($E29="","",VLOOKUP($E29,Biomass_pool_output_Tech1_modul!$A$3:$G$100,5,FALSE))</f>
        <v/>
      </c>
      <c r="AM29" s="81" t="str">
        <f>IF($E29="","",VLOOKUP($E29,Biomass_pool_output_Tech1_modul!$A$3:$G$100,6,FALSE))</f>
        <v/>
      </c>
      <c r="AN29" s="331"/>
      <c r="AO29" s="99"/>
      <c r="AP29" s="30">
        <f>IF(AO29="",0,(VLOOKUP(AO29,'Diesel consumption for field op'!$B$4:$C$78,2,FALSE)*(1000/$AH29)))</f>
        <v>0</v>
      </c>
      <c r="AQ29" s="90"/>
      <c r="AR29" s="99"/>
      <c r="AS29" s="30">
        <f>IF(AR29="",0,(VLOOKUP(AR29,'Diesel consumption for field op'!$B$4:$C$78,2,FALSE)*(1000/$AH29)))</f>
        <v>0</v>
      </c>
      <c r="AT29" s="90"/>
      <c r="AU29" s="99"/>
      <c r="AV29" s="30">
        <f>IF(AU29="",0,(VLOOKUP(AU29,'Diesel consumption for field op'!$B$4:$C$78,2,FALSE)*(1000/$AH29)))</f>
        <v>0</v>
      </c>
      <c r="AW29" s="90"/>
      <c r="AX29" s="99"/>
      <c r="AY29" s="30">
        <f>IF(AX29="",0,(VLOOKUP(AX29,'Diesel consumption for field op'!$B$4:$C$78,2,FALSE)*(1000/$AH29)))</f>
        <v>0</v>
      </c>
      <c r="AZ29" s="90"/>
      <c r="BA29" s="99"/>
      <c r="BB29" s="30">
        <f>IF(BA29="",0,(VLOOKUP(BA29,'Diesel consumption for field op'!$B$4:$C$78,2,FALSE)*(1000/$AH29)))</f>
        <v>0</v>
      </c>
      <c r="BC29" s="90"/>
      <c r="BD29" s="99"/>
      <c r="BE29" s="5"/>
      <c r="BF29" s="103">
        <f>IF(BD29="",0,(VLOOKUP(BD29,'Diesel consumption for field op'!$B$4:$C$78,2,FALSE)*(1000/$AH29))*BE29)</f>
        <v>0</v>
      </c>
      <c r="BG29" s="90"/>
      <c r="BH29" s="109">
        <f t="shared" si="6"/>
        <v>0</v>
      </c>
      <c r="BI29" s="331"/>
      <c r="BJ29" s="99"/>
      <c r="BK29" s="5"/>
      <c r="BL29" s="90"/>
      <c r="BM29" s="331"/>
      <c r="BN29" s="81">
        <f t="shared" si="0"/>
        <v>0</v>
      </c>
      <c r="BO29" s="81">
        <f t="shared" si="1"/>
        <v>0</v>
      </c>
      <c r="BP29" s="81">
        <f t="shared" si="2"/>
        <v>0</v>
      </c>
      <c r="BQ29" s="81">
        <f t="shared" si="3"/>
        <v>0</v>
      </c>
      <c r="BR29" s="81">
        <f t="shared" si="4"/>
        <v>0</v>
      </c>
      <c r="BS29" s="88">
        <f t="shared" si="5"/>
        <v>0</v>
      </c>
    </row>
    <row r="30" spans="1:71" x14ac:dyDescent="0.3">
      <c r="A30" s="333">
        <v>26</v>
      </c>
      <c r="B30" s="5"/>
      <c r="C30" s="5"/>
      <c r="D30" s="5"/>
      <c r="E30" s="5"/>
      <c r="F30" s="5"/>
      <c r="G30" s="5"/>
      <c r="H30" s="5"/>
      <c r="I30" s="5"/>
      <c r="J30" s="5"/>
      <c r="K30" s="5"/>
      <c r="L30" s="165"/>
      <c r="M30" s="99"/>
      <c r="N30" s="90"/>
      <c r="O30" s="185"/>
      <c r="P30" s="5"/>
      <c r="Q30" s="5"/>
      <c r="R30" s="5"/>
      <c r="S30" s="5"/>
      <c r="T30" s="90"/>
      <c r="U30" s="99"/>
      <c r="V30" s="5"/>
      <c r="W30" s="90"/>
      <c r="X30" s="99"/>
      <c r="Y30" s="5"/>
      <c r="Z30" s="5"/>
      <c r="AA30" s="5"/>
      <c r="AB30" s="90"/>
      <c r="AC30" s="99"/>
      <c r="AD30" s="90"/>
      <c r="AE30" s="99"/>
      <c r="AF30" s="90"/>
      <c r="AG30" s="331"/>
      <c r="AH30" s="81" t="str">
        <f>IF($E30="","",VLOOKUP($E30,Biomass_pool_output_Tech1_modul!$A$3:$G$100,7,FALSE))</f>
        <v/>
      </c>
      <c r="AI30" s="81" t="str">
        <f>IF($E30="","",VLOOKUP($E30,Biomass_pool_output_Tech1_modul!$A$3:$G$100,2,FALSE))</f>
        <v/>
      </c>
      <c r="AJ30" s="81" t="str">
        <f>IF($E30="","",VLOOKUP($E30,Biomass_pool_output_Tech1_modul!$A$3:$G$100,3,FALSE))</f>
        <v/>
      </c>
      <c r="AK30" s="81" t="str">
        <f>IF($E30="","",VLOOKUP($E30,Biomass_pool_output_Tech1_modul!$A$3:$G$100,4,FALSE))</f>
        <v/>
      </c>
      <c r="AL30" s="81" t="str">
        <f>IF($E30="","",VLOOKUP($E30,Biomass_pool_output_Tech1_modul!$A$3:$G$100,5,FALSE))</f>
        <v/>
      </c>
      <c r="AM30" s="81" t="str">
        <f>IF($E30="","",VLOOKUP($E30,Biomass_pool_output_Tech1_modul!$A$3:$G$100,6,FALSE))</f>
        <v/>
      </c>
      <c r="AN30" s="331"/>
      <c r="AO30" s="99"/>
      <c r="AP30" s="30">
        <f>IF(AO30="",0,(VLOOKUP(AO30,'Diesel consumption for field op'!$B$4:$C$78,2,FALSE)*(1000/$AH30)))</f>
        <v>0</v>
      </c>
      <c r="AQ30" s="90"/>
      <c r="AR30" s="99"/>
      <c r="AS30" s="30">
        <f>IF(AR30="",0,(VLOOKUP(AR30,'Diesel consumption for field op'!$B$4:$C$78,2,FALSE)*(1000/$AH30)))</f>
        <v>0</v>
      </c>
      <c r="AT30" s="90"/>
      <c r="AU30" s="99"/>
      <c r="AV30" s="30">
        <f>IF(AU30="",0,(VLOOKUP(AU30,'Diesel consumption for field op'!$B$4:$C$78,2,FALSE)*(1000/$AH30)))</f>
        <v>0</v>
      </c>
      <c r="AW30" s="90"/>
      <c r="AX30" s="99"/>
      <c r="AY30" s="30">
        <f>IF(AX30="",0,(VLOOKUP(AX30,'Diesel consumption for field op'!$B$4:$C$78,2,FALSE)*(1000/$AH30)))</f>
        <v>0</v>
      </c>
      <c r="AZ30" s="90"/>
      <c r="BA30" s="99"/>
      <c r="BB30" s="30">
        <f>IF(BA30="",0,(VLOOKUP(BA30,'Diesel consumption for field op'!$B$4:$C$78,2,FALSE)*(1000/$AH30)))</f>
        <v>0</v>
      </c>
      <c r="BC30" s="90"/>
      <c r="BD30" s="99"/>
      <c r="BE30" s="5"/>
      <c r="BF30" s="103">
        <f>IF(BD30="",0,(VLOOKUP(BD30,'Diesel consumption for field op'!$B$4:$C$78,2,FALSE)*(1000/$AH30))*BE30)</f>
        <v>0</v>
      </c>
      <c r="BG30" s="90"/>
      <c r="BH30" s="109">
        <f t="shared" si="6"/>
        <v>0</v>
      </c>
      <c r="BI30" s="331"/>
      <c r="BJ30" s="99"/>
      <c r="BK30" s="5"/>
      <c r="BL30" s="90"/>
      <c r="BM30" s="331"/>
      <c r="BN30" s="81">
        <f t="shared" si="0"/>
        <v>0</v>
      </c>
      <c r="BO30" s="81">
        <f t="shared" si="1"/>
        <v>0</v>
      </c>
      <c r="BP30" s="81">
        <f t="shared" si="2"/>
        <v>0</v>
      </c>
      <c r="BQ30" s="81">
        <f t="shared" si="3"/>
        <v>0</v>
      </c>
      <c r="BR30" s="81">
        <f t="shared" si="4"/>
        <v>0</v>
      </c>
      <c r="BS30" s="88">
        <f t="shared" si="5"/>
        <v>0</v>
      </c>
    </row>
    <row r="31" spans="1:71" x14ac:dyDescent="0.3">
      <c r="A31" s="333">
        <v>27</v>
      </c>
      <c r="B31" s="5"/>
      <c r="C31" s="5"/>
      <c r="D31" s="5"/>
      <c r="E31" s="5"/>
      <c r="F31" s="5"/>
      <c r="G31" s="5"/>
      <c r="H31" s="5"/>
      <c r="I31" s="5"/>
      <c r="J31" s="5"/>
      <c r="K31" s="5"/>
      <c r="L31" s="165"/>
      <c r="M31" s="99"/>
      <c r="N31" s="90"/>
      <c r="O31" s="185"/>
      <c r="P31" s="5"/>
      <c r="Q31" s="5"/>
      <c r="R31" s="5"/>
      <c r="S31" s="5"/>
      <c r="T31" s="90"/>
      <c r="U31" s="99"/>
      <c r="V31" s="5"/>
      <c r="W31" s="90"/>
      <c r="X31" s="99"/>
      <c r="Y31" s="5"/>
      <c r="Z31" s="5"/>
      <c r="AA31" s="5"/>
      <c r="AB31" s="90"/>
      <c r="AC31" s="99"/>
      <c r="AD31" s="90"/>
      <c r="AE31" s="99"/>
      <c r="AF31" s="90"/>
      <c r="AG31" s="331"/>
      <c r="AH31" s="81" t="str">
        <f>IF($E31="","",VLOOKUP($E31,Biomass_pool_output_Tech1_modul!$A$3:$G$100,7,FALSE))</f>
        <v/>
      </c>
      <c r="AI31" s="81" t="str">
        <f>IF($E31="","",VLOOKUP($E31,Biomass_pool_output_Tech1_modul!$A$3:$G$100,2,FALSE))</f>
        <v/>
      </c>
      <c r="AJ31" s="81" t="str">
        <f>IF($E31="","",VLOOKUP($E31,Biomass_pool_output_Tech1_modul!$A$3:$G$100,3,FALSE))</f>
        <v/>
      </c>
      <c r="AK31" s="81" t="str">
        <f>IF($E31="","",VLOOKUP($E31,Biomass_pool_output_Tech1_modul!$A$3:$G$100,4,FALSE))</f>
        <v/>
      </c>
      <c r="AL31" s="81" t="str">
        <f>IF($E31="","",VLOOKUP($E31,Biomass_pool_output_Tech1_modul!$A$3:$G$100,5,FALSE))</f>
        <v/>
      </c>
      <c r="AM31" s="81" t="str">
        <f>IF($E31="","",VLOOKUP($E31,Biomass_pool_output_Tech1_modul!$A$3:$G$100,6,FALSE))</f>
        <v/>
      </c>
      <c r="AN31" s="331"/>
      <c r="AO31" s="99"/>
      <c r="AP31" s="30">
        <f>IF(AO31="",0,(VLOOKUP(AO31,'Diesel consumption for field op'!$B$4:$C$78,2,FALSE)*(1000/$AH31)))</f>
        <v>0</v>
      </c>
      <c r="AQ31" s="90"/>
      <c r="AR31" s="99"/>
      <c r="AS31" s="30">
        <f>IF(AR31="",0,(VLOOKUP(AR31,'Diesel consumption for field op'!$B$4:$C$78,2,FALSE)*(1000/$AH31)))</f>
        <v>0</v>
      </c>
      <c r="AT31" s="90"/>
      <c r="AU31" s="99"/>
      <c r="AV31" s="30">
        <f>IF(AU31="",0,(VLOOKUP(AU31,'Diesel consumption for field op'!$B$4:$C$78,2,FALSE)*(1000/$AH31)))</f>
        <v>0</v>
      </c>
      <c r="AW31" s="90"/>
      <c r="AX31" s="99"/>
      <c r="AY31" s="30">
        <f>IF(AX31="",0,(VLOOKUP(AX31,'Diesel consumption for field op'!$B$4:$C$78,2,FALSE)*(1000/$AH31)))</f>
        <v>0</v>
      </c>
      <c r="AZ31" s="90"/>
      <c r="BA31" s="99"/>
      <c r="BB31" s="30">
        <f>IF(BA31="",0,(VLOOKUP(BA31,'Diesel consumption for field op'!$B$4:$C$78,2,FALSE)*(1000/$AH31)))</f>
        <v>0</v>
      </c>
      <c r="BC31" s="90"/>
      <c r="BD31" s="99"/>
      <c r="BE31" s="5"/>
      <c r="BF31" s="103">
        <f>IF(BD31="",0,(VLOOKUP(BD31,'Diesel consumption for field op'!$B$4:$C$78,2,FALSE)*(1000/$AH31))*BE31)</f>
        <v>0</v>
      </c>
      <c r="BG31" s="90"/>
      <c r="BH31" s="109">
        <f t="shared" si="6"/>
        <v>0</v>
      </c>
      <c r="BI31" s="331"/>
      <c r="BJ31" s="99"/>
      <c r="BK31" s="5"/>
      <c r="BL31" s="90"/>
      <c r="BM31" s="331"/>
      <c r="BN31" s="81">
        <f t="shared" si="0"/>
        <v>0</v>
      </c>
      <c r="BO31" s="81">
        <f t="shared" si="1"/>
        <v>0</v>
      </c>
      <c r="BP31" s="81">
        <f t="shared" si="2"/>
        <v>0</v>
      </c>
      <c r="BQ31" s="81">
        <f t="shared" si="3"/>
        <v>0</v>
      </c>
      <c r="BR31" s="81">
        <f t="shared" si="4"/>
        <v>0</v>
      </c>
      <c r="BS31" s="88">
        <f t="shared" si="5"/>
        <v>0</v>
      </c>
    </row>
    <row r="32" spans="1:71" x14ac:dyDescent="0.3">
      <c r="A32" s="333">
        <v>28</v>
      </c>
      <c r="B32" s="5"/>
      <c r="C32" s="5"/>
      <c r="D32" s="5"/>
      <c r="E32" s="5"/>
      <c r="F32" s="5"/>
      <c r="G32" s="5"/>
      <c r="H32" s="5"/>
      <c r="I32" s="5"/>
      <c r="J32" s="5"/>
      <c r="K32" s="5"/>
      <c r="L32" s="165"/>
      <c r="M32" s="99"/>
      <c r="N32" s="90"/>
      <c r="O32" s="185"/>
      <c r="P32" s="5"/>
      <c r="Q32" s="5"/>
      <c r="R32" s="5"/>
      <c r="S32" s="5"/>
      <c r="T32" s="90"/>
      <c r="U32" s="99"/>
      <c r="V32" s="5"/>
      <c r="W32" s="90"/>
      <c r="X32" s="99"/>
      <c r="Y32" s="5"/>
      <c r="Z32" s="5"/>
      <c r="AA32" s="5"/>
      <c r="AB32" s="90"/>
      <c r="AC32" s="99"/>
      <c r="AD32" s="90"/>
      <c r="AE32" s="99"/>
      <c r="AF32" s="90"/>
      <c r="AG32" s="331"/>
      <c r="AH32" s="81" t="str">
        <f>IF($E32="","",VLOOKUP($E32,Biomass_pool_output_Tech1_modul!$A$3:$G$100,7,FALSE))</f>
        <v/>
      </c>
      <c r="AI32" s="81" t="str">
        <f>IF($E32="","",VLOOKUP($E32,Biomass_pool_output_Tech1_modul!$A$3:$G$100,2,FALSE))</f>
        <v/>
      </c>
      <c r="AJ32" s="81" t="str">
        <f>IF($E32="","",VLOOKUP($E32,Biomass_pool_output_Tech1_modul!$A$3:$G$100,3,FALSE))</f>
        <v/>
      </c>
      <c r="AK32" s="81" t="str">
        <f>IF($E32="","",VLOOKUP($E32,Biomass_pool_output_Tech1_modul!$A$3:$G$100,4,FALSE))</f>
        <v/>
      </c>
      <c r="AL32" s="81" t="str">
        <f>IF($E32="","",VLOOKUP($E32,Biomass_pool_output_Tech1_modul!$A$3:$G$100,5,FALSE))</f>
        <v/>
      </c>
      <c r="AM32" s="81" t="str">
        <f>IF($E32="","",VLOOKUP($E32,Biomass_pool_output_Tech1_modul!$A$3:$G$100,6,FALSE))</f>
        <v/>
      </c>
      <c r="AN32" s="331"/>
      <c r="AO32" s="99"/>
      <c r="AP32" s="30">
        <f>IF(AO32="",0,(VLOOKUP(AO32,'Diesel consumption for field op'!$B$4:$C$78,2,FALSE)*(1000/$AH32)))</f>
        <v>0</v>
      </c>
      <c r="AQ32" s="90"/>
      <c r="AR32" s="99"/>
      <c r="AS32" s="30">
        <f>IF(AR32="",0,(VLOOKUP(AR32,'Diesel consumption for field op'!$B$4:$C$78,2,FALSE)*(1000/$AH32)))</f>
        <v>0</v>
      </c>
      <c r="AT32" s="90"/>
      <c r="AU32" s="99"/>
      <c r="AV32" s="30">
        <f>IF(AU32="",0,(VLOOKUP(AU32,'Diesel consumption for field op'!$B$4:$C$78,2,FALSE)*(1000/$AH32)))</f>
        <v>0</v>
      </c>
      <c r="AW32" s="90"/>
      <c r="AX32" s="99"/>
      <c r="AY32" s="30">
        <f>IF(AX32="",0,(VLOOKUP(AX32,'Diesel consumption for field op'!$B$4:$C$78,2,FALSE)*(1000/$AH32)))</f>
        <v>0</v>
      </c>
      <c r="AZ32" s="90"/>
      <c r="BA32" s="99"/>
      <c r="BB32" s="30">
        <f>IF(BA32="",0,(VLOOKUP(BA32,'Diesel consumption for field op'!$B$4:$C$78,2,FALSE)*(1000/$AH32)))</f>
        <v>0</v>
      </c>
      <c r="BC32" s="90"/>
      <c r="BD32" s="99"/>
      <c r="BE32" s="5"/>
      <c r="BF32" s="103">
        <f>IF(BD32="",0,(VLOOKUP(BD32,'Diesel consumption for field op'!$B$4:$C$78,2,FALSE)*(1000/$AH32))*BE32)</f>
        <v>0</v>
      </c>
      <c r="BG32" s="90"/>
      <c r="BH32" s="109">
        <f t="shared" si="6"/>
        <v>0</v>
      </c>
      <c r="BI32" s="331"/>
      <c r="BJ32" s="99"/>
      <c r="BK32" s="5"/>
      <c r="BL32" s="90"/>
      <c r="BM32" s="331"/>
      <c r="BN32" s="81">
        <f t="shared" si="0"/>
        <v>0</v>
      </c>
      <c r="BO32" s="81">
        <f t="shared" si="1"/>
        <v>0</v>
      </c>
      <c r="BP32" s="81">
        <f t="shared" si="2"/>
        <v>0</v>
      </c>
      <c r="BQ32" s="81">
        <f t="shared" si="3"/>
        <v>0</v>
      </c>
      <c r="BR32" s="81">
        <f t="shared" si="4"/>
        <v>0</v>
      </c>
      <c r="BS32" s="88">
        <f t="shared" si="5"/>
        <v>0</v>
      </c>
    </row>
    <row r="33" spans="1:71" x14ac:dyDescent="0.3">
      <c r="A33" s="333">
        <v>29</v>
      </c>
      <c r="B33" s="5"/>
      <c r="C33" s="5"/>
      <c r="D33" s="5"/>
      <c r="E33" s="5"/>
      <c r="F33" s="5"/>
      <c r="G33" s="5"/>
      <c r="H33" s="5"/>
      <c r="I33" s="5"/>
      <c r="J33" s="5"/>
      <c r="K33" s="5"/>
      <c r="L33" s="165"/>
      <c r="M33" s="99"/>
      <c r="N33" s="90"/>
      <c r="O33" s="185"/>
      <c r="P33" s="5"/>
      <c r="Q33" s="5"/>
      <c r="R33" s="5"/>
      <c r="S33" s="5"/>
      <c r="T33" s="90"/>
      <c r="U33" s="99"/>
      <c r="V33" s="5"/>
      <c r="W33" s="90"/>
      <c r="X33" s="99"/>
      <c r="Y33" s="5"/>
      <c r="Z33" s="5"/>
      <c r="AA33" s="5"/>
      <c r="AB33" s="90"/>
      <c r="AC33" s="99"/>
      <c r="AD33" s="90"/>
      <c r="AE33" s="99"/>
      <c r="AF33" s="90"/>
      <c r="AG33" s="331"/>
      <c r="AH33" s="81" t="str">
        <f>IF($E33="","",VLOOKUP($E33,Biomass_pool_output_Tech1_modul!$A$3:$G$100,7,FALSE))</f>
        <v/>
      </c>
      <c r="AI33" s="81" t="str">
        <f>IF($E33="","",VLOOKUP($E33,Biomass_pool_output_Tech1_modul!$A$3:$G$100,2,FALSE))</f>
        <v/>
      </c>
      <c r="AJ33" s="81" t="str">
        <f>IF($E33="","",VLOOKUP($E33,Biomass_pool_output_Tech1_modul!$A$3:$G$100,3,FALSE))</f>
        <v/>
      </c>
      <c r="AK33" s="81" t="str">
        <f>IF($E33="","",VLOOKUP($E33,Biomass_pool_output_Tech1_modul!$A$3:$G$100,4,FALSE))</f>
        <v/>
      </c>
      <c r="AL33" s="81" t="str">
        <f>IF($E33="","",VLOOKUP($E33,Biomass_pool_output_Tech1_modul!$A$3:$G$100,5,FALSE))</f>
        <v/>
      </c>
      <c r="AM33" s="81" t="str">
        <f>IF($E33="","",VLOOKUP($E33,Biomass_pool_output_Tech1_modul!$A$3:$G$100,6,FALSE))</f>
        <v/>
      </c>
      <c r="AN33" s="331"/>
      <c r="AO33" s="99"/>
      <c r="AP33" s="30">
        <f>IF(AO33="",0,(VLOOKUP(AO33,'Diesel consumption for field op'!$B$4:$C$78,2,FALSE)*(1000/$AH33)))</f>
        <v>0</v>
      </c>
      <c r="AQ33" s="90"/>
      <c r="AR33" s="99"/>
      <c r="AS33" s="30">
        <f>IF(AR33="",0,(VLOOKUP(AR33,'Diesel consumption for field op'!$B$4:$C$78,2,FALSE)*(1000/$AH33)))</f>
        <v>0</v>
      </c>
      <c r="AT33" s="90"/>
      <c r="AU33" s="99"/>
      <c r="AV33" s="30">
        <f>IF(AU33="",0,(VLOOKUP(AU33,'Diesel consumption for field op'!$B$4:$C$78,2,FALSE)*(1000/$AH33)))</f>
        <v>0</v>
      </c>
      <c r="AW33" s="90"/>
      <c r="AX33" s="99"/>
      <c r="AY33" s="30">
        <f>IF(AX33="",0,(VLOOKUP(AX33,'Diesel consumption for field op'!$B$4:$C$78,2,FALSE)*(1000/$AH33)))</f>
        <v>0</v>
      </c>
      <c r="AZ33" s="90"/>
      <c r="BA33" s="99"/>
      <c r="BB33" s="30">
        <f>IF(BA33="",0,(VLOOKUP(BA33,'Diesel consumption for field op'!$B$4:$C$78,2,FALSE)*(1000/$AH33)))</f>
        <v>0</v>
      </c>
      <c r="BC33" s="90"/>
      <c r="BD33" s="99"/>
      <c r="BE33" s="5"/>
      <c r="BF33" s="103">
        <f>IF(BD33="",0,(VLOOKUP(BD33,'Diesel consumption for field op'!$B$4:$C$78,2,FALSE)*(1000/$AH33))*BE33)</f>
        <v>0</v>
      </c>
      <c r="BG33" s="90"/>
      <c r="BH33" s="109">
        <f t="shared" si="6"/>
        <v>0</v>
      </c>
      <c r="BI33" s="331"/>
      <c r="BJ33" s="99"/>
      <c r="BK33" s="5"/>
      <c r="BL33" s="90"/>
      <c r="BM33" s="331"/>
      <c r="BN33" s="81">
        <f t="shared" si="0"/>
        <v>0</v>
      </c>
      <c r="BO33" s="81">
        <f t="shared" si="1"/>
        <v>0</v>
      </c>
      <c r="BP33" s="81">
        <f t="shared" si="2"/>
        <v>0</v>
      </c>
      <c r="BQ33" s="81">
        <f t="shared" si="3"/>
        <v>0</v>
      </c>
      <c r="BR33" s="81">
        <f t="shared" si="4"/>
        <v>0</v>
      </c>
      <c r="BS33" s="88">
        <f t="shared" si="5"/>
        <v>0</v>
      </c>
    </row>
    <row r="34" spans="1:71" x14ac:dyDescent="0.3">
      <c r="A34" s="333">
        <v>30</v>
      </c>
      <c r="B34" s="5"/>
      <c r="C34" s="5"/>
      <c r="D34" s="5"/>
      <c r="E34" s="5"/>
      <c r="F34" s="5"/>
      <c r="G34" s="5"/>
      <c r="H34" s="5"/>
      <c r="I34" s="5"/>
      <c r="J34" s="5"/>
      <c r="K34" s="5"/>
      <c r="L34" s="165"/>
      <c r="M34" s="99"/>
      <c r="N34" s="90"/>
      <c r="O34" s="185"/>
      <c r="P34" s="5"/>
      <c r="Q34" s="5"/>
      <c r="R34" s="5"/>
      <c r="S34" s="5"/>
      <c r="T34" s="90"/>
      <c r="U34" s="99"/>
      <c r="V34" s="5"/>
      <c r="W34" s="90"/>
      <c r="X34" s="99"/>
      <c r="Y34" s="5"/>
      <c r="Z34" s="5"/>
      <c r="AA34" s="5"/>
      <c r="AB34" s="90"/>
      <c r="AC34" s="99"/>
      <c r="AD34" s="90"/>
      <c r="AE34" s="99"/>
      <c r="AF34" s="90"/>
      <c r="AG34" s="331"/>
      <c r="AH34" s="81" t="str">
        <f>IF($E34="","",VLOOKUP($E34,Biomass_pool_output_Tech1_modul!$A$3:$G$100,7,FALSE))</f>
        <v/>
      </c>
      <c r="AI34" s="81" t="str">
        <f>IF($E34="","",VLOOKUP($E34,Biomass_pool_output_Tech1_modul!$A$3:$G$100,2,FALSE))</f>
        <v/>
      </c>
      <c r="AJ34" s="81" t="str">
        <f>IF($E34="","",VLOOKUP($E34,Biomass_pool_output_Tech1_modul!$A$3:$G$100,3,FALSE))</f>
        <v/>
      </c>
      <c r="AK34" s="81" t="str">
        <f>IF($E34="","",VLOOKUP($E34,Biomass_pool_output_Tech1_modul!$A$3:$G$100,4,FALSE))</f>
        <v/>
      </c>
      <c r="AL34" s="81" t="str">
        <f>IF($E34="","",VLOOKUP($E34,Biomass_pool_output_Tech1_modul!$A$3:$G$100,5,FALSE))</f>
        <v/>
      </c>
      <c r="AM34" s="81" t="str">
        <f>IF($E34="","",VLOOKUP($E34,Biomass_pool_output_Tech1_modul!$A$3:$G$100,6,FALSE))</f>
        <v/>
      </c>
      <c r="AN34" s="331"/>
      <c r="AO34" s="99"/>
      <c r="AP34" s="30">
        <f>IF(AO34="",0,(VLOOKUP(AO34,'Diesel consumption for field op'!$B$4:$C$78,2,FALSE)*(1000/$AH34)))</f>
        <v>0</v>
      </c>
      <c r="AQ34" s="90"/>
      <c r="AR34" s="99"/>
      <c r="AS34" s="30">
        <f>IF(AR34="",0,(VLOOKUP(AR34,'Diesel consumption for field op'!$B$4:$C$78,2,FALSE)*(1000/$AH34)))</f>
        <v>0</v>
      </c>
      <c r="AT34" s="90"/>
      <c r="AU34" s="99"/>
      <c r="AV34" s="30">
        <f>IF(AU34="",0,(VLOOKUP(AU34,'Diesel consumption for field op'!$B$4:$C$78,2,FALSE)*(1000/$AH34)))</f>
        <v>0</v>
      </c>
      <c r="AW34" s="90"/>
      <c r="AX34" s="99"/>
      <c r="AY34" s="30">
        <f>IF(AX34="",0,(VLOOKUP(AX34,'Diesel consumption for field op'!$B$4:$C$78,2,FALSE)*(1000/$AH34)))</f>
        <v>0</v>
      </c>
      <c r="AZ34" s="90"/>
      <c r="BA34" s="99"/>
      <c r="BB34" s="30">
        <f>IF(BA34="",0,(VLOOKUP(BA34,'Diesel consumption for field op'!$B$4:$C$78,2,FALSE)*(1000/$AH34)))</f>
        <v>0</v>
      </c>
      <c r="BC34" s="90"/>
      <c r="BD34" s="99"/>
      <c r="BE34" s="5"/>
      <c r="BF34" s="103">
        <f>IF(BD34="",0,(VLOOKUP(BD34,'Diesel consumption for field op'!$B$4:$C$78,2,FALSE)*(1000/$AH34))*BE34)</f>
        <v>0</v>
      </c>
      <c r="BG34" s="90"/>
      <c r="BH34" s="109">
        <f t="shared" si="6"/>
        <v>0</v>
      </c>
      <c r="BI34" s="331"/>
      <c r="BJ34" s="99"/>
      <c r="BK34" s="5"/>
      <c r="BL34" s="90"/>
      <c r="BM34" s="331"/>
      <c r="BN34" s="81">
        <f t="shared" si="0"/>
        <v>0</v>
      </c>
      <c r="BO34" s="81">
        <f t="shared" si="1"/>
        <v>0</v>
      </c>
      <c r="BP34" s="81">
        <f t="shared" si="2"/>
        <v>0</v>
      </c>
      <c r="BQ34" s="81">
        <f t="shared" si="3"/>
        <v>0</v>
      </c>
      <c r="BR34" s="81">
        <f t="shared" si="4"/>
        <v>0</v>
      </c>
      <c r="BS34" s="88">
        <f t="shared" si="5"/>
        <v>0</v>
      </c>
    </row>
    <row r="35" spans="1:71" x14ac:dyDescent="0.3">
      <c r="A35" s="333">
        <v>31</v>
      </c>
      <c r="B35" s="5"/>
      <c r="C35" s="5"/>
      <c r="D35" s="5"/>
      <c r="E35" s="5"/>
      <c r="F35" s="5"/>
      <c r="G35" s="5"/>
      <c r="H35" s="5"/>
      <c r="I35" s="5"/>
      <c r="J35" s="5"/>
      <c r="K35" s="5"/>
      <c r="L35" s="165"/>
      <c r="M35" s="99"/>
      <c r="N35" s="90"/>
      <c r="O35" s="185"/>
      <c r="P35" s="5"/>
      <c r="Q35" s="5"/>
      <c r="R35" s="5"/>
      <c r="S35" s="5"/>
      <c r="T35" s="90"/>
      <c r="U35" s="99"/>
      <c r="V35" s="5"/>
      <c r="W35" s="90"/>
      <c r="X35" s="99"/>
      <c r="Y35" s="5"/>
      <c r="Z35" s="5"/>
      <c r="AA35" s="5"/>
      <c r="AB35" s="90"/>
      <c r="AC35" s="99"/>
      <c r="AD35" s="90"/>
      <c r="AE35" s="99"/>
      <c r="AF35" s="90"/>
      <c r="AG35" s="331"/>
      <c r="AH35" s="81" t="str">
        <f>IF($E35="","",VLOOKUP($E35,Biomass_pool_output_Tech1_modul!$A$3:$G$100,7,FALSE))</f>
        <v/>
      </c>
      <c r="AI35" s="81" t="str">
        <f>IF($E35="","",VLOOKUP($E35,Biomass_pool_output_Tech1_modul!$A$3:$G$100,2,FALSE))</f>
        <v/>
      </c>
      <c r="AJ35" s="81" t="str">
        <f>IF($E35="","",VLOOKUP($E35,Biomass_pool_output_Tech1_modul!$A$3:$G$100,3,FALSE))</f>
        <v/>
      </c>
      <c r="AK35" s="81" t="str">
        <f>IF($E35="","",VLOOKUP($E35,Biomass_pool_output_Tech1_modul!$A$3:$G$100,4,FALSE))</f>
        <v/>
      </c>
      <c r="AL35" s="81" t="str">
        <f>IF($E35="","",VLOOKUP($E35,Biomass_pool_output_Tech1_modul!$A$3:$G$100,5,FALSE))</f>
        <v/>
      </c>
      <c r="AM35" s="81" t="str">
        <f>IF($E35="","",VLOOKUP($E35,Biomass_pool_output_Tech1_modul!$A$3:$G$100,6,FALSE))</f>
        <v/>
      </c>
      <c r="AN35" s="331"/>
      <c r="AO35" s="99"/>
      <c r="AP35" s="30">
        <f>IF(AO35="",0,(VLOOKUP(AO35,'Diesel consumption for field op'!$B$4:$C$78,2,FALSE)*(1000/$AH35)))</f>
        <v>0</v>
      </c>
      <c r="AQ35" s="90"/>
      <c r="AR35" s="99"/>
      <c r="AS35" s="30">
        <f>IF(AR35="",0,(VLOOKUP(AR35,'Diesel consumption for field op'!$B$4:$C$78,2,FALSE)*(1000/$AH35)))</f>
        <v>0</v>
      </c>
      <c r="AT35" s="90"/>
      <c r="AU35" s="99"/>
      <c r="AV35" s="30">
        <f>IF(AU35="",0,(VLOOKUP(AU35,'Diesel consumption for field op'!$B$4:$C$78,2,FALSE)*(1000/$AH35)))</f>
        <v>0</v>
      </c>
      <c r="AW35" s="90"/>
      <c r="AX35" s="99"/>
      <c r="AY35" s="30">
        <f>IF(AX35="",0,(VLOOKUP(AX35,'Diesel consumption for field op'!$B$4:$C$78,2,FALSE)*(1000/$AH35)))</f>
        <v>0</v>
      </c>
      <c r="AZ35" s="90"/>
      <c r="BA35" s="99"/>
      <c r="BB35" s="30">
        <f>IF(BA35="",0,(VLOOKUP(BA35,'Diesel consumption for field op'!$B$4:$C$78,2,FALSE)*(1000/$AH35)))</f>
        <v>0</v>
      </c>
      <c r="BC35" s="90"/>
      <c r="BD35" s="99"/>
      <c r="BE35" s="5"/>
      <c r="BF35" s="103">
        <f>IF(BD35="",0,(VLOOKUP(BD35,'Diesel consumption for field op'!$B$4:$C$78,2,FALSE)*(1000/$AH35))*BE35)</f>
        <v>0</v>
      </c>
      <c r="BG35" s="90"/>
      <c r="BH35" s="109">
        <f t="shared" si="6"/>
        <v>0</v>
      </c>
      <c r="BI35" s="331"/>
      <c r="BJ35" s="99"/>
      <c r="BK35" s="5"/>
      <c r="BL35" s="90"/>
      <c r="BM35" s="331"/>
      <c r="BN35" s="81">
        <f t="shared" si="0"/>
        <v>0</v>
      </c>
      <c r="BO35" s="81">
        <f t="shared" si="1"/>
        <v>0</v>
      </c>
      <c r="BP35" s="81">
        <f t="shared" si="2"/>
        <v>0</v>
      </c>
      <c r="BQ35" s="81">
        <f t="shared" si="3"/>
        <v>0</v>
      </c>
      <c r="BR35" s="81">
        <f t="shared" si="4"/>
        <v>0</v>
      </c>
      <c r="BS35" s="88">
        <f t="shared" si="5"/>
        <v>0</v>
      </c>
    </row>
    <row r="36" spans="1:71" x14ac:dyDescent="0.3">
      <c r="A36" s="333">
        <v>32</v>
      </c>
      <c r="B36" s="5"/>
      <c r="C36" s="5"/>
      <c r="D36" s="5"/>
      <c r="E36" s="5"/>
      <c r="F36" s="5"/>
      <c r="G36" s="5"/>
      <c r="H36" s="5"/>
      <c r="I36" s="5"/>
      <c r="J36" s="5"/>
      <c r="K36" s="5"/>
      <c r="L36" s="165"/>
      <c r="M36" s="99"/>
      <c r="N36" s="90"/>
      <c r="O36" s="185"/>
      <c r="P36" s="5"/>
      <c r="Q36" s="5"/>
      <c r="R36" s="5"/>
      <c r="S36" s="5"/>
      <c r="T36" s="90"/>
      <c r="U36" s="99"/>
      <c r="V36" s="5"/>
      <c r="W36" s="90"/>
      <c r="X36" s="99"/>
      <c r="Y36" s="5"/>
      <c r="Z36" s="5"/>
      <c r="AA36" s="5"/>
      <c r="AB36" s="90"/>
      <c r="AC36" s="99"/>
      <c r="AD36" s="90"/>
      <c r="AE36" s="99"/>
      <c r="AF36" s="90"/>
      <c r="AG36" s="331"/>
      <c r="AH36" s="81" t="str">
        <f>IF($E36="","",VLOOKUP($E36,Biomass_pool_output_Tech1_modul!$A$3:$G$100,7,FALSE))</f>
        <v/>
      </c>
      <c r="AI36" s="81" t="str">
        <f>IF($E36="","",VLOOKUP($E36,Biomass_pool_output_Tech1_modul!$A$3:$G$100,2,FALSE))</f>
        <v/>
      </c>
      <c r="AJ36" s="81" t="str">
        <f>IF($E36="","",VLOOKUP($E36,Biomass_pool_output_Tech1_modul!$A$3:$G$100,3,FALSE))</f>
        <v/>
      </c>
      <c r="AK36" s="81" t="str">
        <f>IF($E36="","",VLOOKUP($E36,Biomass_pool_output_Tech1_modul!$A$3:$G$100,4,FALSE))</f>
        <v/>
      </c>
      <c r="AL36" s="81" t="str">
        <f>IF($E36="","",VLOOKUP($E36,Biomass_pool_output_Tech1_modul!$A$3:$G$100,5,FALSE))</f>
        <v/>
      </c>
      <c r="AM36" s="81" t="str">
        <f>IF($E36="","",VLOOKUP($E36,Biomass_pool_output_Tech1_modul!$A$3:$G$100,6,FALSE))</f>
        <v/>
      </c>
      <c r="AN36" s="331"/>
      <c r="AO36" s="99"/>
      <c r="AP36" s="30">
        <f>IF(AO36="",0,(VLOOKUP(AO36,'Diesel consumption for field op'!$B$4:$C$78,2,FALSE)*(1000/$AH36)))</f>
        <v>0</v>
      </c>
      <c r="AQ36" s="90"/>
      <c r="AR36" s="99"/>
      <c r="AS36" s="30">
        <f>IF(AR36="",0,(VLOOKUP(AR36,'Diesel consumption for field op'!$B$4:$C$78,2,FALSE)*(1000/$AH36)))</f>
        <v>0</v>
      </c>
      <c r="AT36" s="90"/>
      <c r="AU36" s="99"/>
      <c r="AV36" s="30">
        <f>IF(AU36="",0,(VLOOKUP(AU36,'Diesel consumption for field op'!$B$4:$C$78,2,FALSE)*(1000/$AH36)))</f>
        <v>0</v>
      </c>
      <c r="AW36" s="90"/>
      <c r="AX36" s="99"/>
      <c r="AY36" s="30">
        <f>IF(AX36="",0,(VLOOKUP(AX36,'Diesel consumption for field op'!$B$4:$C$78,2,FALSE)*(1000/$AH36)))</f>
        <v>0</v>
      </c>
      <c r="AZ36" s="90"/>
      <c r="BA36" s="99"/>
      <c r="BB36" s="30">
        <f>IF(BA36="",0,(VLOOKUP(BA36,'Diesel consumption for field op'!$B$4:$C$78,2,FALSE)*(1000/$AH36)))</f>
        <v>0</v>
      </c>
      <c r="BC36" s="90"/>
      <c r="BD36" s="99"/>
      <c r="BE36" s="5"/>
      <c r="BF36" s="103">
        <f>IF(BD36="",0,(VLOOKUP(BD36,'Diesel consumption for field op'!$B$4:$C$78,2,FALSE)*(1000/$AH36))*BE36)</f>
        <v>0</v>
      </c>
      <c r="BG36" s="90"/>
      <c r="BH36" s="109">
        <f t="shared" si="6"/>
        <v>0</v>
      </c>
      <c r="BI36" s="331"/>
      <c r="BJ36" s="99"/>
      <c r="BK36" s="5"/>
      <c r="BL36" s="90"/>
      <c r="BM36" s="331"/>
      <c r="BN36" s="81">
        <f t="shared" si="0"/>
        <v>0</v>
      </c>
      <c r="BO36" s="81">
        <f t="shared" si="1"/>
        <v>0</v>
      </c>
      <c r="BP36" s="81">
        <f t="shared" si="2"/>
        <v>0</v>
      </c>
      <c r="BQ36" s="81">
        <f t="shared" si="3"/>
        <v>0</v>
      </c>
      <c r="BR36" s="81">
        <f t="shared" si="4"/>
        <v>0</v>
      </c>
      <c r="BS36" s="88">
        <f t="shared" si="5"/>
        <v>0</v>
      </c>
    </row>
    <row r="37" spans="1:71" x14ac:dyDescent="0.3">
      <c r="A37" s="333">
        <v>33</v>
      </c>
      <c r="B37" s="5"/>
      <c r="C37" s="5"/>
      <c r="D37" s="5"/>
      <c r="E37" s="5"/>
      <c r="F37" s="5"/>
      <c r="G37" s="5"/>
      <c r="H37" s="5"/>
      <c r="I37" s="5"/>
      <c r="J37" s="5"/>
      <c r="K37" s="5"/>
      <c r="L37" s="165"/>
      <c r="M37" s="99"/>
      <c r="N37" s="90"/>
      <c r="O37" s="185"/>
      <c r="P37" s="5"/>
      <c r="Q37" s="5"/>
      <c r="R37" s="5"/>
      <c r="S37" s="5"/>
      <c r="T37" s="90"/>
      <c r="U37" s="99"/>
      <c r="V37" s="5"/>
      <c r="W37" s="90"/>
      <c r="X37" s="99"/>
      <c r="Y37" s="5"/>
      <c r="Z37" s="5"/>
      <c r="AA37" s="5"/>
      <c r="AB37" s="90"/>
      <c r="AC37" s="99"/>
      <c r="AD37" s="90"/>
      <c r="AE37" s="99"/>
      <c r="AF37" s="90"/>
      <c r="AG37" s="331"/>
      <c r="AH37" s="81" t="str">
        <f>IF($E37="","",VLOOKUP($E37,Biomass_pool_output_Tech1_modul!$A$3:$G$100,7,FALSE))</f>
        <v/>
      </c>
      <c r="AI37" s="81" t="str">
        <f>IF($E37="","",VLOOKUP($E37,Biomass_pool_output_Tech1_modul!$A$3:$G$100,2,FALSE))</f>
        <v/>
      </c>
      <c r="AJ37" s="81" t="str">
        <f>IF($E37="","",VLOOKUP($E37,Biomass_pool_output_Tech1_modul!$A$3:$G$100,3,FALSE))</f>
        <v/>
      </c>
      <c r="AK37" s="81" t="str">
        <f>IF($E37="","",VLOOKUP($E37,Biomass_pool_output_Tech1_modul!$A$3:$G$100,4,FALSE))</f>
        <v/>
      </c>
      <c r="AL37" s="81" t="str">
        <f>IF($E37="","",VLOOKUP($E37,Biomass_pool_output_Tech1_modul!$A$3:$G$100,5,FALSE))</f>
        <v/>
      </c>
      <c r="AM37" s="81" t="str">
        <f>IF($E37="","",VLOOKUP($E37,Biomass_pool_output_Tech1_modul!$A$3:$G$100,6,FALSE))</f>
        <v/>
      </c>
      <c r="AN37" s="331"/>
      <c r="AO37" s="99"/>
      <c r="AP37" s="30">
        <f>IF(AO37="",0,(VLOOKUP(AO37,'Diesel consumption for field op'!$B$4:$C$78,2,FALSE)*(1000/$AH37)))</f>
        <v>0</v>
      </c>
      <c r="AQ37" s="90"/>
      <c r="AR37" s="99"/>
      <c r="AS37" s="30">
        <f>IF(AR37="",0,(VLOOKUP(AR37,'Diesel consumption for field op'!$B$4:$C$78,2,FALSE)*(1000/$AH37)))</f>
        <v>0</v>
      </c>
      <c r="AT37" s="90"/>
      <c r="AU37" s="99"/>
      <c r="AV37" s="30">
        <f>IF(AU37="",0,(VLOOKUP(AU37,'Diesel consumption for field op'!$B$4:$C$78,2,FALSE)*(1000/$AH37)))</f>
        <v>0</v>
      </c>
      <c r="AW37" s="90"/>
      <c r="AX37" s="99"/>
      <c r="AY37" s="30">
        <f>IF(AX37="",0,(VLOOKUP(AX37,'Diesel consumption for field op'!$B$4:$C$78,2,FALSE)*(1000/$AH37)))</f>
        <v>0</v>
      </c>
      <c r="AZ37" s="90"/>
      <c r="BA37" s="99"/>
      <c r="BB37" s="30">
        <f>IF(BA37="",0,(VLOOKUP(BA37,'Diesel consumption for field op'!$B$4:$C$78,2,FALSE)*(1000/$AH37)))</f>
        <v>0</v>
      </c>
      <c r="BC37" s="90"/>
      <c r="BD37" s="99"/>
      <c r="BE37" s="5"/>
      <c r="BF37" s="103">
        <f>IF(BD37="",0,(VLOOKUP(BD37,'Diesel consumption for field op'!$B$4:$C$78,2,FALSE)*(1000/$AH37))*BE37)</f>
        <v>0</v>
      </c>
      <c r="BG37" s="90"/>
      <c r="BH37" s="109">
        <f t="shared" si="6"/>
        <v>0</v>
      </c>
      <c r="BI37" s="331"/>
      <c r="BJ37" s="99"/>
      <c r="BK37" s="5"/>
      <c r="BL37" s="90"/>
      <c r="BM37" s="331"/>
      <c r="BN37" s="81">
        <f t="shared" ref="BN37:BN54" si="7">IF(B37="",0,((AI37*((100-G37)/100))/((100-$F37)/100)))</f>
        <v>0</v>
      </c>
      <c r="BO37" s="81">
        <f t="shared" ref="BO37:BO54" si="8">IF(C37="",0,((AJ37*((100-H37)/100))/((100-$F37)/100)))</f>
        <v>0</v>
      </c>
      <c r="BP37" s="81">
        <f t="shared" ref="BP37:BP54" si="9">IF(D37="",0,((AK37*((100-I37)/100))/((100-$F37)/100)))</f>
        <v>0</v>
      </c>
      <c r="BQ37" s="81">
        <f t="shared" ref="BQ37:BQ54" si="10">IF(E37="",0,((AL37*((100-J37)/100))/((100-$F37)/100)))</f>
        <v>0</v>
      </c>
      <c r="BR37" s="81">
        <f t="shared" ref="BR37:BR54" si="11">IF(F37="",0,((AM37*((100-K37)/100))/((100-$F37)/100)))</f>
        <v>0</v>
      </c>
      <c r="BS37" s="88">
        <f t="shared" si="5"/>
        <v>0</v>
      </c>
    </row>
    <row r="38" spans="1:71" x14ac:dyDescent="0.3">
      <c r="A38" s="333">
        <v>34</v>
      </c>
      <c r="B38" s="5"/>
      <c r="C38" s="5"/>
      <c r="D38" s="5"/>
      <c r="E38" s="5"/>
      <c r="F38" s="5"/>
      <c r="G38" s="5"/>
      <c r="H38" s="5"/>
      <c r="I38" s="5"/>
      <c r="J38" s="5"/>
      <c r="K38" s="5"/>
      <c r="L38" s="165"/>
      <c r="M38" s="99"/>
      <c r="N38" s="90"/>
      <c r="O38" s="185"/>
      <c r="P38" s="5"/>
      <c r="Q38" s="5"/>
      <c r="R38" s="5"/>
      <c r="S38" s="5"/>
      <c r="T38" s="90"/>
      <c r="U38" s="99"/>
      <c r="V38" s="5"/>
      <c r="W38" s="90"/>
      <c r="X38" s="99"/>
      <c r="Y38" s="5"/>
      <c r="Z38" s="5"/>
      <c r="AA38" s="5"/>
      <c r="AB38" s="90"/>
      <c r="AC38" s="99"/>
      <c r="AD38" s="90"/>
      <c r="AE38" s="99"/>
      <c r="AF38" s="90"/>
      <c r="AG38" s="331"/>
      <c r="AH38" s="81" t="str">
        <f>IF($E38="","",VLOOKUP($E38,Biomass_pool_output_Tech1_modul!$A$3:$G$100,7,FALSE))</f>
        <v/>
      </c>
      <c r="AI38" s="81" t="str">
        <f>IF($E38="","",VLOOKUP($E38,Biomass_pool_output_Tech1_modul!$A$3:$G$100,2,FALSE))</f>
        <v/>
      </c>
      <c r="AJ38" s="81" t="str">
        <f>IF($E38="","",VLOOKUP($E38,Biomass_pool_output_Tech1_modul!$A$3:$G$100,3,FALSE))</f>
        <v/>
      </c>
      <c r="AK38" s="81" t="str">
        <f>IF($E38="","",VLOOKUP($E38,Biomass_pool_output_Tech1_modul!$A$3:$G$100,4,FALSE))</f>
        <v/>
      </c>
      <c r="AL38" s="81" t="str">
        <f>IF($E38="","",VLOOKUP($E38,Biomass_pool_output_Tech1_modul!$A$3:$G$100,5,FALSE))</f>
        <v/>
      </c>
      <c r="AM38" s="81" t="str">
        <f>IF($E38="","",VLOOKUP($E38,Biomass_pool_output_Tech1_modul!$A$3:$G$100,6,FALSE))</f>
        <v/>
      </c>
      <c r="AN38" s="331"/>
      <c r="AO38" s="99"/>
      <c r="AP38" s="30">
        <f>IF(AO38="",0,(VLOOKUP(AO38,'Diesel consumption for field op'!$B$4:$C$78,2,FALSE)*(1000/$AH38)))</f>
        <v>0</v>
      </c>
      <c r="AQ38" s="90"/>
      <c r="AR38" s="99"/>
      <c r="AS38" s="30">
        <f>IF(AR38="",0,(VLOOKUP(AR38,'Diesel consumption for field op'!$B$4:$C$78,2,FALSE)*(1000/$AH38)))</f>
        <v>0</v>
      </c>
      <c r="AT38" s="90"/>
      <c r="AU38" s="99"/>
      <c r="AV38" s="30">
        <f>IF(AU38="",0,(VLOOKUP(AU38,'Diesel consumption for field op'!$B$4:$C$78,2,FALSE)*(1000/$AH38)))</f>
        <v>0</v>
      </c>
      <c r="AW38" s="90"/>
      <c r="AX38" s="99"/>
      <c r="AY38" s="30">
        <f>IF(AX38="",0,(VLOOKUP(AX38,'Diesel consumption for field op'!$B$4:$C$78,2,FALSE)*(1000/$AH38)))</f>
        <v>0</v>
      </c>
      <c r="AZ38" s="90"/>
      <c r="BA38" s="99"/>
      <c r="BB38" s="30">
        <f>IF(BA38="",0,(VLOOKUP(BA38,'Diesel consumption for field op'!$B$4:$C$78,2,FALSE)*(1000/$AH38)))</f>
        <v>0</v>
      </c>
      <c r="BC38" s="90"/>
      <c r="BD38" s="99"/>
      <c r="BE38" s="5"/>
      <c r="BF38" s="103">
        <f>IF(BD38="",0,(VLOOKUP(BD38,'Diesel consumption for field op'!$B$4:$C$78,2,FALSE)*(1000/$AH38))*BE38)</f>
        <v>0</v>
      </c>
      <c r="BG38" s="90"/>
      <c r="BH38" s="109">
        <f t="shared" si="6"/>
        <v>0</v>
      </c>
      <c r="BI38" s="331"/>
      <c r="BJ38" s="99"/>
      <c r="BK38" s="5"/>
      <c r="BL38" s="90"/>
      <c r="BM38" s="331"/>
      <c r="BN38" s="81">
        <f t="shared" si="7"/>
        <v>0</v>
      </c>
      <c r="BO38" s="81">
        <f t="shared" si="8"/>
        <v>0</v>
      </c>
      <c r="BP38" s="81">
        <f t="shared" si="9"/>
        <v>0</v>
      </c>
      <c r="BQ38" s="81">
        <f t="shared" si="10"/>
        <v>0</v>
      </c>
      <c r="BR38" s="81">
        <f t="shared" si="11"/>
        <v>0</v>
      </c>
      <c r="BS38" s="88">
        <f t="shared" si="5"/>
        <v>0</v>
      </c>
    </row>
    <row r="39" spans="1:71" x14ac:dyDescent="0.3">
      <c r="A39" s="333">
        <v>35</v>
      </c>
      <c r="B39" s="5"/>
      <c r="C39" s="5"/>
      <c r="D39" s="5"/>
      <c r="E39" s="5"/>
      <c r="F39" s="5"/>
      <c r="G39" s="5"/>
      <c r="H39" s="5"/>
      <c r="I39" s="5"/>
      <c r="J39" s="5"/>
      <c r="K39" s="5"/>
      <c r="L39" s="165"/>
      <c r="M39" s="99"/>
      <c r="N39" s="90"/>
      <c r="O39" s="185"/>
      <c r="P39" s="5"/>
      <c r="Q39" s="5"/>
      <c r="R39" s="5"/>
      <c r="S39" s="5"/>
      <c r="T39" s="90"/>
      <c r="U39" s="99"/>
      <c r="V39" s="5"/>
      <c r="W39" s="90"/>
      <c r="X39" s="99"/>
      <c r="Y39" s="5"/>
      <c r="Z39" s="5"/>
      <c r="AA39" s="5"/>
      <c r="AB39" s="90"/>
      <c r="AC39" s="99"/>
      <c r="AD39" s="90"/>
      <c r="AE39" s="99"/>
      <c r="AF39" s="90"/>
      <c r="AG39" s="331"/>
      <c r="AH39" s="81" t="str">
        <f>IF($E39="","",VLOOKUP($E39,Biomass_pool_output_Tech1_modul!$A$3:$G$100,7,FALSE))</f>
        <v/>
      </c>
      <c r="AI39" s="81" t="str">
        <f>IF($E39="","",VLOOKUP($E39,Biomass_pool_output_Tech1_modul!$A$3:$G$100,2,FALSE))</f>
        <v/>
      </c>
      <c r="AJ39" s="81" t="str">
        <f>IF($E39="","",VLOOKUP($E39,Biomass_pool_output_Tech1_modul!$A$3:$G$100,3,FALSE))</f>
        <v/>
      </c>
      <c r="AK39" s="81" t="str">
        <f>IF($E39="","",VLOOKUP($E39,Biomass_pool_output_Tech1_modul!$A$3:$G$100,4,FALSE))</f>
        <v/>
      </c>
      <c r="AL39" s="81" t="str">
        <f>IF($E39="","",VLOOKUP($E39,Biomass_pool_output_Tech1_modul!$A$3:$G$100,5,FALSE))</f>
        <v/>
      </c>
      <c r="AM39" s="81" t="str">
        <f>IF($E39="","",VLOOKUP($E39,Biomass_pool_output_Tech1_modul!$A$3:$G$100,6,FALSE))</f>
        <v/>
      </c>
      <c r="AN39" s="331"/>
      <c r="AO39" s="99"/>
      <c r="AP39" s="30">
        <f>IF(AO39="",0,(VLOOKUP(AO39,'Diesel consumption for field op'!$B$4:$C$78,2,FALSE)*(1000/$AH39)))</f>
        <v>0</v>
      </c>
      <c r="AQ39" s="90"/>
      <c r="AR39" s="99"/>
      <c r="AS39" s="30">
        <f>IF(AR39="",0,(VLOOKUP(AR39,'Diesel consumption for field op'!$B$4:$C$78,2,FALSE)*(1000/$AH39)))</f>
        <v>0</v>
      </c>
      <c r="AT39" s="90"/>
      <c r="AU39" s="99"/>
      <c r="AV39" s="30">
        <f>IF(AU39="",0,(VLOOKUP(AU39,'Diesel consumption for field op'!$B$4:$C$78,2,FALSE)*(1000/$AH39)))</f>
        <v>0</v>
      </c>
      <c r="AW39" s="90"/>
      <c r="AX39" s="99"/>
      <c r="AY39" s="30">
        <f>IF(AX39="",0,(VLOOKUP(AX39,'Diesel consumption for field op'!$B$4:$C$78,2,FALSE)*(1000/$AH39)))</f>
        <v>0</v>
      </c>
      <c r="AZ39" s="90"/>
      <c r="BA39" s="99"/>
      <c r="BB39" s="30">
        <f>IF(BA39="",0,(VLOOKUP(BA39,'Diesel consumption for field op'!$B$4:$C$78,2,FALSE)*(1000/$AH39)))</f>
        <v>0</v>
      </c>
      <c r="BC39" s="90"/>
      <c r="BD39" s="99"/>
      <c r="BE39" s="5"/>
      <c r="BF39" s="103">
        <f>IF(BD39="",0,(VLOOKUP(BD39,'Diesel consumption for field op'!$B$4:$C$78,2,FALSE)*(1000/$AH39))*BE39)</f>
        <v>0</v>
      </c>
      <c r="BG39" s="90"/>
      <c r="BH39" s="109">
        <f t="shared" si="6"/>
        <v>0</v>
      </c>
      <c r="BI39" s="331"/>
      <c r="BJ39" s="99"/>
      <c r="BK39" s="5"/>
      <c r="BL39" s="90"/>
      <c r="BM39" s="331"/>
      <c r="BN39" s="81">
        <f t="shared" si="7"/>
        <v>0</v>
      </c>
      <c r="BO39" s="81">
        <f t="shared" si="8"/>
        <v>0</v>
      </c>
      <c r="BP39" s="81">
        <f t="shared" si="9"/>
        <v>0</v>
      </c>
      <c r="BQ39" s="81">
        <f t="shared" si="10"/>
        <v>0</v>
      </c>
      <c r="BR39" s="81">
        <f t="shared" si="11"/>
        <v>0</v>
      </c>
      <c r="BS39" s="88">
        <f t="shared" si="5"/>
        <v>0</v>
      </c>
    </row>
    <row r="40" spans="1:71" x14ac:dyDescent="0.3">
      <c r="A40" s="333">
        <v>36</v>
      </c>
      <c r="B40" s="5"/>
      <c r="C40" s="5"/>
      <c r="D40" s="5"/>
      <c r="E40" s="5"/>
      <c r="F40" s="5"/>
      <c r="G40" s="5"/>
      <c r="H40" s="5"/>
      <c r="I40" s="5"/>
      <c r="J40" s="5"/>
      <c r="K40" s="5"/>
      <c r="L40" s="165"/>
      <c r="M40" s="99"/>
      <c r="N40" s="90"/>
      <c r="O40" s="185"/>
      <c r="P40" s="5"/>
      <c r="Q40" s="5"/>
      <c r="R40" s="5"/>
      <c r="S40" s="5"/>
      <c r="T40" s="90"/>
      <c r="U40" s="99"/>
      <c r="V40" s="5"/>
      <c r="W40" s="90"/>
      <c r="X40" s="99"/>
      <c r="Y40" s="5"/>
      <c r="Z40" s="5"/>
      <c r="AA40" s="5"/>
      <c r="AB40" s="90"/>
      <c r="AC40" s="99"/>
      <c r="AD40" s="90"/>
      <c r="AE40" s="99"/>
      <c r="AF40" s="90"/>
      <c r="AG40" s="331"/>
      <c r="AH40" s="81" t="str">
        <f>IF($E40="","",VLOOKUP($E40,Biomass_pool_output_Tech1_modul!$A$3:$G$100,7,FALSE))</f>
        <v/>
      </c>
      <c r="AI40" s="81" t="str">
        <f>IF($E40="","",VLOOKUP($E40,Biomass_pool_output_Tech1_modul!$A$3:$G$100,2,FALSE))</f>
        <v/>
      </c>
      <c r="AJ40" s="81" t="str">
        <f>IF($E40="","",VLOOKUP($E40,Biomass_pool_output_Tech1_modul!$A$3:$G$100,3,FALSE))</f>
        <v/>
      </c>
      <c r="AK40" s="81" t="str">
        <f>IF($E40="","",VLOOKUP($E40,Biomass_pool_output_Tech1_modul!$A$3:$G$100,4,FALSE))</f>
        <v/>
      </c>
      <c r="AL40" s="81" t="str">
        <f>IF($E40="","",VLOOKUP($E40,Biomass_pool_output_Tech1_modul!$A$3:$G$100,5,FALSE))</f>
        <v/>
      </c>
      <c r="AM40" s="81" t="str">
        <f>IF($E40="","",VLOOKUP($E40,Biomass_pool_output_Tech1_modul!$A$3:$G$100,6,FALSE))</f>
        <v/>
      </c>
      <c r="AN40" s="331"/>
      <c r="AO40" s="99"/>
      <c r="AP40" s="30">
        <f>IF(AO40="",0,(VLOOKUP(AO40,'Diesel consumption for field op'!$B$4:$C$78,2,FALSE)*(1000/$AH40)))</f>
        <v>0</v>
      </c>
      <c r="AQ40" s="90"/>
      <c r="AR40" s="99"/>
      <c r="AS40" s="30">
        <f>IF(AR40="",0,(VLOOKUP(AR40,'Diesel consumption for field op'!$B$4:$C$78,2,FALSE)*(1000/$AH40)))</f>
        <v>0</v>
      </c>
      <c r="AT40" s="90"/>
      <c r="AU40" s="99"/>
      <c r="AV40" s="30">
        <f>IF(AU40="",0,(VLOOKUP(AU40,'Diesel consumption for field op'!$B$4:$C$78,2,FALSE)*(1000/$AH40)))</f>
        <v>0</v>
      </c>
      <c r="AW40" s="90"/>
      <c r="AX40" s="99"/>
      <c r="AY40" s="30">
        <f>IF(AX40="",0,(VLOOKUP(AX40,'Diesel consumption for field op'!$B$4:$C$78,2,FALSE)*(1000/$AH40)))</f>
        <v>0</v>
      </c>
      <c r="AZ40" s="90"/>
      <c r="BA40" s="99"/>
      <c r="BB40" s="30">
        <f>IF(BA40="",0,(VLOOKUP(BA40,'Diesel consumption for field op'!$B$4:$C$78,2,FALSE)*(1000/$AH40)))</f>
        <v>0</v>
      </c>
      <c r="BC40" s="90"/>
      <c r="BD40" s="99"/>
      <c r="BE40" s="5"/>
      <c r="BF40" s="103">
        <f>IF(BD40="",0,(VLOOKUP(BD40,'Diesel consumption for field op'!$B$4:$C$78,2,FALSE)*(1000/$AH40))*BE40)</f>
        <v>0</v>
      </c>
      <c r="BG40" s="90"/>
      <c r="BH40" s="109">
        <f t="shared" si="6"/>
        <v>0</v>
      </c>
      <c r="BI40" s="331"/>
      <c r="BJ40" s="99"/>
      <c r="BK40" s="5"/>
      <c r="BL40" s="90"/>
      <c r="BM40" s="331"/>
      <c r="BN40" s="81">
        <f t="shared" si="7"/>
        <v>0</v>
      </c>
      <c r="BO40" s="81">
        <f t="shared" si="8"/>
        <v>0</v>
      </c>
      <c r="BP40" s="81">
        <f t="shared" si="9"/>
        <v>0</v>
      </c>
      <c r="BQ40" s="81">
        <f t="shared" si="10"/>
        <v>0</v>
      </c>
      <c r="BR40" s="81">
        <f t="shared" si="11"/>
        <v>0</v>
      </c>
      <c r="BS40" s="88">
        <f t="shared" si="5"/>
        <v>0</v>
      </c>
    </row>
    <row r="41" spans="1:71" x14ac:dyDescent="0.3">
      <c r="A41" s="333">
        <v>37</v>
      </c>
      <c r="B41" s="5"/>
      <c r="C41" s="5"/>
      <c r="D41" s="5"/>
      <c r="E41" s="5"/>
      <c r="F41" s="5"/>
      <c r="G41" s="5"/>
      <c r="H41" s="5"/>
      <c r="I41" s="5"/>
      <c r="J41" s="5"/>
      <c r="K41" s="5"/>
      <c r="L41" s="165"/>
      <c r="M41" s="99"/>
      <c r="N41" s="90"/>
      <c r="O41" s="185"/>
      <c r="P41" s="5"/>
      <c r="Q41" s="5"/>
      <c r="R41" s="5"/>
      <c r="S41" s="5"/>
      <c r="T41" s="90"/>
      <c r="U41" s="99"/>
      <c r="V41" s="5"/>
      <c r="W41" s="90"/>
      <c r="X41" s="99"/>
      <c r="Y41" s="5"/>
      <c r="Z41" s="5"/>
      <c r="AA41" s="5"/>
      <c r="AB41" s="90"/>
      <c r="AC41" s="99"/>
      <c r="AD41" s="90"/>
      <c r="AE41" s="99"/>
      <c r="AF41" s="90"/>
      <c r="AG41" s="331"/>
      <c r="AH41" s="81" t="str">
        <f>IF($E41="","",VLOOKUP($E41,Biomass_pool_output_Tech1_modul!$A$3:$G$100,7,FALSE))</f>
        <v/>
      </c>
      <c r="AI41" s="81" t="str">
        <f>IF($E41="","",VLOOKUP($E41,Biomass_pool_output_Tech1_modul!$A$3:$G$100,2,FALSE))</f>
        <v/>
      </c>
      <c r="AJ41" s="81" t="str">
        <f>IF($E41="","",VLOOKUP($E41,Biomass_pool_output_Tech1_modul!$A$3:$G$100,3,FALSE))</f>
        <v/>
      </c>
      <c r="AK41" s="81" t="str">
        <f>IF($E41="","",VLOOKUP($E41,Biomass_pool_output_Tech1_modul!$A$3:$G$100,4,FALSE))</f>
        <v/>
      </c>
      <c r="AL41" s="81" t="str">
        <f>IF($E41="","",VLOOKUP($E41,Biomass_pool_output_Tech1_modul!$A$3:$G$100,5,FALSE))</f>
        <v/>
      </c>
      <c r="AM41" s="81" t="str">
        <f>IF($E41="","",VLOOKUP($E41,Biomass_pool_output_Tech1_modul!$A$3:$G$100,6,FALSE))</f>
        <v/>
      </c>
      <c r="AN41" s="331"/>
      <c r="AO41" s="99"/>
      <c r="AP41" s="30">
        <f>IF(AO41="",0,(VLOOKUP(AO41,'Diesel consumption for field op'!$B$4:$C$78,2,FALSE)*(1000/$AH41)))</f>
        <v>0</v>
      </c>
      <c r="AQ41" s="90"/>
      <c r="AR41" s="99"/>
      <c r="AS41" s="30">
        <f>IF(AR41="",0,(VLOOKUP(AR41,'Diesel consumption for field op'!$B$4:$C$78,2,FALSE)*(1000/$AH41)))</f>
        <v>0</v>
      </c>
      <c r="AT41" s="90"/>
      <c r="AU41" s="99"/>
      <c r="AV41" s="30">
        <f>IF(AU41="",0,(VLOOKUP(AU41,'Diesel consumption for field op'!$B$4:$C$78,2,FALSE)*(1000/$AH41)))</f>
        <v>0</v>
      </c>
      <c r="AW41" s="90"/>
      <c r="AX41" s="99"/>
      <c r="AY41" s="30">
        <f>IF(AX41="",0,(VLOOKUP(AX41,'Diesel consumption for field op'!$B$4:$C$78,2,FALSE)*(1000/$AH41)))</f>
        <v>0</v>
      </c>
      <c r="AZ41" s="90"/>
      <c r="BA41" s="99"/>
      <c r="BB41" s="30">
        <f>IF(BA41="",0,(VLOOKUP(BA41,'Diesel consumption for field op'!$B$4:$C$78,2,FALSE)*(1000/$AH41)))</f>
        <v>0</v>
      </c>
      <c r="BC41" s="90"/>
      <c r="BD41" s="99"/>
      <c r="BE41" s="5"/>
      <c r="BF41" s="103">
        <f>IF(BD41="",0,(VLOOKUP(BD41,'Diesel consumption for field op'!$B$4:$C$78,2,FALSE)*(1000/$AH41))*BE41)</f>
        <v>0</v>
      </c>
      <c r="BG41" s="90"/>
      <c r="BH41" s="109">
        <f t="shared" si="6"/>
        <v>0</v>
      </c>
      <c r="BI41" s="331"/>
      <c r="BJ41" s="99"/>
      <c r="BK41" s="5"/>
      <c r="BL41" s="90"/>
      <c r="BM41" s="331"/>
      <c r="BN41" s="81">
        <f t="shared" si="7"/>
        <v>0</v>
      </c>
      <c r="BO41" s="81">
        <f t="shared" si="8"/>
        <v>0</v>
      </c>
      <c r="BP41" s="81">
        <f t="shared" si="9"/>
        <v>0</v>
      </c>
      <c r="BQ41" s="81">
        <f t="shared" si="10"/>
        <v>0</v>
      </c>
      <c r="BR41" s="81">
        <f t="shared" si="11"/>
        <v>0</v>
      </c>
      <c r="BS41" s="88">
        <f t="shared" si="5"/>
        <v>0</v>
      </c>
    </row>
    <row r="42" spans="1:71" x14ac:dyDescent="0.3">
      <c r="A42" s="333">
        <v>38</v>
      </c>
      <c r="B42" s="5"/>
      <c r="C42" s="5"/>
      <c r="D42" s="5"/>
      <c r="E42" s="5"/>
      <c r="F42" s="5"/>
      <c r="G42" s="5"/>
      <c r="H42" s="5"/>
      <c r="I42" s="5"/>
      <c r="J42" s="5"/>
      <c r="K42" s="5"/>
      <c r="L42" s="165"/>
      <c r="M42" s="99"/>
      <c r="N42" s="90"/>
      <c r="O42" s="185"/>
      <c r="P42" s="5"/>
      <c r="Q42" s="5"/>
      <c r="R42" s="5"/>
      <c r="S42" s="5"/>
      <c r="T42" s="90"/>
      <c r="U42" s="99"/>
      <c r="V42" s="5"/>
      <c r="W42" s="90"/>
      <c r="X42" s="99"/>
      <c r="Y42" s="5"/>
      <c r="Z42" s="5"/>
      <c r="AA42" s="5"/>
      <c r="AB42" s="90"/>
      <c r="AC42" s="99"/>
      <c r="AD42" s="90"/>
      <c r="AE42" s="99"/>
      <c r="AF42" s="90"/>
      <c r="AG42" s="331"/>
      <c r="AH42" s="81" t="str">
        <f>IF($E42="","",VLOOKUP($E42,Biomass_pool_output_Tech1_modul!$A$3:$G$100,7,FALSE))</f>
        <v/>
      </c>
      <c r="AI42" s="81" t="str">
        <f>IF($E42="","",VLOOKUP($E42,Biomass_pool_output_Tech1_modul!$A$3:$G$100,2,FALSE))</f>
        <v/>
      </c>
      <c r="AJ42" s="81" t="str">
        <f>IF($E42="","",VLOOKUP($E42,Biomass_pool_output_Tech1_modul!$A$3:$G$100,3,FALSE))</f>
        <v/>
      </c>
      <c r="AK42" s="81" t="str">
        <f>IF($E42="","",VLOOKUP($E42,Biomass_pool_output_Tech1_modul!$A$3:$G$100,4,FALSE))</f>
        <v/>
      </c>
      <c r="AL42" s="81" t="str">
        <f>IF($E42="","",VLOOKUP($E42,Biomass_pool_output_Tech1_modul!$A$3:$G$100,5,FALSE))</f>
        <v/>
      </c>
      <c r="AM42" s="81" t="str">
        <f>IF($E42="","",VLOOKUP($E42,Biomass_pool_output_Tech1_modul!$A$3:$G$100,6,FALSE))</f>
        <v/>
      </c>
      <c r="AN42" s="331"/>
      <c r="AO42" s="99"/>
      <c r="AP42" s="30">
        <f>IF(AO42="",0,(VLOOKUP(AO42,'Diesel consumption for field op'!$B$4:$C$78,2,FALSE)*(1000/$AH42)))</f>
        <v>0</v>
      </c>
      <c r="AQ42" s="90"/>
      <c r="AR42" s="99"/>
      <c r="AS42" s="30">
        <f>IF(AR42="",0,(VLOOKUP(AR42,'Diesel consumption for field op'!$B$4:$C$78,2,FALSE)*(1000/$AH42)))</f>
        <v>0</v>
      </c>
      <c r="AT42" s="90"/>
      <c r="AU42" s="99"/>
      <c r="AV42" s="30">
        <f>IF(AU42="",0,(VLOOKUP(AU42,'Diesel consumption for field op'!$B$4:$C$78,2,FALSE)*(1000/$AH42)))</f>
        <v>0</v>
      </c>
      <c r="AW42" s="90"/>
      <c r="AX42" s="99"/>
      <c r="AY42" s="30">
        <f>IF(AX42="",0,(VLOOKUP(AX42,'Diesel consumption for field op'!$B$4:$C$78,2,FALSE)*(1000/$AH42)))</f>
        <v>0</v>
      </c>
      <c r="AZ42" s="90"/>
      <c r="BA42" s="99"/>
      <c r="BB42" s="30">
        <f>IF(BA42="",0,(VLOOKUP(BA42,'Diesel consumption for field op'!$B$4:$C$78,2,FALSE)*(1000/$AH42)))</f>
        <v>0</v>
      </c>
      <c r="BC42" s="90"/>
      <c r="BD42" s="99"/>
      <c r="BE42" s="5"/>
      <c r="BF42" s="103">
        <f>IF(BD42="",0,(VLOOKUP(BD42,'Diesel consumption for field op'!$B$4:$C$78,2,FALSE)*(1000/$AH42))*BE42)</f>
        <v>0</v>
      </c>
      <c r="BG42" s="90"/>
      <c r="BH42" s="109">
        <f t="shared" si="6"/>
        <v>0</v>
      </c>
      <c r="BI42" s="331"/>
      <c r="BJ42" s="99"/>
      <c r="BK42" s="5"/>
      <c r="BL42" s="90"/>
      <c r="BM42" s="331"/>
      <c r="BN42" s="81">
        <f t="shared" si="7"/>
        <v>0</v>
      </c>
      <c r="BO42" s="81">
        <f t="shared" si="8"/>
        <v>0</v>
      </c>
      <c r="BP42" s="81">
        <f t="shared" si="9"/>
        <v>0</v>
      </c>
      <c r="BQ42" s="81">
        <f t="shared" si="10"/>
        <v>0</v>
      </c>
      <c r="BR42" s="81">
        <f t="shared" si="11"/>
        <v>0</v>
      </c>
      <c r="BS42" s="88">
        <f t="shared" si="5"/>
        <v>0</v>
      </c>
    </row>
    <row r="43" spans="1:71" x14ac:dyDescent="0.3">
      <c r="A43" s="333">
        <v>39</v>
      </c>
      <c r="B43" s="5"/>
      <c r="C43" s="5"/>
      <c r="D43" s="5"/>
      <c r="E43" s="5"/>
      <c r="F43" s="5"/>
      <c r="G43" s="5"/>
      <c r="H43" s="5"/>
      <c r="I43" s="5"/>
      <c r="J43" s="5"/>
      <c r="K43" s="5"/>
      <c r="L43" s="165"/>
      <c r="M43" s="99"/>
      <c r="N43" s="90"/>
      <c r="O43" s="185"/>
      <c r="P43" s="5"/>
      <c r="Q43" s="5"/>
      <c r="R43" s="5"/>
      <c r="S43" s="5"/>
      <c r="T43" s="90"/>
      <c r="U43" s="99"/>
      <c r="V43" s="5"/>
      <c r="W43" s="90"/>
      <c r="X43" s="99"/>
      <c r="Y43" s="5"/>
      <c r="Z43" s="5"/>
      <c r="AA43" s="5"/>
      <c r="AB43" s="90"/>
      <c r="AC43" s="99"/>
      <c r="AD43" s="90"/>
      <c r="AE43" s="99"/>
      <c r="AF43" s="90"/>
      <c r="AG43" s="331"/>
      <c r="AH43" s="81" t="str">
        <f>IF($E43="","",VLOOKUP($E43,Biomass_pool_output_Tech1_modul!$A$3:$G$100,7,FALSE))</f>
        <v/>
      </c>
      <c r="AI43" s="81" t="str">
        <f>IF($E43="","",VLOOKUP($E43,Biomass_pool_output_Tech1_modul!$A$3:$G$100,2,FALSE))</f>
        <v/>
      </c>
      <c r="AJ43" s="81" t="str">
        <f>IF($E43="","",VLOOKUP($E43,Biomass_pool_output_Tech1_modul!$A$3:$G$100,3,FALSE))</f>
        <v/>
      </c>
      <c r="AK43" s="81" t="str">
        <f>IF($E43="","",VLOOKUP($E43,Biomass_pool_output_Tech1_modul!$A$3:$G$100,4,FALSE))</f>
        <v/>
      </c>
      <c r="AL43" s="81" t="str">
        <f>IF($E43="","",VLOOKUP($E43,Biomass_pool_output_Tech1_modul!$A$3:$G$100,5,FALSE))</f>
        <v/>
      </c>
      <c r="AM43" s="81" t="str">
        <f>IF($E43="","",VLOOKUP($E43,Biomass_pool_output_Tech1_modul!$A$3:$G$100,6,FALSE))</f>
        <v/>
      </c>
      <c r="AN43" s="331"/>
      <c r="AO43" s="99"/>
      <c r="AP43" s="30">
        <f>IF(AO43="",0,(VLOOKUP(AO43,'Diesel consumption for field op'!$B$4:$C$78,2,FALSE)*(1000/$AH43)))</f>
        <v>0</v>
      </c>
      <c r="AQ43" s="90"/>
      <c r="AR43" s="99"/>
      <c r="AS43" s="30">
        <f>IF(AR43="",0,(VLOOKUP(AR43,'Diesel consumption for field op'!$B$4:$C$78,2,FALSE)*(1000/$AH43)))</f>
        <v>0</v>
      </c>
      <c r="AT43" s="90"/>
      <c r="AU43" s="99"/>
      <c r="AV43" s="30">
        <f>IF(AU43="",0,(VLOOKUP(AU43,'Diesel consumption for field op'!$B$4:$C$78,2,FALSE)*(1000/$AH43)))</f>
        <v>0</v>
      </c>
      <c r="AW43" s="90"/>
      <c r="AX43" s="99"/>
      <c r="AY43" s="30">
        <f>IF(AX43="",0,(VLOOKUP(AX43,'Diesel consumption for field op'!$B$4:$C$78,2,FALSE)*(1000/$AH43)))</f>
        <v>0</v>
      </c>
      <c r="AZ43" s="90"/>
      <c r="BA43" s="99"/>
      <c r="BB43" s="30">
        <f>IF(BA43="",0,(VLOOKUP(BA43,'Diesel consumption for field op'!$B$4:$C$78,2,FALSE)*(1000/$AH43)))</f>
        <v>0</v>
      </c>
      <c r="BC43" s="90"/>
      <c r="BD43" s="99"/>
      <c r="BE43" s="5"/>
      <c r="BF43" s="103">
        <f>IF(BD43="",0,(VLOOKUP(BD43,'Diesel consumption for field op'!$B$4:$C$78,2,FALSE)*(1000/$AH43))*BE43)</f>
        <v>0</v>
      </c>
      <c r="BG43" s="90"/>
      <c r="BH43" s="109">
        <f t="shared" si="6"/>
        <v>0</v>
      </c>
      <c r="BI43" s="331"/>
      <c r="BJ43" s="99"/>
      <c r="BK43" s="5"/>
      <c r="BL43" s="90"/>
      <c r="BM43" s="331"/>
      <c r="BN43" s="81">
        <f t="shared" si="7"/>
        <v>0</v>
      </c>
      <c r="BO43" s="81">
        <f t="shared" si="8"/>
        <v>0</v>
      </c>
      <c r="BP43" s="81">
        <f t="shared" si="9"/>
        <v>0</v>
      </c>
      <c r="BQ43" s="81">
        <f t="shared" si="10"/>
        <v>0</v>
      </c>
      <c r="BR43" s="81">
        <f t="shared" si="11"/>
        <v>0</v>
      </c>
      <c r="BS43" s="88">
        <f t="shared" si="5"/>
        <v>0</v>
      </c>
    </row>
    <row r="44" spans="1:71" x14ac:dyDescent="0.3">
      <c r="A44" s="333">
        <v>40</v>
      </c>
      <c r="B44" s="5"/>
      <c r="C44" s="5"/>
      <c r="D44" s="5"/>
      <c r="E44" s="5"/>
      <c r="F44" s="5"/>
      <c r="G44" s="5"/>
      <c r="H44" s="5"/>
      <c r="I44" s="5"/>
      <c r="J44" s="5"/>
      <c r="K44" s="5"/>
      <c r="L44" s="165"/>
      <c r="M44" s="99"/>
      <c r="N44" s="90"/>
      <c r="O44" s="185"/>
      <c r="P44" s="5"/>
      <c r="Q44" s="5"/>
      <c r="R44" s="5"/>
      <c r="S44" s="5"/>
      <c r="T44" s="90"/>
      <c r="U44" s="99"/>
      <c r="V44" s="5"/>
      <c r="W44" s="90"/>
      <c r="X44" s="99"/>
      <c r="Y44" s="5"/>
      <c r="Z44" s="5"/>
      <c r="AA44" s="5"/>
      <c r="AB44" s="90"/>
      <c r="AC44" s="99"/>
      <c r="AD44" s="90"/>
      <c r="AE44" s="99"/>
      <c r="AF44" s="90"/>
      <c r="AG44" s="331"/>
      <c r="AH44" s="81" t="str">
        <f>IF($E44="","",VLOOKUP($E44,Biomass_pool_output_Tech1_modul!$A$3:$G$100,7,FALSE))</f>
        <v/>
      </c>
      <c r="AI44" s="81" t="str">
        <f>IF($E44="","",VLOOKUP($E44,Biomass_pool_output_Tech1_modul!$A$3:$G$100,2,FALSE))</f>
        <v/>
      </c>
      <c r="AJ44" s="81" t="str">
        <f>IF($E44="","",VLOOKUP($E44,Biomass_pool_output_Tech1_modul!$A$3:$G$100,3,FALSE))</f>
        <v/>
      </c>
      <c r="AK44" s="81" t="str">
        <f>IF($E44="","",VLOOKUP($E44,Biomass_pool_output_Tech1_modul!$A$3:$G$100,4,FALSE))</f>
        <v/>
      </c>
      <c r="AL44" s="81" t="str">
        <f>IF($E44="","",VLOOKUP($E44,Biomass_pool_output_Tech1_modul!$A$3:$G$100,5,FALSE))</f>
        <v/>
      </c>
      <c r="AM44" s="81" t="str">
        <f>IF($E44="","",VLOOKUP($E44,Biomass_pool_output_Tech1_modul!$A$3:$G$100,6,FALSE))</f>
        <v/>
      </c>
      <c r="AN44" s="331"/>
      <c r="AO44" s="99"/>
      <c r="AP44" s="30">
        <f>IF(AO44="",0,(VLOOKUP(AO44,'Diesel consumption for field op'!$B$4:$C$78,2,FALSE)*(1000/$AH44)))</f>
        <v>0</v>
      </c>
      <c r="AQ44" s="90"/>
      <c r="AR44" s="99"/>
      <c r="AS44" s="30">
        <f>IF(AR44="",0,(VLOOKUP(AR44,'Diesel consumption for field op'!$B$4:$C$78,2,FALSE)*(1000/$AH44)))</f>
        <v>0</v>
      </c>
      <c r="AT44" s="90"/>
      <c r="AU44" s="99"/>
      <c r="AV44" s="30">
        <f>IF(AU44="",0,(VLOOKUP(AU44,'Diesel consumption for field op'!$B$4:$C$78,2,FALSE)*(1000/$AH44)))</f>
        <v>0</v>
      </c>
      <c r="AW44" s="90"/>
      <c r="AX44" s="99"/>
      <c r="AY44" s="30">
        <f>IF(AX44="",0,(VLOOKUP(AX44,'Diesel consumption for field op'!$B$4:$C$78,2,FALSE)*(1000/$AH44)))</f>
        <v>0</v>
      </c>
      <c r="AZ44" s="90"/>
      <c r="BA44" s="99"/>
      <c r="BB44" s="30">
        <f>IF(BA44="",0,(VLOOKUP(BA44,'Diesel consumption for field op'!$B$4:$C$78,2,FALSE)*(1000/$AH44)))</f>
        <v>0</v>
      </c>
      <c r="BC44" s="90"/>
      <c r="BD44" s="99"/>
      <c r="BE44" s="5"/>
      <c r="BF44" s="103">
        <f>IF(BD44="",0,(VLOOKUP(BD44,'Diesel consumption for field op'!$B$4:$C$78,2,FALSE)*(1000/$AH44))*BE44)</f>
        <v>0</v>
      </c>
      <c r="BG44" s="90"/>
      <c r="BH44" s="109">
        <f t="shared" si="6"/>
        <v>0</v>
      </c>
      <c r="BI44" s="331"/>
      <c r="BJ44" s="99"/>
      <c r="BK44" s="5"/>
      <c r="BL44" s="90"/>
      <c r="BM44" s="331"/>
      <c r="BN44" s="81">
        <f t="shared" si="7"/>
        <v>0</v>
      </c>
      <c r="BO44" s="81">
        <f t="shared" si="8"/>
        <v>0</v>
      </c>
      <c r="BP44" s="81">
        <f t="shared" si="9"/>
        <v>0</v>
      </c>
      <c r="BQ44" s="81">
        <f t="shared" si="10"/>
        <v>0</v>
      </c>
      <c r="BR44" s="81">
        <f t="shared" si="11"/>
        <v>0</v>
      </c>
      <c r="BS44" s="88">
        <f t="shared" si="5"/>
        <v>0</v>
      </c>
    </row>
    <row r="45" spans="1:71" x14ac:dyDescent="0.3">
      <c r="A45" s="333">
        <v>41</v>
      </c>
      <c r="B45" s="5"/>
      <c r="C45" s="5"/>
      <c r="D45" s="5"/>
      <c r="E45" s="5"/>
      <c r="F45" s="5"/>
      <c r="G45" s="5"/>
      <c r="H45" s="5"/>
      <c r="I45" s="5"/>
      <c r="J45" s="5"/>
      <c r="K45" s="5"/>
      <c r="L45" s="165"/>
      <c r="M45" s="99"/>
      <c r="N45" s="90"/>
      <c r="O45" s="185"/>
      <c r="P45" s="5"/>
      <c r="Q45" s="5"/>
      <c r="R45" s="5"/>
      <c r="S45" s="5"/>
      <c r="T45" s="90"/>
      <c r="U45" s="99"/>
      <c r="V45" s="5"/>
      <c r="W45" s="90"/>
      <c r="X45" s="99"/>
      <c r="Y45" s="5"/>
      <c r="Z45" s="5"/>
      <c r="AA45" s="5"/>
      <c r="AB45" s="90"/>
      <c r="AC45" s="99"/>
      <c r="AD45" s="90"/>
      <c r="AE45" s="99"/>
      <c r="AF45" s="90"/>
      <c r="AG45" s="331"/>
      <c r="AH45" s="81" t="str">
        <f>IF($E45="","",VLOOKUP($E45,Biomass_pool_output_Tech1_modul!$A$3:$G$100,7,FALSE))</f>
        <v/>
      </c>
      <c r="AI45" s="81" t="str">
        <f>IF($E45="","",VLOOKUP($E45,Biomass_pool_output_Tech1_modul!$A$3:$G$100,2,FALSE))</f>
        <v/>
      </c>
      <c r="AJ45" s="81" t="str">
        <f>IF($E45="","",VLOOKUP($E45,Biomass_pool_output_Tech1_modul!$A$3:$G$100,3,FALSE))</f>
        <v/>
      </c>
      <c r="AK45" s="81" t="str">
        <f>IF($E45="","",VLOOKUP($E45,Biomass_pool_output_Tech1_modul!$A$3:$G$100,4,FALSE))</f>
        <v/>
      </c>
      <c r="AL45" s="81" t="str">
        <f>IF($E45="","",VLOOKUP($E45,Biomass_pool_output_Tech1_modul!$A$3:$G$100,5,FALSE))</f>
        <v/>
      </c>
      <c r="AM45" s="81" t="str">
        <f>IF($E45="","",VLOOKUP($E45,Biomass_pool_output_Tech1_modul!$A$3:$G$100,6,FALSE))</f>
        <v/>
      </c>
      <c r="AN45" s="331"/>
      <c r="AO45" s="99"/>
      <c r="AP45" s="30">
        <f>IF(AO45="",0,(VLOOKUP(AO45,'Diesel consumption for field op'!$B$4:$C$78,2,FALSE)*(1000/$AH45)))</f>
        <v>0</v>
      </c>
      <c r="AQ45" s="90"/>
      <c r="AR45" s="99"/>
      <c r="AS45" s="30">
        <f>IF(AR45="",0,(VLOOKUP(AR45,'Diesel consumption for field op'!$B$4:$C$78,2,FALSE)*(1000/$AH45)))</f>
        <v>0</v>
      </c>
      <c r="AT45" s="90"/>
      <c r="AU45" s="99"/>
      <c r="AV45" s="30">
        <f>IF(AU45="",0,(VLOOKUP(AU45,'Diesel consumption for field op'!$B$4:$C$78,2,FALSE)*(1000/$AH45)))</f>
        <v>0</v>
      </c>
      <c r="AW45" s="90"/>
      <c r="AX45" s="99"/>
      <c r="AY45" s="30">
        <f>IF(AX45="",0,(VLOOKUP(AX45,'Diesel consumption for field op'!$B$4:$C$78,2,FALSE)*(1000/$AH45)))</f>
        <v>0</v>
      </c>
      <c r="AZ45" s="90"/>
      <c r="BA45" s="99"/>
      <c r="BB45" s="30">
        <f>IF(BA45="",0,(VLOOKUP(BA45,'Diesel consumption for field op'!$B$4:$C$78,2,FALSE)*(1000/$AH45)))</f>
        <v>0</v>
      </c>
      <c r="BC45" s="90"/>
      <c r="BD45" s="99"/>
      <c r="BE45" s="5"/>
      <c r="BF45" s="103">
        <f>IF(BD45="",0,(VLOOKUP(BD45,'Diesel consumption for field op'!$B$4:$C$78,2,FALSE)*(1000/$AH45))*BE45)</f>
        <v>0</v>
      </c>
      <c r="BG45" s="90"/>
      <c r="BH45" s="109">
        <f t="shared" si="6"/>
        <v>0</v>
      </c>
      <c r="BI45" s="331"/>
      <c r="BJ45" s="99"/>
      <c r="BK45" s="5"/>
      <c r="BL45" s="90"/>
      <c r="BM45" s="331"/>
      <c r="BN45" s="81">
        <f t="shared" si="7"/>
        <v>0</v>
      </c>
      <c r="BO45" s="81">
        <f t="shared" si="8"/>
        <v>0</v>
      </c>
      <c r="BP45" s="81">
        <f t="shared" si="9"/>
        <v>0</v>
      </c>
      <c r="BQ45" s="81">
        <f t="shared" si="10"/>
        <v>0</v>
      </c>
      <c r="BR45" s="81">
        <f t="shared" si="11"/>
        <v>0</v>
      </c>
      <c r="BS45" s="88">
        <f t="shared" si="5"/>
        <v>0</v>
      </c>
    </row>
    <row r="46" spans="1:71" x14ac:dyDescent="0.3">
      <c r="A46" s="333">
        <v>42</v>
      </c>
      <c r="B46" s="5"/>
      <c r="C46" s="5"/>
      <c r="D46" s="5"/>
      <c r="E46" s="5"/>
      <c r="F46" s="5"/>
      <c r="G46" s="5"/>
      <c r="H46" s="5"/>
      <c r="I46" s="5"/>
      <c r="J46" s="5"/>
      <c r="K46" s="5"/>
      <c r="L46" s="165"/>
      <c r="M46" s="99"/>
      <c r="N46" s="90"/>
      <c r="O46" s="185"/>
      <c r="P46" s="5"/>
      <c r="Q46" s="5"/>
      <c r="R46" s="5"/>
      <c r="S46" s="5"/>
      <c r="T46" s="90"/>
      <c r="U46" s="99"/>
      <c r="V46" s="5"/>
      <c r="W46" s="90"/>
      <c r="X46" s="99"/>
      <c r="Y46" s="5"/>
      <c r="Z46" s="5"/>
      <c r="AA46" s="5"/>
      <c r="AB46" s="90"/>
      <c r="AC46" s="99"/>
      <c r="AD46" s="90"/>
      <c r="AE46" s="99"/>
      <c r="AF46" s="90"/>
      <c r="AG46" s="331"/>
      <c r="AH46" s="81" t="str">
        <f>IF($E46="","",VLOOKUP($E46,Biomass_pool_output_Tech1_modul!$A$3:$G$100,7,FALSE))</f>
        <v/>
      </c>
      <c r="AI46" s="81" t="str">
        <f>IF($E46="","",VLOOKUP($E46,Biomass_pool_output_Tech1_modul!$A$3:$G$100,2,FALSE))</f>
        <v/>
      </c>
      <c r="AJ46" s="81" t="str">
        <f>IF($E46="","",VLOOKUP($E46,Biomass_pool_output_Tech1_modul!$A$3:$G$100,3,FALSE))</f>
        <v/>
      </c>
      <c r="AK46" s="81" t="str">
        <f>IF($E46="","",VLOOKUP($E46,Biomass_pool_output_Tech1_modul!$A$3:$G$100,4,FALSE))</f>
        <v/>
      </c>
      <c r="AL46" s="81" t="str">
        <f>IF($E46="","",VLOOKUP($E46,Biomass_pool_output_Tech1_modul!$A$3:$G$100,5,FALSE))</f>
        <v/>
      </c>
      <c r="AM46" s="81" t="str">
        <f>IF($E46="","",VLOOKUP($E46,Biomass_pool_output_Tech1_modul!$A$3:$G$100,6,FALSE))</f>
        <v/>
      </c>
      <c r="AN46" s="331"/>
      <c r="AO46" s="99"/>
      <c r="AP46" s="30">
        <f>IF(AO46="",0,(VLOOKUP(AO46,'Diesel consumption for field op'!$B$4:$C$78,2,FALSE)*(1000/$AH46)))</f>
        <v>0</v>
      </c>
      <c r="AQ46" s="90"/>
      <c r="AR46" s="99"/>
      <c r="AS46" s="30">
        <f>IF(AR46="",0,(VLOOKUP(AR46,'Diesel consumption for field op'!$B$4:$C$78,2,FALSE)*(1000/$AH46)))</f>
        <v>0</v>
      </c>
      <c r="AT46" s="90"/>
      <c r="AU46" s="99"/>
      <c r="AV46" s="30">
        <f>IF(AU46="",0,(VLOOKUP(AU46,'Diesel consumption for field op'!$B$4:$C$78,2,FALSE)*(1000/$AH46)))</f>
        <v>0</v>
      </c>
      <c r="AW46" s="90"/>
      <c r="AX46" s="99"/>
      <c r="AY46" s="30">
        <f>IF(AX46="",0,(VLOOKUP(AX46,'Diesel consumption for field op'!$B$4:$C$78,2,FALSE)*(1000/$AH46)))</f>
        <v>0</v>
      </c>
      <c r="AZ46" s="90"/>
      <c r="BA46" s="99"/>
      <c r="BB46" s="30">
        <f>IF(BA46="",0,(VLOOKUP(BA46,'Diesel consumption for field op'!$B$4:$C$78,2,FALSE)*(1000/$AH46)))</f>
        <v>0</v>
      </c>
      <c r="BC46" s="90"/>
      <c r="BD46" s="99"/>
      <c r="BE46" s="5"/>
      <c r="BF46" s="103">
        <f>IF(BD46="",0,(VLOOKUP(BD46,'Diesel consumption for field op'!$B$4:$C$78,2,FALSE)*(1000/$AH46))*BE46)</f>
        <v>0</v>
      </c>
      <c r="BG46" s="90"/>
      <c r="BH46" s="109">
        <f t="shared" si="6"/>
        <v>0</v>
      </c>
      <c r="BI46" s="331"/>
      <c r="BJ46" s="99"/>
      <c r="BK46" s="5"/>
      <c r="BL46" s="90"/>
      <c r="BM46" s="331"/>
      <c r="BN46" s="81">
        <f t="shared" si="7"/>
        <v>0</v>
      </c>
      <c r="BO46" s="81">
        <f t="shared" si="8"/>
        <v>0</v>
      </c>
      <c r="BP46" s="81">
        <f t="shared" si="9"/>
        <v>0</v>
      </c>
      <c r="BQ46" s="81">
        <f t="shared" si="10"/>
        <v>0</v>
      </c>
      <c r="BR46" s="81">
        <f t="shared" si="11"/>
        <v>0</v>
      </c>
      <c r="BS46" s="88">
        <f t="shared" si="5"/>
        <v>0</v>
      </c>
    </row>
    <row r="47" spans="1:71" x14ac:dyDescent="0.3">
      <c r="A47" s="333">
        <v>43</v>
      </c>
      <c r="B47" s="5"/>
      <c r="C47" s="5"/>
      <c r="D47" s="5"/>
      <c r="E47" s="5"/>
      <c r="F47" s="5"/>
      <c r="G47" s="5"/>
      <c r="H47" s="5"/>
      <c r="I47" s="5"/>
      <c r="J47" s="5"/>
      <c r="K47" s="5"/>
      <c r="L47" s="165"/>
      <c r="M47" s="99"/>
      <c r="N47" s="90"/>
      <c r="O47" s="185"/>
      <c r="P47" s="5"/>
      <c r="Q47" s="5"/>
      <c r="R47" s="5"/>
      <c r="S47" s="5"/>
      <c r="T47" s="90"/>
      <c r="U47" s="99"/>
      <c r="V47" s="5"/>
      <c r="W47" s="90"/>
      <c r="X47" s="99"/>
      <c r="Y47" s="5"/>
      <c r="Z47" s="5"/>
      <c r="AA47" s="5"/>
      <c r="AB47" s="90"/>
      <c r="AC47" s="99"/>
      <c r="AD47" s="90"/>
      <c r="AE47" s="99"/>
      <c r="AF47" s="90"/>
      <c r="AG47" s="331"/>
      <c r="AH47" s="81" t="str">
        <f>IF($E47="","",VLOOKUP($E47,Biomass_pool_output_Tech1_modul!$A$3:$G$100,7,FALSE))</f>
        <v/>
      </c>
      <c r="AI47" s="81" t="str">
        <f>IF($E47="","",VLOOKUP($E47,Biomass_pool_output_Tech1_modul!$A$3:$G$100,2,FALSE))</f>
        <v/>
      </c>
      <c r="AJ47" s="81" t="str">
        <f>IF($E47="","",VLOOKUP($E47,Biomass_pool_output_Tech1_modul!$A$3:$G$100,3,FALSE))</f>
        <v/>
      </c>
      <c r="AK47" s="81" t="str">
        <f>IF($E47="","",VLOOKUP($E47,Biomass_pool_output_Tech1_modul!$A$3:$G$100,4,FALSE))</f>
        <v/>
      </c>
      <c r="AL47" s="81" t="str">
        <f>IF($E47="","",VLOOKUP($E47,Biomass_pool_output_Tech1_modul!$A$3:$G$100,5,FALSE))</f>
        <v/>
      </c>
      <c r="AM47" s="81" t="str">
        <f>IF($E47="","",VLOOKUP($E47,Biomass_pool_output_Tech1_modul!$A$3:$G$100,6,FALSE))</f>
        <v/>
      </c>
      <c r="AN47" s="331"/>
      <c r="AO47" s="99"/>
      <c r="AP47" s="30">
        <f>IF(AO47="",0,(VLOOKUP(AO47,'Diesel consumption for field op'!$B$4:$C$78,2,FALSE)*(1000/$AH47)))</f>
        <v>0</v>
      </c>
      <c r="AQ47" s="90"/>
      <c r="AR47" s="99"/>
      <c r="AS47" s="30">
        <f>IF(AR47="",0,(VLOOKUP(AR47,'Diesel consumption for field op'!$B$4:$C$78,2,FALSE)*(1000/$AH47)))</f>
        <v>0</v>
      </c>
      <c r="AT47" s="90"/>
      <c r="AU47" s="99"/>
      <c r="AV47" s="30">
        <f>IF(AU47="",0,(VLOOKUP(AU47,'Diesel consumption for field op'!$B$4:$C$78,2,FALSE)*(1000/$AH47)))</f>
        <v>0</v>
      </c>
      <c r="AW47" s="90"/>
      <c r="AX47" s="99"/>
      <c r="AY47" s="30">
        <f>IF(AX47="",0,(VLOOKUP(AX47,'Diesel consumption for field op'!$B$4:$C$78,2,FALSE)*(1000/$AH47)))</f>
        <v>0</v>
      </c>
      <c r="AZ47" s="90"/>
      <c r="BA47" s="99"/>
      <c r="BB47" s="30">
        <f>IF(BA47="",0,(VLOOKUP(BA47,'Diesel consumption for field op'!$B$4:$C$78,2,FALSE)*(1000/$AH47)))</f>
        <v>0</v>
      </c>
      <c r="BC47" s="90"/>
      <c r="BD47" s="99"/>
      <c r="BE47" s="5"/>
      <c r="BF47" s="103">
        <f>IF(BD47="",0,(VLOOKUP(BD47,'Diesel consumption for field op'!$B$4:$C$78,2,FALSE)*(1000/$AH47))*BE47)</f>
        <v>0</v>
      </c>
      <c r="BG47" s="90"/>
      <c r="BH47" s="109">
        <f t="shared" si="6"/>
        <v>0</v>
      </c>
      <c r="BI47" s="331"/>
      <c r="BJ47" s="99"/>
      <c r="BK47" s="5"/>
      <c r="BL47" s="90"/>
      <c r="BM47" s="331"/>
      <c r="BN47" s="81">
        <f t="shared" si="7"/>
        <v>0</v>
      </c>
      <c r="BO47" s="81">
        <f t="shared" si="8"/>
        <v>0</v>
      </c>
      <c r="BP47" s="81">
        <f t="shared" si="9"/>
        <v>0</v>
      </c>
      <c r="BQ47" s="81">
        <f t="shared" si="10"/>
        <v>0</v>
      </c>
      <c r="BR47" s="81">
        <f t="shared" si="11"/>
        <v>0</v>
      </c>
      <c r="BS47" s="88">
        <f t="shared" si="5"/>
        <v>0</v>
      </c>
    </row>
    <row r="48" spans="1:71" x14ac:dyDescent="0.3">
      <c r="A48" s="333">
        <v>44</v>
      </c>
      <c r="B48" s="5"/>
      <c r="C48" s="5"/>
      <c r="D48" s="5"/>
      <c r="E48" s="5"/>
      <c r="F48" s="5"/>
      <c r="G48" s="5"/>
      <c r="H48" s="5"/>
      <c r="I48" s="5"/>
      <c r="J48" s="5"/>
      <c r="K48" s="5"/>
      <c r="L48" s="165"/>
      <c r="M48" s="99"/>
      <c r="N48" s="90"/>
      <c r="O48" s="185"/>
      <c r="P48" s="5"/>
      <c r="Q48" s="5"/>
      <c r="R48" s="5"/>
      <c r="S48" s="5"/>
      <c r="T48" s="90"/>
      <c r="U48" s="99"/>
      <c r="V48" s="5"/>
      <c r="W48" s="90"/>
      <c r="X48" s="99"/>
      <c r="Y48" s="5"/>
      <c r="Z48" s="5"/>
      <c r="AA48" s="5"/>
      <c r="AB48" s="90"/>
      <c r="AC48" s="99"/>
      <c r="AD48" s="90"/>
      <c r="AE48" s="99"/>
      <c r="AF48" s="90"/>
      <c r="AG48" s="331"/>
      <c r="AH48" s="81" t="str">
        <f>IF($E48="","",VLOOKUP($E48,Biomass_pool_output_Tech1_modul!$A$3:$G$100,7,FALSE))</f>
        <v/>
      </c>
      <c r="AI48" s="81" t="str">
        <f>IF($E48="","",VLOOKUP($E48,Biomass_pool_output_Tech1_modul!$A$3:$G$100,2,FALSE))</f>
        <v/>
      </c>
      <c r="AJ48" s="81" t="str">
        <f>IF($E48="","",VLOOKUP($E48,Biomass_pool_output_Tech1_modul!$A$3:$G$100,3,FALSE))</f>
        <v/>
      </c>
      <c r="AK48" s="81" t="str">
        <f>IF($E48="","",VLOOKUP($E48,Biomass_pool_output_Tech1_modul!$A$3:$G$100,4,FALSE))</f>
        <v/>
      </c>
      <c r="AL48" s="81" t="str">
        <f>IF($E48="","",VLOOKUP($E48,Biomass_pool_output_Tech1_modul!$A$3:$G$100,5,FALSE))</f>
        <v/>
      </c>
      <c r="AM48" s="81" t="str">
        <f>IF($E48="","",VLOOKUP($E48,Biomass_pool_output_Tech1_modul!$A$3:$G$100,6,FALSE))</f>
        <v/>
      </c>
      <c r="AN48" s="331"/>
      <c r="AO48" s="99"/>
      <c r="AP48" s="30">
        <f>IF(AO48="",0,(VLOOKUP(AO48,'Diesel consumption for field op'!$B$4:$C$78,2,FALSE)*(1000/$AH48)))</f>
        <v>0</v>
      </c>
      <c r="AQ48" s="90"/>
      <c r="AR48" s="99"/>
      <c r="AS48" s="30">
        <f>IF(AR48="",0,(VLOOKUP(AR48,'Diesel consumption for field op'!$B$4:$C$78,2,FALSE)*(1000/$AH48)))</f>
        <v>0</v>
      </c>
      <c r="AT48" s="90"/>
      <c r="AU48" s="99"/>
      <c r="AV48" s="30">
        <f>IF(AU48="",0,(VLOOKUP(AU48,'Diesel consumption for field op'!$B$4:$C$78,2,FALSE)*(1000/$AH48)))</f>
        <v>0</v>
      </c>
      <c r="AW48" s="90"/>
      <c r="AX48" s="99"/>
      <c r="AY48" s="30">
        <f>IF(AX48="",0,(VLOOKUP(AX48,'Diesel consumption for field op'!$B$4:$C$78,2,FALSE)*(1000/$AH48)))</f>
        <v>0</v>
      </c>
      <c r="AZ48" s="90"/>
      <c r="BA48" s="99"/>
      <c r="BB48" s="30">
        <f>IF(BA48="",0,(VLOOKUP(BA48,'Diesel consumption for field op'!$B$4:$C$78,2,FALSE)*(1000/$AH48)))</f>
        <v>0</v>
      </c>
      <c r="BC48" s="90"/>
      <c r="BD48" s="99"/>
      <c r="BE48" s="5"/>
      <c r="BF48" s="103">
        <f>IF(BD48="",0,(VLOOKUP(BD48,'Diesel consumption for field op'!$B$4:$C$78,2,FALSE)*(1000/$AH48))*BE48)</f>
        <v>0</v>
      </c>
      <c r="BG48" s="90"/>
      <c r="BH48" s="109">
        <f t="shared" si="6"/>
        <v>0</v>
      </c>
      <c r="BI48" s="331"/>
      <c r="BJ48" s="99"/>
      <c r="BK48" s="5"/>
      <c r="BL48" s="90"/>
      <c r="BM48" s="331"/>
      <c r="BN48" s="81">
        <f t="shared" si="7"/>
        <v>0</v>
      </c>
      <c r="BO48" s="81">
        <f t="shared" si="8"/>
        <v>0</v>
      </c>
      <c r="BP48" s="81">
        <f t="shared" si="9"/>
        <v>0</v>
      </c>
      <c r="BQ48" s="81">
        <f t="shared" si="10"/>
        <v>0</v>
      </c>
      <c r="BR48" s="81">
        <f t="shared" si="11"/>
        <v>0</v>
      </c>
      <c r="BS48" s="88">
        <f t="shared" si="5"/>
        <v>0</v>
      </c>
    </row>
    <row r="49" spans="1:71" x14ac:dyDescent="0.3">
      <c r="A49" s="333">
        <v>45</v>
      </c>
      <c r="B49" s="5"/>
      <c r="C49" s="5"/>
      <c r="D49" s="5"/>
      <c r="E49" s="5"/>
      <c r="F49" s="5"/>
      <c r="G49" s="5"/>
      <c r="H49" s="5"/>
      <c r="I49" s="5"/>
      <c r="J49" s="5"/>
      <c r="K49" s="5"/>
      <c r="L49" s="165"/>
      <c r="M49" s="99"/>
      <c r="N49" s="90"/>
      <c r="O49" s="185"/>
      <c r="P49" s="5"/>
      <c r="Q49" s="5"/>
      <c r="R49" s="5"/>
      <c r="S49" s="5"/>
      <c r="T49" s="90"/>
      <c r="U49" s="99"/>
      <c r="V49" s="5"/>
      <c r="W49" s="90"/>
      <c r="X49" s="99"/>
      <c r="Y49" s="5"/>
      <c r="Z49" s="5"/>
      <c r="AA49" s="5"/>
      <c r="AB49" s="90"/>
      <c r="AC49" s="99"/>
      <c r="AD49" s="90"/>
      <c r="AE49" s="99"/>
      <c r="AF49" s="90"/>
      <c r="AG49" s="331"/>
      <c r="AH49" s="81" t="str">
        <f>IF($E49="","",VLOOKUP($E49,Biomass_pool_output_Tech1_modul!$A$3:$G$100,7,FALSE))</f>
        <v/>
      </c>
      <c r="AI49" s="81" t="str">
        <f>IF($E49="","",VLOOKUP($E49,Biomass_pool_output_Tech1_modul!$A$3:$G$100,2,FALSE))</f>
        <v/>
      </c>
      <c r="AJ49" s="81" t="str">
        <f>IF($E49="","",VLOOKUP($E49,Biomass_pool_output_Tech1_modul!$A$3:$G$100,3,FALSE))</f>
        <v/>
      </c>
      <c r="AK49" s="81" t="str">
        <f>IF($E49="","",VLOOKUP($E49,Biomass_pool_output_Tech1_modul!$A$3:$G$100,4,FALSE))</f>
        <v/>
      </c>
      <c r="AL49" s="81" t="str">
        <f>IF($E49="","",VLOOKUP($E49,Biomass_pool_output_Tech1_modul!$A$3:$G$100,5,FALSE))</f>
        <v/>
      </c>
      <c r="AM49" s="81" t="str">
        <f>IF($E49="","",VLOOKUP($E49,Biomass_pool_output_Tech1_modul!$A$3:$G$100,6,FALSE))</f>
        <v/>
      </c>
      <c r="AN49" s="331"/>
      <c r="AO49" s="99"/>
      <c r="AP49" s="30">
        <f>IF(AO49="",0,(VLOOKUP(AO49,'Diesel consumption for field op'!$B$4:$C$78,2,FALSE)*(1000/$AH49)))</f>
        <v>0</v>
      </c>
      <c r="AQ49" s="90"/>
      <c r="AR49" s="99"/>
      <c r="AS49" s="30">
        <f>IF(AR49="",0,(VLOOKUP(AR49,'Diesel consumption for field op'!$B$4:$C$78,2,FALSE)*(1000/$AH49)))</f>
        <v>0</v>
      </c>
      <c r="AT49" s="90"/>
      <c r="AU49" s="99"/>
      <c r="AV49" s="30">
        <f>IF(AU49="",0,(VLOOKUP(AU49,'Diesel consumption for field op'!$B$4:$C$78,2,FALSE)*(1000/$AH49)))</f>
        <v>0</v>
      </c>
      <c r="AW49" s="90"/>
      <c r="AX49" s="99"/>
      <c r="AY49" s="30">
        <f>IF(AX49="",0,(VLOOKUP(AX49,'Diesel consumption for field op'!$B$4:$C$78,2,FALSE)*(1000/$AH49)))</f>
        <v>0</v>
      </c>
      <c r="AZ49" s="90"/>
      <c r="BA49" s="99"/>
      <c r="BB49" s="30">
        <f>IF(BA49="",0,(VLOOKUP(BA49,'Diesel consumption for field op'!$B$4:$C$78,2,FALSE)*(1000/$AH49)))</f>
        <v>0</v>
      </c>
      <c r="BC49" s="90"/>
      <c r="BD49" s="99"/>
      <c r="BE49" s="5"/>
      <c r="BF49" s="103">
        <f>IF(BD49="",0,(VLOOKUP(BD49,'Diesel consumption for field op'!$B$4:$C$78,2,FALSE)*(1000/$AH49))*BE49)</f>
        <v>0</v>
      </c>
      <c r="BG49" s="90"/>
      <c r="BH49" s="109">
        <f t="shared" si="6"/>
        <v>0</v>
      </c>
      <c r="BI49" s="331"/>
      <c r="BJ49" s="99"/>
      <c r="BK49" s="5"/>
      <c r="BL49" s="90"/>
      <c r="BM49" s="331"/>
      <c r="BN49" s="81">
        <f t="shared" si="7"/>
        <v>0</v>
      </c>
      <c r="BO49" s="81">
        <f t="shared" si="8"/>
        <v>0</v>
      </c>
      <c r="BP49" s="81">
        <f t="shared" si="9"/>
        <v>0</v>
      </c>
      <c r="BQ49" s="81">
        <f t="shared" si="10"/>
        <v>0</v>
      </c>
      <c r="BR49" s="81">
        <f t="shared" si="11"/>
        <v>0</v>
      </c>
      <c r="BS49" s="88">
        <f t="shared" si="5"/>
        <v>0</v>
      </c>
    </row>
    <row r="50" spans="1:71" x14ac:dyDescent="0.3">
      <c r="A50" s="333">
        <v>46</v>
      </c>
      <c r="B50" s="5"/>
      <c r="C50" s="5"/>
      <c r="D50" s="5"/>
      <c r="E50" s="5"/>
      <c r="F50" s="5"/>
      <c r="G50" s="5"/>
      <c r="H50" s="5"/>
      <c r="I50" s="5"/>
      <c r="J50" s="5"/>
      <c r="K50" s="5"/>
      <c r="L50" s="165"/>
      <c r="M50" s="99"/>
      <c r="N50" s="90"/>
      <c r="O50" s="185"/>
      <c r="P50" s="5"/>
      <c r="Q50" s="5"/>
      <c r="R50" s="5"/>
      <c r="S50" s="5"/>
      <c r="T50" s="90"/>
      <c r="U50" s="99"/>
      <c r="V50" s="5"/>
      <c r="W50" s="90"/>
      <c r="X50" s="99"/>
      <c r="Y50" s="5"/>
      <c r="Z50" s="5"/>
      <c r="AA50" s="5"/>
      <c r="AB50" s="90"/>
      <c r="AC50" s="99"/>
      <c r="AD50" s="90"/>
      <c r="AE50" s="99"/>
      <c r="AF50" s="90"/>
      <c r="AG50" s="331"/>
      <c r="AH50" s="81" t="str">
        <f>IF($E50="","",VLOOKUP($E50,Biomass_pool_output_Tech1_modul!$A$3:$G$100,7,FALSE))</f>
        <v/>
      </c>
      <c r="AI50" s="81" t="str">
        <f>IF($E50="","",VLOOKUP($E50,Biomass_pool_output_Tech1_modul!$A$3:$G$100,2,FALSE))</f>
        <v/>
      </c>
      <c r="AJ50" s="81" t="str">
        <f>IF($E50="","",VLOOKUP($E50,Biomass_pool_output_Tech1_modul!$A$3:$G$100,3,FALSE))</f>
        <v/>
      </c>
      <c r="AK50" s="81" t="str">
        <f>IF($E50="","",VLOOKUP($E50,Biomass_pool_output_Tech1_modul!$A$3:$G$100,4,FALSE))</f>
        <v/>
      </c>
      <c r="AL50" s="81" t="str">
        <f>IF($E50="","",VLOOKUP($E50,Biomass_pool_output_Tech1_modul!$A$3:$G$100,5,FALSE))</f>
        <v/>
      </c>
      <c r="AM50" s="81" t="str">
        <f>IF($E50="","",VLOOKUP($E50,Biomass_pool_output_Tech1_modul!$A$3:$G$100,6,FALSE))</f>
        <v/>
      </c>
      <c r="AN50" s="331"/>
      <c r="AO50" s="99"/>
      <c r="AP50" s="30">
        <f>IF(AO50="",0,(VLOOKUP(AO50,'Diesel consumption for field op'!$B$4:$C$78,2,FALSE)*(1000/$AH50)))</f>
        <v>0</v>
      </c>
      <c r="AQ50" s="90"/>
      <c r="AR50" s="99"/>
      <c r="AS50" s="30">
        <f>IF(AR50="",0,(VLOOKUP(AR50,'Diesel consumption for field op'!$B$4:$C$78,2,FALSE)*(1000/$AH50)))</f>
        <v>0</v>
      </c>
      <c r="AT50" s="90"/>
      <c r="AU50" s="99"/>
      <c r="AV50" s="30">
        <f>IF(AU50="",0,(VLOOKUP(AU50,'Diesel consumption for field op'!$B$4:$C$78,2,FALSE)*(1000/$AH50)))</f>
        <v>0</v>
      </c>
      <c r="AW50" s="90"/>
      <c r="AX50" s="99"/>
      <c r="AY50" s="30">
        <f>IF(AX50="",0,(VLOOKUP(AX50,'Diesel consumption for field op'!$B$4:$C$78,2,FALSE)*(1000/$AH50)))</f>
        <v>0</v>
      </c>
      <c r="AZ50" s="90"/>
      <c r="BA50" s="99"/>
      <c r="BB50" s="30">
        <f>IF(BA50="",0,(VLOOKUP(BA50,'Diesel consumption for field op'!$B$4:$C$78,2,FALSE)*(1000/$AH50)))</f>
        <v>0</v>
      </c>
      <c r="BC50" s="90"/>
      <c r="BD50" s="99"/>
      <c r="BE50" s="5"/>
      <c r="BF50" s="103">
        <f>IF(BD50="",0,(VLOOKUP(BD50,'Diesel consumption for field op'!$B$4:$C$78,2,FALSE)*(1000/$AH50))*BE50)</f>
        <v>0</v>
      </c>
      <c r="BG50" s="90"/>
      <c r="BH50" s="109">
        <f t="shared" si="6"/>
        <v>0</v>
      </c>
      <c r="BI50" s="331"/>
      <c r="BJ50" s="99"/>
      <c r="BK50" s="5"/>
      <c r="BL50" s="90"/>
      <c r="BM50" s="331"/>
      <c r="BN50" s="81">
        <f t="shared" si="7"/>
        <v>0</v>
      </c>
      <c r="BO50" s="81">
        <f t="shared" si="8"/>
        <v>0</v>
      </c>
      <c r="BP50" s="81">
        <f t="shared" si="9"/>
        <v>0</v>
      </c>
      <c r="BQ50" s="81">
        <f t="shared" si="10"/>
        <v>0</v>
      </c>
      <c r="BR50" s="81">
        <f t="shared" si="11"/>
        <v>0</v>
      </c>
      <c r="BS50" s="88">
        <f t="shared" si="5"/>
        <v>0</v>
      </c>
    </row>
    <row r="51" spans="1:71" x14ac:dyDescent="0.3">
      <c r="A51" s="333">
        <v>47</v>
      </c>
      <c r="B51" s="5"/>
      <c r="C51" s="5"/>
      <c r="D51" s="5"/>
      <c r="E51" s="5"/>
      <c r="F51" s="5"/>
      <c r="G51" s="5"/>
      <c r="H51" s="5"/>
      <c r="I51" s="5"/>
      <c r="J51" s="5"/>
      <c r="K51" s="5"/>
      <c r="L51" s="165"/>
      <c r="M51" s="99"/>
      <c r="N51" s="90"/>
      <c r="O51" s="185"/>
      <c r="P51" s="5"/>
      <c r="Q51" s="5"/>
      <c r="R51" s="5"/>
      <c r="S51" s="5"/>
      <c r="T51" s="90"/>
      <c r="U51" s="99"/>
      <c r="V51" s="5"/>
      <c r="W51" s="90"/>
      <c r="X51" s="99"/>
      <c r="Y51" s="5"/>
      <c r="Z51" s="5"/>
      <c r="AA51" s="5"/>
      <c r="AB51" s="90"/>
      <c r="AC51" s="99"/>
      <c r="AD51" s="90"/>
      <c r="AE51" s="99"/>
      <c r="AF51" s="90"/>
      <c r="AG51" s="331"/>
      <c r="AH51" s="81" t="str">
        <f>IF($E51="","",VLOOKUP($E51,Biomass_pool_output_Tech1_modul!$A$3:$G$100,7,FALSE))</f>
        <v/>
      </c>
      <c r="AI51" s="81" t="str">
        <f>IF($E51="","",VLOOKUP($E51,Biomass_pool_output_Tech1_modul!$A$3:$G$100,2,FALSE))</f>
        <v/>
      </c>
      <c r="AJ51" s="81" t="str">
        <f>IF($E51="","",VLOOKUP($E51,Biomass_pool_output_Tech1_modul!$A$3:$G$100,3,FALSE))</f>
        <v/>
      </c>
      <c r="AK51" s="81" t="str">
        <f>IF($E51="","",VLOOKUP($E51,Biomass_pool_output_Tech1_modul!$A$3:$G$100,4,FALSE))</f>
        <v/>
      </c>
      <c r="AL51" s="81" t="str">
        <f>IF($E51="","",VLOOKUP($E51,Biomass_pool_output_Tech1_modul!$A$3:$G$100,5,FALSE))</f>
        <v/>
      </c>
      <c r="AM51" s="81" t="str">
        <f>IF($E51="","",VLOOKUP($E51,Biomass_pool_output_Tech1_modul!$A$3:$G$100,6,FALSE))</f>
        <v/>
      </c>
      <c r="AN51" s="331"/>
      <c r="AO51" s="99"/>
      <c r="AP51" s="30">
        <f>IF(AO51="",0,(VLOOKUP(AO51,'Diesel consumption for field op'!$B$4:$C$78,2,FALSE)*(1000/$AH51)))</f>
        <v>0</v>
      </c>
      <c r="AQ51" s="90"/>
      <c r="AR51" s="99"/>
      <c r="AS51" s="30">
        <f>IF(AR51="",0,(VLOOKUP(AR51,'Diesel consumption for field op'!$B$4:$C$78,2,FALSE)*(1000/$AH51)))</f>
        <v>0</v>
      </c>
      <c r="AT51" s="90"/>
      <c r="AU51" s="99"/>
      <c r="AV51" s="30">
        <f>IF(AU51="",0,(VLOOKUP(AU51,'Diesel consumption for field op'!$B$4:$C$78,2,FALSE)*(1000/$AH51)))</f>
        <v>0</v>
      </c>
      <c r="AW51" s="90"/>
      <c r="AX51" s="99"/>
      <c r="AY51" s="30">
        <f>IF(AX51="",0,(VLOOKUP(AX51,'Diesel consumption for field op'!$B$4:$C$78,2,FALSE)*(1000/$AH51)))</f>
        <v>0</v>
      </c>
      <c r="AZ51" s="90"/>
      <c r="BA51" s="99"/>
      <c r="BB51" s="30">
        <f>IF(BA51="",0,(VLOOKUP(BA51,'Diesel consumption for field op'!$B$4:$C$78,2,FALSE)*(1000/$AH51)))</f>
        <v>0</v>
      </c>
      <c r="BC51" s="90"/>
      <c r="BD51" s="99"/>
      <c r="BE51" s="5"/>
      <c r="BF51" s="103">
        <f>IF(BD51="",0,(VLOOKUP(BD51,'Diesel consumption for field op'!$B$4:$C$78,2,FALSE)*(1000/$AH51))*BE51)</f>
        <v>0</v>
      </c>
      <c r="BG51" s="90"/>
      <c r="BH51" s="109">
        <f t="shared" si="6"/>
        <v>0</v>
      </c>
      <c r="BI51" s="331"/>
      <c r="BJ51" s="99"/>
      <c r="BK51" s="5"/>
      <c r="BL51" s="90"/>
      <c r="BM51" s="331"/>
      <c r="BN51" s="81">
        <f t="shared" si="7"/>
        <v>0</v>
      </c>
      <c r="BO51" s="81">
        <f t="shared" si="8"/>
        <v>0</v>
      </c>
      <c r="BP51" s="81">
        <f t="shared" si="9"/>
        <v>0</v>
      </c>
      <c r="BQ51" s="81">
        <f t="shared" si="10"/>
        <v>0</v>
      </c>
      <c r="BR51" s="81">
        <f t="shared" si="11"/>
        <v>0</v>
      </c>
      <c r="BS51" s="88">
        <f t="shared" si="5"/>
        <v>0</v>
      </c>
    </row>
    <row r="52" spans="1:71" x14ac:dyDescent="0.3">
      <c r="A52" s="333">
        <v>48</v>
      </c>
      <c r="B52" s="5"/>
      <c r="C52" s="5"/>
      <c r="D52" s="5"/>
      <c r="E52" s="5"/>
      <c r="F52" s="5"/>
      <c r="G52" s="5"/>
      <c r="H52" s="5"/>
      <c r="I52" s="5"/>
      <c r="J52" s="5"/>
      <c r="K52" s="5"/>
      <c r="L52" s="165"/>
      <c r="M52" s="189"/>
      <c r="N52" s="190"/>
      <c r="O52" s="185"/>
      <c r="P52" s="5"/>
      <c r="Q52" s="5"/>
      <c r="R52" s="5"/>
      <c r="S52" s="5"/>
      <c r="T52" s="90"/>
      <c r="U52" s="99"/>
      <c r="V52" s="5"/>
      <c r="W52" s="90"/>
      <c r="X52" s="99"/>
      <c r="Y52" s="5"/>
      <c r="Z52" s="5"/>
      <c r="AA52" s="5"/>
      <c r="AB52" s="90"/>
      <c r="AC52" s="99"/>
      <c r="AD52" s="90"/>
      <c r="AE52" s="99"/>
      <c r="AF52" s="90"/>
      <c r="AG52" s="331"/>
      <c r="AH52" s="81" t="str">
        <f>IF($E52="","",VLOOKUP($E52,Biomass_pool_output_Tech1_modul!$A$3:$G$100,7,FALSE))</f>
        <v/>
      </c>
      <c r="AI52" s="81" t="str">
        <f>IF($E52="","",VLOOKUP($E52,Biomass_pool_output_Tech1_modul!$A$3:$G$100,2,FALSE))</f>
        <v/>
      </c>
      <c r="AJ52" s="81" t="str">
        <f>IF($E52="","",VLOOKUP($E52,Biomass_pool_output_Tech1_modul!$A$3:$G$100,3,FALSE))</f>
        <v/>
      </c>
      <c r="AK52" s="81" t="str">
        <f>IF($E52="","",VLOOKUP($E52,Biomass_pool_output_Tech1_modul!$A$3:$G$100,4,FALSE))</f>
        <v/>
      </c>
      <c r="AL52" s="81" t="str">
        <f>IF($E52="","",VLOOKUP($E52,Biomass_pool_output_Tech1_modul!$A$3:$G$100,5,FALSE))</f>
        <v/>
      </c>
      <c r="AM52" s="81" t="str">
        <f>IF($E52="","",VLOOKUP($E52,Biomass_pool_output_Tech1_modul!$A$3:$G$100,6,FALSE))</f>
        <v/>
      </c>
      <c r="AN52" s="331"/>
      <c r="AO52" s="99"/>
      <c r="AP52" s="30">
        <f>IF(AO52="",0,(VLOOKUP(AO52,'Diesel consumption for field op'!$B$4:$C$78,2,FALSE)*(1000/$AH52)))</f>
        <v>0</v>
      </c>
      <c r="AQ52" s="90"/>
      <c r="AR52" s="99"/>
      <c r="AS52" s="30">
        <f>IF(AR52="",0,(VLOOKUP(AR52,'Diesel consumption for field op'!$B$4:$C$78,2,FALSE)*(1000/$AH52)))</f>
        <v>0</v>
      </c>
      <c r="AT52" s="90"/>
      <c r="AU52" s="99"/>
      <c r="AV52" s="30">
        <f>IF(AU52="",0,(VLOOKUP(AU52,'Diesel consumption for field op'!$B$4:$C$78,2,FALSE)*(1000/$AH52)))</f>
        <v>0</v>
      </c>
      <c r="AW52" s="90"/>
      <c r="AX52" s="99"/>
      <c r="AY52" s="30">
        <f>IF(AX52="",0,(VLOOKUP(AX52,'Diesel consumption for field op'!$B$4:$C$78,2,FALSE)*(1000/$AH52)))</f>
        <v>0</v>
      </c>
      <c r="AZ52" s="90"/>
      <c r="BA52" s="99"/>
      <c r="BB52" s="30">
        <f>IF(BA52="",0,(VLOOKUP(BA52,'Diesel consumption for field op'!$B$4:$C$78,2,FALSE)*(1000/$AH52)))</f>
        <v>0</v>
      </c>
      <c r="BC52" s="90"/>
      <c r="BD52" s="99"/>
      <c r="BE52" s="5"/>
      <c r="BF52" s="103">
        <f>IF(BD52="",0,(VLOOKUP(BD52,'Diesel consumption for field op'!$B$4:$C$78,2,FALSE)*(1000/$AH52))*BE52)</f>
        <v>0</v>
      </c>
      <c r="BG52" s="90"/>
      <c r="BH52" s="109">
        <f t="shared" si="6"/>
        <v>0</v>
      </c>
      <c r="BI52" s="331"/>
      <c r="BJ52" s="99"/>
      <c r="BK52" s="5"/>
      <c r="BL52" s="90"/>
      <c r="BM52" s="331"/>
      <c r="BN52" s="81">
        <f t="shared" si="7"/>
        <v>0</v>
      </c>
      <c r="BO52" s="81">
        <f t="shared" si="8"/>
        <v>0</v>
      </c>
      <c r="BP52" s="81">
        <f t="shared" si="9"/>
        <v>0</v>
      </c>
      <c r="BQ52" s="81">
        <f t="shared" si="10"/>
        <v>0</v>
      </c>
      <c r="BR52" s="81">
        <f t="shared" si="11"/>
        <v>0</v>
      </c>
      <c r="BS52" s="88">
        <f t="shared" si="5"/>
        <v>0</v>
      </c>
    </row>
    <row r="53" spans="1:71" x14ac:dyDescent="0.3">
      <c r="A53" s="333">
        <v>49</v>
      </c>
      <c r="B53" s="5"/>
      <c r="C53" s="5"/>
      <c r="D53" s="5"/>
      <c r="E53" s="5"/>
      <c r="F53" s="5"/>
      <c r="G53" s="5"/>
      <c r="H53" s="5"/>
      <c r="I53" s="5"/>
      <c r="J53" s="5"/>
      <c r="K53" s="5"/>
      <c r="L53" s="165"/>
      <c r="M53" s="99"/>
      <c r="N53" s="90"/>
      <c r="O53" s="185"/>
      <c r="P53" s="5"/>
      <c r="Q53" s="5"/>
      <c r="R53" s="5"/>
      <c r="S53" s="5"/>
      <c r="T53" s="90"/>
      <c r="U53" s="99"/>
      <c r="V53" s="5"/>
      <c r="W53" s="90"/>
      <c r="X53" s="99"/>
      <c r="Y53" s="5"/>
      <c r="Z53" s="5"/>
      <c r="AA53" s="5"/>
      <c r="AB53" s="90"/>
      <c r="AC53" s="99"/>
      <c r="AD53" s="90"/>
      <c r="AE53" s="99"/>
      <c r="AF53" s="90"/>
      <c r="AG53" s="331"/>
      <c r="AH53" s="81" t="str">
        <f>IF($E53="","",VLOOKUP($E53,Biomass_pool_output_Tech1_modul!$A$3:$G$100,7,FALSE))</f>
        <v/>
      </c>
      <c r="AI53" s="81" t="str">
        <f>IF($E53="","",VLOOKUP($E53,Biomass_pool_output_Tech1_modul!$A$3:$G$100,2,FALSE))</f>
        <v/>
      </c>
      <c r="AJ53" s="81" t="str">
        <f>IF($E53="","",VLOOKUP($E53,Biomass_pool_output_Tech1_modul!$A$3:$G$100,3,FALSE))</f>
        <v/>
      </c>
      <c r="AK53" s="81" t="str">
        <f>IF($E53="","",VLOOKUP($E53,Biomass_pool_output_Tech1_modul!$A$3:$G$100,4,FALSE))</f>
        <v/>
      </c>
      <c r="AL53" s="81" t="str">
        <f>IF($E53="","",VLOOKUP($E53,Biomass_pool_output_Tech1_modul!$A$3:$G$100,5,FALSE))</f>
        <v/>
      </c>
      <c r="AM53" s="81" t="str">
        <f>IF($E53="","",VLOOKUP($E53,Biomass_pool_output_Tech1_modul!$A$3:$G$100,6,FALSE))</f>
        <v/>
      </c>
      <c r="AN53" s="331"/>
      <c r="AO53" s="99"/>
      <c r="AP53" s="30">
        <f>IF(AO53="",0,(VLOOKUP(AO53,'Diesel consumption for field op'!$B$4:$C$78,2,FALSE)*(1000/$AH53)))</f>
        <v>0</v>
      </c>
      <c r="AQ53" s="90"/>
      <c r="AR53" s="99"/>
      <c r="AS53" s="30">
        <f>IF(AR53="",0,(VLOOKUP(AR53,'Diesel consumption for field op'!$B$4:$C$78,2,FALSE)*(1000/$AH53)))</f>
        <v>0</v>
      </c>
      <c r="AT53" s="90"/>
      <c r="AU53" s="99"/>
      <c r="AV53" s="30">
        <f>IF(AU53="",0,(VLOOKUP(AU53,'Diesel consumption for field op'!$B$4:$C$78,2,FALSE)*(1000/$AH53)))</f>
        <v>0</v>
      </c>
      <c r="AW53" s="90"/>
      <c r="AX53" s="99"/>
      <c r="AY53" s="30">
        <f>IF(AX53="",0,(VLOOKUP(AX53,'Diesel consumption for field op'!$B$4:$C$78,2,FALSE)*(1000/$AH53)))</f>
        <v>0</v>
      </c>
      <c r="AZ53" s="90"/>
      <c r="BA53" s="99"/>
      <c r="BB53" s="30">
        <f>IF(BA53="",0,(VLOOKUP(BA53,'Diesel consumption for field op'!$B$4:$C$78,2,FALSE)*(1000/$AH53)))</f>
        <v>0</v>
      </c>
      <c r="BC53" s="90"/>
      <c r="BD53" s="99"/>
      <c r="BE53" s="5"/>
      <c r="BF53" s="103">
        <f>IF(BD53="",0,(VLOOKUP(BD53,'Diesel consumption for field op'!$B$4:$C$78,2,FALSE)*(1000/$AH53))*BE53)</f>
        <v>0</v>
      </c>
      <c r="BG53" s="90"/>
      <c r="BH53" s="109">
        <f t="shared" si="6"/>
        <v>0</v>
      </c>
      <c r="BI53" s="331"/>
      <c r="BJ53" s="99"/>
      <c r="BK53" s="5"/>
      <c r="BL53" s="90"/>
      <c r="BM53" s="331"/>
      <c r="BN53" s="81">
        <f t="shared" si="7"/>
        <v>0</v>
      </c>
      <c r="BO53" s="81">
        <f t="shared" si="8"/>
        <v>0</v>
      </c>
      <c r="BP53" s="81">
        <f t="shared" si="9"/>
        <v>0</v>
      </c>
      <c r="BQ53" s="81">
        <f t="shared" si="10"/>
        <v>0</v>
      </c>
      <c r="BR53" s="81">
        <f t="shared" si="11"/>
        <v>0</v>
      </c>
      <c r="BS53" s="88">
        <f t="shared" si="5"/>
        <v>0</v>
      </c>
    </row>
    <row r="54" spans="1:71" ht="15" thickBot="1" x14ac:dyDescent="0.35">
      <c r="A54" s="334">
        <v>50</v>
      </c>
      <c r="B54" s="101"/>
      <c r="C54" s="101"/>
      <c r="D54" s="101"/>
      <c r="E54" s="101"/>
      <c r="F54" s="101"/>
      <c r="G54" s="101"/>
      <c r="H54" s="101"/>
      <c r="I54" s="101"/>
      <c r="J54" s="101"/>
      <c r="K54" s="101"/>
      <c r="L54" s="290"/>
      <c r="M54" s="192"/>
      <c r="N54" s="193"/>
      <c r="O54" s="191"/>
      <c r="P54" s="101"/>
      <c r="Q54" s="101"/>
      <c r="R54" s="101"/>
      <c r="S54" s="101"/>
      <c r="T54" s="102"/>
      <c r="U54" s="100"/>
      <c r="V54" s="101"/>
      <c r="W54" s="102"/>
      <c r="X54" s="100"/>
      <c r="Y54" s="101"/>
      <c r="Z54" s="101"/>
      <c r="AA54" s="101"/>
      <c r="AB54" s="102"/>
      <c r="AC54" s="100"/>
      <c r="AD54" s="102"/>
      <c r="AE54" s="100"/>
      <c r="AF54" s="102"/>
      <c r="AG54" s="335"/>
      <c r="AH54" s="336" t="str">
        <f>IF($E54="","",VLOOKUP($E54,Biomass_pool_output_Tech1_modul!$A$3:$G$100,7,FALSE))</f>
        <v/>
      </c>
      <c r="AI54" s="336" t="str">
        <f>IF($E54="","",VLOOKUP($E54,Biomass_pool_output_Tech1_modul!$A$3:$G$100,2,FALSE))</f>
        <v/>
      </c>
      <c r="AJ54" s="336" t="str">
        <f>IF($E54="","",VLOOKUP($E54,Biomass_pool_output_Tech1_modul!$A$3:$G$100,3,FALSE))</f>
        <v/>
      </c>
      <c r="AK54" s="336" t="str">
        <f>IF($E54="","",VLOOKUP($E54,Biomass_pool_output_Tech1_modul!$A$3:$G$100,4,FALSE))</f>
        <v/>
      </c>
      <c r="AL54" s="336" t="str">
        <f>IF($E54="","",VLOOKUP($E54,Biomass_pool_output_Tech1_modul!$A$3:$G$100,5,FALSE))</f>
        <v/>
      </c>
      <c r="AM54" s="336" t="str">
        <f>IF($E54="","",VLOOKUP($E54,Biomass_pool_output_Tech1_modul!$A$3:$G$100,6,FALSE))</f>
        <v/>
      </c>
      <c r="AN54" s="335"/>
      <c r="AO54" s="100"/>
      <c r="AP54" s="107">
        <f>IF(AO54="",0,(VLOOKUP(AO54,'Diesel consumption for field op'!$B$4:$C$78,2,FALSE)*(1000/$AH54)))</f>
        <v>0</v>
      </c>
      <c r="AQ54" s="102"/>
      <c r="AR54" s="100"/>
      <c r="AS54" s="107">
        <f>IF(AR54="",0,(VLOOKUP(AR54,'Diesel consumption for field op'!$B$4:$C$78,2,FALSE)*(1000/$AH54)))</f>
        <v>0</v>
      </c>
      <c r="AT54" s="102"/>
      <c r="AU54" s="100"/>
      <c r="AV54" s="107">
        <f>IF(AU54="",0,(VLOOKUP(AU54,'Diesel consumption for field op'!$B$4:$C$78,2,FALSE)*(1000/$AH54)))</f>
        <v>0</v>
      </c>
      <c r="AW54" s="102"/>
      <c r="AX54" s="100"/>
      <c r="AY54" s="107">
        <f>IF(AX54="",0,(VLOOKUP(AX54,'Diesel consumption for field op'!$B$4:$C$78,2,FALSE)*(1000/$AH54)))</f>
        <v>0</v>
      </c>
      <c r="AZ54" s="102"/>
      <c r="BA54" s="100"/>
      <c r="BB54" s="107">
        <f>IF(BA54="",0,(VLOOKUP(BA54,'Diesel consumption for field op'!$B$4:$C$78,2,FALSE)*(1000/$AH54)))</f>
        <v>0</v>
      </c>
      <c r="BC54" s="102"/>
      <c r="BD54" s="100"/>
      <c r="BE54" s="101"/>
      <c r="BF54" s="337">
        <f>IF(BD54="",0,(VLOOKUP(BD54,'Diesel consumption for field op'!$B$4:$C$78,2,FALSE)*(1000/$AH54))*BE54)</f>
        <v>0</v>
      </c>
      <c r="BG54" s="102"/>
      <c r="BH54" s="338">
        <f t="shared" si="6"/>
        <v>0</v>
      </c>
      <c r="BI54" s="335"/>
      <c r="BJ54" s="100"/>
      <c r="BK54" s="101"/>
      <c r="BL54" s="102"/>
      <c r="BM54" s="335"/>
      <c r="BN54" s="336">
        <f t="shared" si="7"/>
        <v>0</v>
      </c>
      <c r="BO54" s="336">
        <f t="shared" si="8"/>
        <v>0</v>
      </c>
      <c r="BP54" s="336">
        <f t="shared" si="9"/>
        <v>0</v>
      </c>
      <c r="BQ54" s="336">
        <f t="shared" si="10"/>
        <v>0</v>
      </c>
      <c r="BR54" s="336">
        <f t="shared" si="11"/>
        <v>0</v>
      </c>
      <c r="BS54" s="339">
        <f t="shared" si="5"/>
        <v>0</v>
      </c>
    </row>
  </sheetData>
  <mergeCells count="11">
    <mergeCell ref="BN3:BS3"/>
    <mergeCell ref="A3:E3"/>
    <mergeCell ref="F3:K3"/>
    <mergeCell ref="U3:W3"/>
    <mergeCell ref="X3:AB3"/>
    <mergeCell ref="AO3:BH3"/>
    <mergeCell ref="AO2:BL2"/>
    <mergeCell ref="BJ3:BL3"/>
    <mergeCell ref="AC3:AD3"/>
    <mergeCell ref="AE3:AF3"/>
    <mergeCell ref="AH3:AM3"/>
  </mergeCells>
  <phoneticPr fontId="26" type="noConversion"/>
  <dataValidations count="2">
    <dataValidation type="list" allowBlank="1" showInputMessage="1" showErrorMessage="1" sqref="AQ5:AQ54 AT5:AT54 AW5:AW54 AZ5:AZ54 BC5:BC54 BG5:BG54 BK5:BK54" xr:uid="{00000000-0002-0000-0D00-000000000000}">
      <formula1>"-1,1"</formula1>
    </dataValidation>
    <dataValidation type="list" allowBlank="1" showInputMessage="1" showErrorMessage="1" sqref="M5:M54" xr:uid="{00000000-0002-0000-0D00-000001000000}">
      <formula1>"Ja, Nej"</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D00-000002000000}">
          <x14:formula1>
            <xm:f>Other_tables!$AI$5:$AI$266</xm:f>
          </x14:formula1>
          <xm:sqref>C5:C54</xm:sqref>
        </x14:dataValidation>
        <x14:dataValidation type="list" allowBlank="1" showInputMessage="1" showErrorMessage="1" xr:uid="{00000000-0002-0000-0D00-000003000000}">
          <x14:formula1>
            <xm:f>Biomass_pool_output_Tech1_modul!$A$3:$A$100</xm:f>
          </x14:formula1>
          <xm:sqref>E5:E54</xm:sqref>
        </x14:dataValidation>
        <x14:dataValidation type="list" allowBlank="1" showInputMessage="1" showErrorMessage="1" xr:uid="{00000000-0002-0000-0D00-000004000000}">
          <x14:formula1>
            <xm:f>'Diesel consumption for field op'!$B$4:$B$78</xm:f>
          </x14:formula1>
          <xm:sqref>BD5:BD54 AU5:AU54 AR5:AR54 AX5:AX54 BA5:BA54 AO5:AO54</xm:sqref>
        </x14:dataValidation>
        <x14:dataValidation type="list" allowBlank="1" showInputMessage="1" showErrorMessage="1" xr:uid="{00000000-0002-0000-0D00-000005000000}">
          <x14:formula1>
            <xm:f>'Processed products'!$AJ$5:$AJ$250</xm:f>
          </x14:formula1>
          <xm:sqref>N5:N54</xm:sqref>
        </x14:dataValidation>
        <x14:dataValidation type="list" allowBlank="1" showInputMessage="1" showErrorMessage="1" xr:uid="{8968242A-C148-43A7-89E6-8A0BE7B1FCDB}">
          <x14:formula1>
            <xm:f>'Imported products'!$B$5:$B$54</xm:f>
          </x14:formula1>
          <xm:sqref>BJ5:BJ54</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249977111117893"/>
  </sheetPr>
  <dimension ref="A1:W43"/>
  <sheetViews>
    <sheetView topLeftCell="H1" workbookViewId="0">
      <selection activeCell="N40" sqref="N40"/>
    </sheetView>
  </sheetViews>
  <sheetFormatPr defaultRowHeight="14.4" x14ac:dyDescent="0.3"/>
  <cols>
    <col min="1" max="1" width="29.5546875" bestFit="1" customWidth="1"/>
    <col min="2" max="2" width="32.33203125" bestFit="1" customWidth="1"/>
    <col min="3" max="4" width="18.6640625" customWidth="1"/>
    <col min="5" max="5" width="106.6640625" bestFit="1" customWidth="1"/>
    <col min="6" max="6" width="29.88671875" bestFit="1" customWidth="1"/>
    <col min="7" max="7" width="32.33203125" bestFit="1" customWidth="1"/>
    <col min="8" max="10" width="10.6640625" customWidth="1"/>
    <col min="11" max="11" width="22.5546875" bestFit="1" customWidth="1"/>
    <col min="13" max="13" width="27.109375" bestFit="1" customWidth="1"/>
    <col min="14" max="14" width="118.33203125" bestFit="1" customWidth="1"/>
    <col min="15" max="15" width="18.109375" bestFit="1" customWidth="1"/>
    <col min="16" max="16" width="12.88671875" bestFit="1" customWidth="1"/>
    <col min="17" max="17" width="106.6640625" bestFit="1" customWidth="1"/>
    <col min="18" max="18" width="122.6640625" bestFit="1" customWidth="1"/>
    <col min="19" max="19" width="118.33203125" bestFit="1" customWidth="1"/>
    <col min="20" max="22" width="25.6640625" customWidth="1"/>
    <col min="23" max="23" width="118.33203125" bestFit="1" customWidth="1"/>
  </cols>
  <sheetData>
    <row r="1" spans="1:23" ht="32.4" x14ac:dyDescent="0.6">
      <c r="A1" s="2" t="s">
        <v>1652</v>
      </c>
      <c r="M1" s="2" t="s">
        <v>1653</v>
      </c>
    </row>
    <row r="2" spans="1:23" ht="15.6" x14ac:dyDescent="0.3">
      <c r="A2" s="161" t="s">
        <v>1639</v>
      </c>
      <c r="B2" s="162"/>
      <c r="C2" s="163"/>
      <c r="D2" s="163"/>
      <c r="E2" s="162"/>
      <c r="F2" s="304" t="s">
        <v>1645</v>
      </c>
      <c r="G2" s="304"/>
      <c r="H2" s="304"/>
      <c r="I2" s="304"/>
      <c r="J2" s="304"/>
      <c r="K2" s="304"/>
      <c r="M2" s="161" t="s">
        <v>1646</v>
      </c>
      <c r="N2" s="162"/>
      <c r="O2" s="163"/>
      <c r="P2" s="163"/>
      <c r="Q2" s="162"/>
      <c r="R2" s="304" t="s">
        <v>1647</v>
      </c>
      <c r="S2" s="304"/>
      <c r="T2" s="304"/>
      <c r="U2" s="304"/>
      <c r="V2" s="304"/>
      <c r="W2" s="304"/>
    </row>
    <row r="3" spans="1:23" ht="15.6" x14ac:dyDescent="0.3">
      <c r="A3" s="14" t="s">
        <v>1640</v>
      </c>
      <c r="B3" s="14" t="s">
        <v>1641</v>
      </c>
      <c r="C3" s="10" t="s">
        <v>1642</v>
      </c>
      <c r="D3" s="14" t="s">
        <v>1643</v>
      </c>
      <c r="E3" s="10" t="s">
        <v>1644</v>
      </c>
      <c r="F3" s="66" t="s">
        <v>132</v>
      </c>
      <c r="G3" s="66" t="s">
        <v>62</v>
      </c>
      <c r="H3" s="66" t="s">
        <v>63</v>
      </c>
      <c r="I3" s="66" t="s">
        <v>64</v>
      </c>
      <c r="J3" s="66" t="s">
        <v>65</v>
      </c>
      <c r="K3" s="66" t="s">
        <v>66</v>
      </c>
      <c r="M3" s="14" t="s">
        <v>1640</v>
      </c>
      <c r="N3" s="14" t="s">
        <v>1641</v>
      </c>
      <c r="O3" s="10" t="s">
        <v>1642</v>
      </c>
      <c r="P3" s="14" t="s">
        <v>1643</v>
      </c>
      <c r="Q3" s="10" t="s">
        <v>1644</v>
      </c>
      <c r="R3" s="66" t="s">
        <v>132</v>
      </c>
      <c r="S3" s="66" t="s">
        <v>62</v>
      </c>
      <c r="T3" s="66" t="s">
        <v>63</v>
      </c>
      <c r="U3" s="66" t="s">
        <v>64</v>
      </c>
      <c r="V3" s="66" t="s">
        <v>65</v>
      </c>
      <c r="W3" s="66" t="s">
        <v>66</v>
      </c>
    </row>
    <row r="4" spans="1:23" x14ac:dyDescent="0.3">
      <c r="A4" s="11" t="s">
        <v>233</v>
      </c>
      <c r="B4" s="23" t="s">
        <v>282</v>
      </c>
      <c r="C4" s="23" t="s">
        <v>281</v>
      </c>
      <c r="D4" s="23" t="s">
        <v>238</v>
      </c>
      <c r="E4" s="23" t="s">
        <v>289</v>
      </c>
      <c r="F4" s="23" t="s">
        <v>316</v>
      </c>
      <c r="G4" s="23" t="s">
        <v>282</v>
      </c>
      <c r="H4" s="23">
        <v>0</v>
      </c>
      <c r="I4" s="23">
        <v>0</v>
      </c>
      <c r="J4" s="23">
        <v>0</v>
      </c>
      <c r="K4" s="23" t="s">
        <v>283</v>
      </c>
      <c r="M4" s="11" t="s">
        <v>233</v>
      </c>
      <c r="N4" s="23" t="s">
        <v>288</v>
      </c>
      <c r="O4" s="23" t="s">
        <v>275</v>
      </c>
      <c r="P4" s="23" t="s">
        <v>879</v>
      </c>
      <c r="Q4" s="23" t="s">
        <v>289</v>
      </c>
      <c r="R4" s="23" t="s">
        <v>315</v>
      </c>
      <c r="S4" s="23" t="s">
        <v>288</v>
      </c>
      <c r="T4" s="23">
        <v>0</v>
      </c>
      <c r="U4" s="23">
        <v>0</v>
      </c>
      <c r="V4" s="23">
        <v>0</v>
      </c>
      <c r="W4" s="23" t="s">
        <v>290</v>
      </c>
    </row>
    <row r="5" spans="1:23" x14ac:dyDescent="0.3">
      <c r="A5" s="11" t="s">
        <v>719</v>
      </c>
      <c r="B5" s="23" t="s">
        <v>416</v>
      </c>
      <c r="C5" s="23" t="s">
        <v>281</v>
      </c>
      <c r="D5" s="23" t="s">
        <v>238</v>
      </c>
      <c r="E5" s="23" t="s">
        <v>289</v>
      </c>
      <c r="F5" s="23" t="s">
        <v>417</v>
      </c>
      <c r="G5" s="23" t="s">
        <v>416</v>
      </c>
      <c r="H5" s="23">
        <v>0</v>
      </c>
      <c r="I5" s="23">
        <v>0</v>
      </c>
      <c r="J5" s="23">
        <v>0</v>
      </c>
      <c r="K5" s="23" t="s">
        <v>418</v>
      </c>
      <c r="M5" s="11" t="s">
        <v>724</v>
      </c>
      <c r="N5" s="23" t="s">
        <v>471</v>
      </c>
      <c r="O5" s="23" t="s">
        <v>275</v>
      </c>
      <c r="P5" s="23" t="s">
        <v>879</v>
      </c>
      <c r="Q5" s="23" t="s">
        <v>289</v>
      </c>
      <c r="R5" s="23" t="s">
        <v>472</v>
      </c>
      <c r="S5" s="23" t="s">
        <v>471</v>
      </c>
      <c r="T5" s="23">
        <v>0</v>
      </c>
      <c r="U5" s="23">
        <v>0</v>
      </c>
      <c r="V5" s="23">
        <v>0</v>
      </c>
      <c r="W5" s="23" t="s">
        <v>473</v>
      </c>
    </row>
    <row r="6" spans="1:23" x14ac:dyDescent="0.3">
      <c r="A6" s="11" t="s">
        <v>415</v>
      </c>
      <c r="B6" s="23" t="s">
        <v>300</v>
      </c>
      <c r="C6" s="23" t="s">
        <v>281</v>
      </c>
      <c r="D6" s="23" t="s">
        <v>238</v>
      </c>
      <c r="E6" s="23" t="s">
        <v>474</v>
      </c>
      <c r="F6" s="23" t="s">
        <v>317</v>
      </c>
      <c r="G6" s="23" t="s">
        <v>300</v>
      </c>
      <c r="H6" s="23">
        <v>0</v>
      </c>
      <c r="I6" s="23">
        <v>0</v>
      </c>
      <c r="J6" s="23">
        <v>0</v>
      </c>
      <c r="K6" s="23" t="s">
        <v>301</v>
      </c>
      <c r="M6" s="11" t="s">
        <v>738</v>
      </c>
      <c r="N6" s="23" t="s">
        <v>676</v>
      </c>
      <c r="O6" s="23" t="s">
        <v>275</v>
      </c>
      <c r="P6" s="23" t="s">
        <v>879</v>
      </c>
      <c r="Q6" s="23" t="s">
        <v>474</v>
      </c>
      <c r="R6" s="23" t="s">
        <v>677</v>
      </c>
      <c r="S6" s="23" t="s">
        <v>676</v>
      </c>
      <c r="T6" s="23">
        <v>0</v>
      </c>
      <c r="U6" s="23">
        <v>0</v>
      </c>
      <c r="V6" s="23">
        <v>0</v>
      </c>
      <c r="W6" s="23" t="s">
        <v>675</v>
      </c>
    </row>
    <row r="7" spans="1:23" x14ac:dyDescent="0.3">
      <c r="A7" s="11" t="s">
        <v>527</v>
      </c>
      <c r="B7" s="23" t="s">
        <v>528</v>
      </c>
      <c r="C7" s="23" t="s">
        <v>281</v>
      </c>
      <c r="D7" s="23" t="s">
        <v>238</v>
      </c>
      <c r="E7" s="23" t="s">
        <v>289</v>
      </c>
      <c r="F7" s="23" t="s">
        <v>529</v>
      </c>
      <c r="G7" s="23" t="s">
        <v>528</v>
      </c>
      <c r="H7" s="23">
        <v>0</v>
      </c>
      <c r="I7" s="23">
        <v>0</v>
      </c>
      <c r="J7" s="23">
        <v>0</v>
      </c>
      <c r="K7" s="23" t="s">
        <v>530</v>
      </c>
      <c r="M7" s="11" t="s">
        <v>758</v>
      </c>
      <c r="N7" s="23" t="s">
        <v>482</v>
      </c>
      <c r="O7" s="23" t="s">
        <v>275</v>
      </c>
      <c r="P7" s="23" t="s">
        <v>879</v>
      </c>
      <c r="Q7" s="23" t="s">
        <v>474</v>
      </c>
      <c r="R7" s="23" t="s">
        <v>483</v>
      </c>
      <c r="S7" s="23" t="s">
        <v>482</v>
      </c>
      <c r="T7" s="23">
        <v>0</v>
      </c>
      <c r="U7" s="23">
        <v>0</v>
      </c>
      <c r="V7" s="23">
        <v>0</v>
      </c>
      <c r="W7" s="23" t="s">
        <v>484</v>
      </c>
    </row>
    <row r="8" spans="1:23" x14ac:dyDescent="0.3">
      <c r="A8" s="11" t="s">
        <v>571</v>
      </c>
      <c r="B8" s="23" t="s">
        <v>572</v>
      </c>
      <c r="C8" s="23" t="s">
        <v>281</v>
      </c>
      <c r="D8" s="23" t="s">
        <v>238</v>
      </c>
      <c r="E8" s="23" t="s">
        <v>474</v>
      </c>
      <c r="F8" s="23" t="s">
        <v>573</v>
      </c>
      <c r="G8" s="23" t="s">
        <v>572</v>
      </c>
      <c r="H8" s="23">
        <v>0</v>
      </c>
      <c r="I8" s="23">
        <v>0</v>
      </c>
      <c r="J8" s="23">
        <v>0</v>
      </c>
      <c r="K8" s="23" t="s">
        <v>574</v>
      </c>
      <c r="M8" s="11" t="s">
        <v>531</v>
      </c>
      <c r="N8" s="23" t="s">
        <v>532</v>
      </c>
      <c r="O8" s="23" t="s">
        <v>275</v>
      </c>
      <c r="P8" s="23" t="s">
        <v>879</v>
      </c>
      <c r="Q8" s="23" t="s">
        <v>289</v>
      </c>
      <c r="R8" s="23" t="s">
        <v>533</v>
      </c>
      <c r="S8" s="23" t="s">
        <v>532</v>
      </c>
      <c r="T8" s="23">
        <v>0</v>
      </c>
      <c r="U8" s="23">
        <v>0</v>
      </c>
      <c r="V8" s="23">
        <v>0</v>
      </c>
      <c r="W8" s="23" t="s">
        <v>534</v>
      </c>
    </row>
    <row r="9" spans="1:23" x14ac:dyDescent="0.3">
      <c r="A9" s="11" t="s">
        <v>720</v>
      </c>
      <c r="B9" s="23" t="s">
        <v>721</v>
      </c>
      <c r="C9" s="23" t="s">
        <v>281</v>
      </c>
      <c r="D9" s="23" t="s">
        <v>238</v>
      </c>
      <c r="E9" s="23" t="s">
        <v>289</v>
      </c>
      <c r="F9" s="23" t="s">
        <v>722</v>
      </c>
      <c r="G9" s="23" t="s">
        <v>721</v>
      </c>
      <c r="H9" s="23">
        <v>0</v>
      </c>
      <c r="I9" s="23">
        <v>0</v>
      </c>
      <c r="J9" s="23">
        <v>0</v>
      </c>
      <c r="K9" s="23" t="s">
        <v>723</v>
      </c>
      <c r="M9" s="11" t="s">
        <v>571</v>
      </c>
      <c r="N9" s="23" t="s">
        <v>575</v>
      </c>
      <c r="O9" s="23" t="s">
        <v>275</v>
      </c>
      <c r="P9" s="23" t="s">
        <v>879</v>
      </c>
      <c r="Q9" s="23" t="s">
        <v>474</v>
      </c>
      <c r="R9" s="23" t="s">
        <v>576</v>
      </c>
      <c r="S9" s="23" t="s">
        <v>575</v>
      </c>
      <c r="T9" s="23">
        <v>0</v>
      </c>
      <c r="U9" s="23">
        <v>0</v>
      </c>
      <c r="V9" s="23">
        <v>0</v>
      </c>
      <c r="W9" s="23" t="s">
        <v>577</v>
      </c>
    </row>
    <row r="10" spans="1:23" x14ac:dyDescent="0.3">
      <c r="A10" s="11"/>
      <c r="B10" s="23"/>
      <c r="C10" s="23"/>
      <c r="D10" s="23"/>
      <c r="E10" s="5"/>
      <c r="F10" s="5"/>
      <c r="G10" s="5"/>
      <c r="H10" s="5"/>
      <c r="I10" s="5"/>
      <c r="J10" s="5"/>
      <c r="K10" s="5"/>
      <c r="M10" s="11" t="s">
        <v>725</v>
      </c>
      <c r="N10" s="23" t="s">
        <v>726</v>
      </c>
      <c r="O10" s="23" t="s">
        <v>275</v>
      </c>
      <c r="P10" s="23" t="s">
        <v>879</v>
      </c>
      <c r="Q10" s="23" t="s">
        <v>289</v>
      </c>
      <c r="R10" s="23" t="s">
        <v>727</v>
      </c>
      <c r="S10" s="23" t="s">
        <v>726</v>
      </c>
      <c r="T10" s="23">
        <v>0</v>
      </c>
      <c r="U10" s="23">
        <v>0</v>
      </c>
      <c r="V10" s="23">
        <v>0</v>
      </c>
      <c r="W10" s="23" t="s">
        <v>728</v>
      </c>
    </row>
    <row r="11" spans="1:23" x14ac:dyDescent="0.3">
      <c r="A11" s="11"/>
      <c r="B11" s="23"/>
      <c r="C11" s="23"/>
      <c r="D11" s="23"/>
      <c r="E11" s="5"/>
      <c r="F11" s="5"/>
      <c r="G11" s="23"/>
      <c r="H11" s="5"/>
      <c r="I11" s="5"/>
      <c r="J11" s="5"/>
      <c r="K11" s="5"/>
      <c r="M11" s="11" t="s">
        <v>739</v>
      </c>
      <c r="N11" s="23" t="s">
        <v>756</v>
      </c>
      <c r="O11" s="23" t="s">
        <v>275</v>
      </c>
      <c r="P11" s="23" t="s">
        <v>879</v>
      </c>
      <c r="Q11" s="23" t="s">
        <v>474</v>
      </c>
      <c r="R11" s="23" t="s">
        <v>778</v>
      </c>
      <c r="S11" s="23" t="s">
        <v>756</v>
      </c>
      <c r="T11" s="23">
        <v>0</v>
      </c>
      <c r="U11" s="23">
        <v>0</v>
      </c>
      <c r="V11" s="23">
        <v>0</v>
      </c>
      <c r="W11" s="23" t="s">
        <v>779</v>
      </c>
    </row>
    <row r="12" spans="1:23" x14ac:dyDescent="0.3">
      <c r="A12" s="11"/>
      <c r="B12" s="23"/>
      <c r="C12" s="23"/>
      <c r="D12" s="23"/>
      <c r="E12" s="5"/>
      <c r="F12" s="5"/>
      <c r="G12" s="23"/>
      <c r="H12" s="5"/>
      <c r="I12" s="5"/>
      <c r="J12" s="5"/>
      <c r="K12" s="5"/>
      <c r="M12" s="11" t="s">
        <v>757</v>
      </c>
      <c r="N12" s="23" t="s">
        <v>759</v>
      </c>
      <c r="O12" s="23" t="s">
        <v>275</v>
      </c>
      <c r="P12" s="23" t="s">
        <v>879</v>
      </c>
      <c r="Q12" s="23" t="s">
        <v>474</v>
      </c>
      <c r="R12" s="23" t="s">
        <v>760</v>
      </c>
      <c r="S12" s="23" t="s">
        <v>759</v>
      </c>
      <c r="T12" s="23">
        <v>0</v>
      </c>
      <c r="U12" s="23">
        <v>0</v>
      </c>
      <c r="V12" s="23">
        <v>0</v>
      </c>
      <c r="W12" s="23" t="s">
        <v>761</v>
      </c>
    </row>
    <row r="13" spans="1:23" x14ac:dyDescent="0.3">
      <c r="A13" s="11"/>
      <c r="B13" s="23"/>
      <c r="C13" s="23"/>
      <c r="D13" s="23"/>
      <c r="E13" s="5"/>
      <c r="F13" s="5"/>
      <c r="G13" s="23"/>
      <c r="H13" s="5"/>
      <c r="I13" s="5"/>
      <c r="J13" s="5"/>
      <c r="K13" s="5"/>
      <c r="M13" s="11"/>
      <c r="N13" s="23"/>
      <c r="O13" s="23"/>
      <c r="P13" s="23"/>
      <c r="Q13" s="23"/>
      <c r="R13" s="23"/>
      <c r="S13" s="23"/>
      <c r="T13" s="23"/>
      <c r="U13" s="23"/>
      <c r="V13" s="23"/>
      <c r="W13" s="23"/>
    </row>
    <row r="14" spans="1:23" x14ac:dyDescent="0.3">
      <c r="A14" s="11"/>
      <c r="B14" s="23"/>
      <c r="C14" s="23"/>
      <c r="D14" s="23"/>
      <c r="E14" s="5"/>
      <c r="F14" s="5"/>
      <c r="G14" s="23"/>
      <c r="H14" s="5"/>
      <c r="I14" s="5"/>
      <c r="J14" s="5"/>
      <c r="K14" s="5"/>
      <c r="M14" s="11"/>
      <c r="N14" s="23"/>
      <c r="O14" s="23"/>
      <c r="P14" s="23"/>
      <c r="Q14" s="23"/>
      <c r="R14" s="23"/>
      <c r="S14" s="23"/>
      <c r="T14" s="23"/>
      <c r="U14" s="23"/>
      <c r="V14" s="23"/>
      <c r="W14" s="23"/>
    </row>
    <row r="15" spans="1:23" x14ac:dyDescent="0.3">
      <c r="A15" s="11"/>
      <c r="B15" s="23"/>
      <c r="C15" s="23"/>
      <c r="D15" s="23"/>
      <c r="E15" s="5"/>
      <c r="F15" s="5"/>
      <c r="G15" s="23"/>
      <c r="H15" s="5"/>
      <c r="I15" s="5"/>
      <c r="J15" s="5"/>
      <c r="K15" s="5"/>
      <c r="M15" s="11"/>
      <c r="N15" s="23"/>
      <c r="O15" s="23"/>
      <c r="P15" s="23"/>
      <c r="Q15" s="23"/>
      <c r="R15" s="23"/>
      <c r="S15" s="23"/>
      <c r="T15" s="23"/>
      <c r="U15" s="23"/>
      <c r="V15" s="23"/>
      <c r="W15" s="23"/>
    </row>
    <row r="16" spans="1:23" x14ac:dyDescent="0.3">
      <c r="A16" s="11"/>
      <c r="B16" s="23"/>
      <c r="C16" s="23"/>
      <c r="D16" s="23"/>
      <c r="E16" s="5"/>
      <c r="F16" s="5"/>
      <c r="G16" s="23"/>
      <c r="H16" s="5"/>
      <c r="I16" s="5"/>
      <c r="J16" s="5"/>
      <c r="K16" s="5"/>
      <c r="M16" s="11"/>
      <c r="N16" s="23"/>
      <c r="O16" s="23"/>
      <c r="P16" s="23"/>
      <c r="Q16" s="23"/>
      <c r="R16" s="23"/>
      <c r="S16" s="23"/>
      <c r="T16" s="23"/>
      <c r="U16" s="23"/>
      <c r="V16" s="23"/>
      <c r="W16" s="23"/>
    </row>
    <row r="17" spans="1:23" x14ac:dyDescent="0.3">
      <c r="A17" s="11"/>
      <c r="B17" s="23"/>
      <c r="C17" s="23"/>
      <c r="D17" s="23"/>
      <c r="E17" s="5"/>
      <c r="F17" s="5"/>
      <c r="G17" s="5"/>
      <c r="H17" s="5"/>
      <c r="I17" s="5"/>
      <c r="J17" s="5"/>
      <c r="K17" s="5"/>
      <c r="M17" s="11"/>
      <c r="N17" s="23"/>
      <c r="O17" s="23"/>
      <c r="P17" s="23"/>
      <c r="Q17" s="23"/>
      <c r="R17" s="23"/>
      <c r="S17" s="23"/>
      <c r="T17" s="23"/>
      <c r="U17" s="23"/>
      <c r="V17" s="23"/>
      <c r="W17" s="23"/>
    </row>
    <row r="18" spans="1:23" x14ac:dyDescent="0.3">
      <c r="A18" s="11"/>
      <c r="B18" s="23"/>
      <c r="C18" s="23"/>
      <c r="D18" s="23"/>
      <c r="E18" s="5"/>
      <c r="F18" s="5"/>
      <c r="G18" s="5"/>
      <c r="H18" s="5"/>
      <c r="I18" s="5"/>
      <c r="J18" s="5"/>
      <c r="K18" s="5"/>
      <c r="M18" s="11"/>
      <c r="N18" s="23"/>
      <c r="O18" s="23"/>
      <c r="P18" s="23"/>
      <c r="Q18" s="23"/>
      <c r="R18" s="23"/>
      <c r="S18" s="23"/>
      <c r="T18" s="23"/>
      <c r="U18" s="23"/>
      <c r="V18" s="23"/>
      <c r="W18" s="23"/>
    </row>
    <row r="19" spans="1:23" x14ac:dyDescent="0.3">
      <c r="A19" s="11"/>
      <c r="B19" s="23"/>
      <c r="C19" s="23"/>
      <c r="D19" s="23"/>
      <c r="E19" s="5"/>
      <c r="F19" s="5"/>
      <c r="G19" s="5"/>
      <c r="H19" s="5"/>
      <c r="I19" s="5"/>
      <c r="J19" s="5"/>
      <c r="K19" s="5"/>
      <c r="M19" s="11"/>
      <c r="N19" s="23"/>
      <c r="O19" s="23"/>
      <c r="P19" s="23"/>
      <c r="Q19" s="23"/>
      <c r="R19" s="23"/>
      <c r="S19" s="23"/>
      <c r="T19" s="23"/>
      <c r="U19" s="23"/>
      <c r="V19" s="23"/>
      <c r="W19" s="23"/>
    </row>
    <row r="20" spans="1:23" x14ac:dyDescent="0.3">
      <c r="A20" s="11"/>
      <c r="B20" s="23"/>
      <c r="C20" s="23"/>
      <c r="D20" s="23"/>
      <c r="E20" s="5"/>
      <c r="F20" s="5"/>
      <c r="G20" s="5"/>
      <c r="H20" s="5"/>
      <c r="I20" s="5"/>
      <c r="J20" s="5"/>
      <c r="K20" s="5"/>
      <c r="M20" s="11"/>
      <c r="N20" s="23"/>
      <c r="O20" s="23"/>
      <c r="P20" s="23"/>
      <c r="Q20" s="23"/>
      <c r="R20" s="23"/>
      <c r="S20" s="23"/>
      <c r="T20" s="23"/>
      <c r="U20" s="23"/>
      <c r="V20" s="23"/>
      <c r="W20" s="23"/>
    </row>
    <row r="21" spans="1:23" x14ac:dyDescent="0.3">
      <c r="A21" s="11"/>
      <c r="B21" s="23"/>
      <c r="C21" s="23"/>
      <c r="D21" s="23"/>
      <c r="E21" s="5"/>
      <c r="F21" s="5"/>
      <c r="G21" s="5"/>
      <c r="H21" s="5"/>
      <c r="I21" s="5"/>
      <c r="J21" s="5"/>
      <c r="K21" s="5"/>
      <c r="M21" s="11"/>
      <c r="N21" s="23"/>
      <c r="O21" s="23"/>
      <c r="P21" s="23"/>
      <c r="Q21" s="23"/>
      <c r="R21" s="23"/>
      <c r="S21" s="23"/>
      <c r="T21" s="23"/>
      <c r="U21" s="23"/>
      <c r="V21" s="23"/>
      <c r="W21" s="23"/>
    </row>
    <row r="22" spans="1:23" x14ac:dyDescent="0.3">
      <c r="A22" s="11"/>
      <c r="B22" s="23"/>
      <c r="C22" s="23"/>
      <c r="D22" s="23"/>
      <c r="E22" s="5"/>
      <c r="F22" s="5"/>
      <c r="G22" s="5"/>
      <c r="H22" s="5"/>
      <c r="I22" s="5"/>
      <c r="J22" s="5"/>
      <c r="K22" s="5"/>
      <c r="M22" s="11"/>
      <c r="N22" s="23"/>
      <c r="O22" s="23"/>
      <c r="P22" s="23"/>
      <c r="Q22" s="23"/>
      <c r="R22" s="23"/>
      <c r="S22" s="23"/>
      <c r="T22" s="23"/>
      <c r="U22" s="23"/>
      <c r="V22" s="23"/>
      <c r="W22" s="23"/>
    </row>
    <row r="23" spans="1:23" x14ac:dyDescent="0.3">
      <c r="A23" s="11"/>
      <c r="B23" s="23"/>
      <c r="C23" s="23"/>
      <c r="D23" s="23"/>
      <c r="E23" s="5"/>
      <c r="F23" s="5"/>
      <c r="G23" s="5"/>
      <c r="H23" s="5"/>
      <c r="I23" s="5"/>
      <c r="J23" s="5"/>
      <c r="K23" s="5"/>
      <c r="M23" s="11"/>
      <c r="N23" s="23"/>
      <c r="O23" s="23"/>
      <c r="P23" s="23"/>
      <c r="Q23" s="23"/>
      <c r="R23" s="23"/>
      <c r="S23" s="23"/>
      <c r="T23" s="23"/>
      <c r="U23" s="23"/>
      <c r="V23" s="23"/>
      <c r="W23" s="23"/>
    </row>
    <row r="24" spans="1:23" x14ac:dyDescent="0.3">
      <c r="A24" s="11"/>
      <c r="B24" s="23"/>
      <c r="C24" s="23"/>
      <c r="D24" s="23"/>
      <c r="E24" s="5"/>
      <c r="F24" s="5"/>
      <c r="G24" s="5"/>
      <c r="H24" s="5"/>
      <c r="I24" s="5"/>
      <c r="J24" s="5"/>
      <c r="K24" s="5"/>
      <c r="M24" s="11"/>
      <c r="N24" s="23"/>
      <c r="O24" s="23"/>
      <c r="P24" s="23"/>
      <c r="Q24" s="23"/>
      <c r="R24" s="23"/>
      <c r="S24" s="23"/>
      <c r="T24" s="23"/>
      <c r="U24" s="23"/>
      <c r="V24" s="23"/>
      <c r="W24" s="23"/>
    </row>
    <row r="25" spans="1:23" x14ac:dyDescent="0.3">
      <c r="A25" s="11"/>
      <c r="B25" s="23"/>
      <c r="C25" s="23"/>
      <c r="D25" s="23"/>
      <c r="E25" s="5"/>
      <c r="F25" s="5"/>
      <c r="G25" s="5"/>
      <c r="H25" s="5"/>
      <c r="I25" s="5"/>
      <c r="J25" s="5"/>
      <c r="K25" s="5"/>
      <c r="M25" s="11"/>
      <c r="N25" s="23"/>
      <c r="O25" s="23"/>
      <c r="P25" s="23"/>
      <c r="Q25" s="23"/>
      <c r="R25" s="23"/>
      <c r="S25" s="23"/>
      <c r="T25" s="23"/>
      <c r="U25" s="23"/>
      <c r="V25" s="23"/>
      <c r="W25" s="23"/>
    </row>
    <row r="26" spans="1:23" x14ac:dyDescent="0.3">
      <c r="A26" s="11"/>
      <c r="B26" s="23"/>
      <c r="C26" s="23"/>
      <c r="D26" s="23"/>
      <c r="E26" s="5"/>
      <c r="F26" s="5"/>
      <c r="G26" s="5"/>
      <c r="H26" s="5"/>
      <c r="I26" s="5"/>
      <c r="J26" s="5"/>
      <c r="K26" s="5"/>
      <c r="M26" s="11"/>
      <c r="N26" s="23"/>
      <c r="O26" s="23"/>
      <c r="P26" s="23"/>
      <c r="Q26" s="23"/>
      <c r="R26" s="23"/>
      <c r="S26" s="23"/>
      <c r="T26" s="23"/>
      <c r="U26" s="23"/>
      <c r="V26" s="23"/>
      <c r="W26" s="23"/>
    </row>
    <row r="27" spans="1:23" x14ac:dyDescent="0.3">
      <c r="A27" s="11"/>
      <c r="B27" s="23"/>
      <c r="C27" s="23"/>
      <c r="D27" s="23"/>
      <c r="E27" s="5"/>
      <c r="F27" s="5"/>
      <c r="G27" s="5"/>
      <c r="H27" s="5"/>
      <c r="I27" s="5"/>
      <c r="J27" s="5"/>
      <c r="K27" s="5"/>
      <c r="M27" s="11"/>
      <c r="N27" s="23"/>
      <c r="O27" s="23"/>
      <c r="P27" s="23"/>
      <c r="Q27" s="23"/>
      <c r="R27" s="23"/>
      <c r="S27" s="23"/>
      <c r="T27" s="23"/>
      <c r="U27" s="23"/>
      <c r="V27" s="23"/>
      <c r="W27" s="23"/>
    </row>
    <row r="28" spans="1:23" x14ac:dyDescent="0.3">
      <c r="A28" s="11"/>
      <c r="B28" s="23"/>
      <c r="C28" s="23"/>
      <c r="D28" s="23"/>
      <c r="E28" s="5"/>
      <c r="F28" s="5"/>
      <c r="G28" s="5"/>
      <c r="H28" s="5"/>
      <c r="I28" s="5"/>
      <c r="J28" s="5"/>
      <c r="K28" s="5"/>
      <c r="M28" s="11"/>
      <c r="N28" s="23"/>
      <c r="O28" s="23"/>
      <c r="P28" s="23"/>
      <c r="Q28" s="23"/>
      <c r="R28" s="23"/>
      <c r="S28" s="23"/>
      <c r="T28" s="23"/>
      <c r="U28" s="23"/>
      <c r="V28" s="23"/>
      <c r="W28" s="23"/>
    </row>
    <row r="29" spans="1:23" x14ac:dyDescent="0.3">
      <c r="A29" s="11"/>
      <c r="B29" s="23"/>
      <c r="C29" s="23"/>
      <c r="D29" s="23"/>
      <c r="E29" s="5"/>
      <c r="F29" s="5"/>
      <c r="G29" s="5"/>
      <c r="H29" s="5"/>
      <c r="I29" s="5"/>
      <c r="J29" s="5"/>
      <c r="K29" s="5"/>
      <c r="M29" s="11"/>
      <c r="N29" s="23"/>
      <c r="O29" s="23"/>
      <c r="P29" s="23"/>
      <c r="Q29" s="23"/>
      <c r="R29" s="23"/>
      <c r="S29" s="23"/>
      <c r="T29" s="23"/>
      <c r="U29" s="23"/>
      <c r="V29" s="23"/>
      <c r="W29" s="23"/>
    </row>
    <row r="30" spans="1:23" x14ac:dyDescent="0.3">
      <c r="A30" s="11"/>
      <c r="B30" s="23"/>
      <c r="C30" s="23"/>
      <c r="D30" s="23"/>
      <c r="E30" s="5"/>
      <c r="F30" s="5"/>
      <c r="G30" s="5"/>
      <c r="H30" s="5"/>
      <c r="I30" s="5"/>
      <c r="J30" s="5"/>
      <c r="K30" s="5"/>
      <c r="M30" s="11"/>
      <c r="N30" s="23"/>
      <c r="O30" s="23"/>
      <c r="P30" s="23"/>
      <c r="Q30" s="23"/>
      <c r="R30" s="23"/>
      <c r="S30" s="23"/>
      <c r="T30" s="23"/>
      <c r="U30" s="23"/>
      <c r="V30" s="23"/>
      <c r="W30" s="23"/>
    </row>
    <row r="31" spans="1:23" x14ac:dyDescent="0.3">
      <c r="A31" s="11"/>
      <c r="B31" s="23"/>
      <c r="C31" s="23"/>
      <c r="D31" s="23"/>
      <c r="E31" s="5"/>
      <c r="F31" s="5"/>
      <c r="G31" s="5"/>
      <c r="H31" s="5"/>
      <c r="I31" s="5"/>
      <c r="J31" s="5"/>
      <c r="K31" s="5"/>
      <c r="M31" s="11"/>
      <c r="N31" s="23"/>
      <c r="O31" s="23"/>
      <c r="P31" s="23"/>
      <c r="Q31" s="23"/>
      <c r="R31" s="23"/>
      <c r="S31" s="23"/>
      <c r="T31" s="23"/>
      <c r="U31" s="23"/>
      <c r="V31" s="23"/>
      <c r="W31" s="23"/>
    </row>
    <row r="32" spans="1:23" x14ac:dyDescent="0.3">
      <c r="A32" s="11"/>
      <c r="B32" s="23"/>
      <c r="C32" s="23"/>
      <c r="D32" s="23"/>
      <c r="E32" s="5"/>
      <c r="F32" s="5"/>
      <c r="G32" s="5"/>
      <c r="H32" s="5"/>
      <c r="I32" s="5"/>
      <c r="J32" s="5"/>
      <c r="K32" s="5"/>
      <c r="M32" s="11"/>
      <c r="N32" s="23"/>
      <c r="O32" s="23"/>
      <c r="P32" s="23"/>
      <c r="Q32" s="23"/>
      <c r="R32" s="23"/>
      <c r="S32" s="23"/>
      <c r="T32" s="23"/>
      <c r="U32" s="23"/>
      <c r="V32" s="23"/>
      <c r="W32" s="23"/>
    </row>
    <row r="33" spans="1:23" x14ac:dyDescent="0.3">
      <c r="A33" s="11"/>
      <c r="B33" s="23"/>
      <c r="C33" s="23"/>
      <c r="D33" s="23"/>
      <c r="E33" s="5"/>
      <c r="F33" s="5"/>
      <c r="G33" s="5"/>
      <c r="H33" s="5"/>
      <c r="I33" s="5"/>
      <c r="J33" s="5"/>
      <c r="K33" s="5"/>
      <c r="M33" s="11"/>
      <c r="N33" s="23"/>
      <c r="O33" s="23"/>
      <c r="P33" s="23"/>
      <c r="Q33" s="23"/>
      <c r="R33" s="23"/>
      <c r="S33" s="23"/>
      <c r="T33" s="23"/>
      <c r="U33" s="23"/>
      <c r="V33" s="23"/>
      <c r="W33" s="23"/>
    </row>
    <row r="34" spans="1:23" x14ac:dyDescent="0.3">
      <c r="A34" s="11"/>
      <c r="B34" s="23"/>
      <c r="C34" s="23"/>
      <c r="D34" s="23"/>
      <c r="E34" s="5"/>
      <c r="F34" s="5"/>
      <c r="G34" s="5"/>
      <c r="H34" s="5"/>
      <c r="I34" s="5"/>
      <c r="J34" s="5"/>
      <c r="K34" s="5"/>
      <c r="M34" s="11"/>
      <c r="N34" s="23"/>
      <c r="O34" s="23"/>
      <c r="P34" s="23"/>
      <c r="Q34" s="23"/>
      <c r="R34" s="23"/>
      <c r="S34" s="23"/>
      <c r="T34" s="23"/>
      <c r="U34" s="23"/>
      <c r="V34" s="23"/>
      <c r="W34" s="23"/>
    </row>
    <row r="35" spans="1:23" x14ac:dyDescent="0.3">
      <c r="A35" s="11"/>
      <c r="B35" s="23"/>
      <c r="C35" s="23"/>
      <c r="D35" s="23"/>
      <c r="E35" s="5"/>
      <c r="F35" s="5"/>
      <c r="G35" s="5"/>
      <c r="H35" s="5"/>
      <c r="I35" s="5"/>
      <c r="J35" s="5"/>
      <c r="K35" s="5"/>
      <c r="M35" s="11"/>
      <c r="N35" s="23"/>
      <c r="O35" s="23"/>
      <c r="P35" s="23"/>
      <c r="Q35" s="23"/>
      <c r="R35" s="23"/>
      <c r="S35" s="23"/>
      <c r="T35" s="23"/>
      <c r="U35" s="23"/>
      <c r="V35" s="23"/>
      <c r="W35" s="23"/>
    </row>
    <row r="41" spans="1:23" x14ac:dyDescent="0.3">
      <c r="S41" s="110"/>
      <c r="U41" s="110"/>
    </row>
    <row r="42" spans="1:23" x14ac:dyDescent="0.3">
      <c r="S42" s="110"/>
      <c r="U42" s="110"/>
    </row>
    <row r="43" spans="1:23" x14ac:dyDescent="0.3">
      <c r="S43" s="154"/>
      <c r="U43" s="154"/>
    </row>
  </sheetData>
  <mergeCells count="2">
    <mergeCell ref="F2:K2"/>
    <mergeCell ref="R2:W2"/>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Converted_feedstuff!$U$4:$AF$4</xm:f>
          </x14:formula1>
          <xm:sqref>D4:D35 P4:P35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tabColor theme="0" tint="-0.14999847407452621"/>
  </sheetPr>
  <dimension ref="A1:J100"/>
  <sheetViews>
    <sheetView workbookViewId="0">
      <selection activeCell="L37" sqref="L37"/>
    </sheetView>
  </sheetViews>
  <sheetFormatPr defaultRowHeight="14.4" x14ac:dyDescent="0.3"/>
  <cols>
    <col min="1" max="1" width="27.33203125" customWidth="1"/>
    <col min="2" max="2" width="11" bestFit="1" customWidth="1"/>
    <col min="3" max="3" width="11.33203125" bestFit="1" customWidth="1"/>
    <col min="4" max="5" width="11" bestFit="1" customWidth="1"/>
    <col min="6" max="6" width="12.33203125" bestFit="1" customWidth="1"/>
    <col min="7" max="7" width="10.33203125" bestFit="1" customWidth="1"/>
  </cols>
  <sheetData>
    <row r="1" spans="1:10" ht="31.8" x14ac:dyDescent="0.55000000000000004">
      <c r="A1" s="7" t="s">
        <v>1648</v>
      </c>
    </row>
    <row r="2" spans="1:10" x14ac:dyDescent="0.3">
      <c r="A2" s="27" t="s">
        <v>1359</v>
      </c>
      <c r="B2" s="27" t="s">
        <v>1360</v>
      </c>
      <c r="C2" s="27" t="s">
        <v>1361</v>
      </c>
      <c r="D2" s="27" t="s">
        <v>1362</v>
      </c>
      <c r="E2" s="27" t="s">
        <v>1363</v>
      </c>
      <c r="F2" s="27" t="s">
        <v>1364</v>
      </c>
      <c r="G2" s="27" t="s">
        <v>1365</v>
      </c>
      <c r="J2" s="160"/>
    </row>
    <row r="3" spans="1:10" x14ac:dyDescent="0.3">
      <c r="A3" s="27" t="s">
        <v>1285</v>
      </c>
      <c r="B3" s="27">
        <v>450</v>
      </c>
      <c r="C3" s="27">
        <v>26.24</v>
      </c>
      <c r="D3" s="27">
        <v>2.7</v>
      </c>
      <c r="E3" s="27">
        <v>30</v>
      </c>
      <c r="F3" s="27">
        <v>16.7</v>
      </c>
      <c r="G3" s="27">
        <v>120</v>
      </c>
    </row>
    <row r="4" spans="1:10" x14ac:dyDescent="0.3">
      <c r="A4" s="27" t="s">
        <v>1286</v>
      </c>
      <c r="B4" s="27">
        <v>450</v>
      </c>
      <c r="C4" s="27">
        <v>26.24</v>
      </c>
      <c r="D4" s="27">
        <v>2.7</v>
      </c>
      <c r="E4" s="27">
        <v>30</v>
      </c>
      <c r="F4" s="27">
        <v>16.7</v>
      </c>
      <c r="G4" s="27">
        <v>120</v>
      </c>
    </row>
    <row r="5" spans="1:10" x14ac:dyDescent="0.3">
      <c r="A5" s="27" t="s">
        <v>1238</v>
      </c>
      <c r="B5" s="27">
        <v>683.65384615384596</v>
      </c>
      <c r="C5" s="27">
        <v>5.6398677463137403</v>
      </c>
      <c r="D5" s="27">
        <v>1.8902993928093801</v>
      </c>
      <c r="E5" s="27">
        <v>57.566935170294101</v>
      </c>
      <c r="F5" s="27">
        <v>26.655041120065199</v>
      </c>
      <c r="G5" s="27">
        <v>981.2</v>
      </c>
    </row>
    <row r="6" spans="1:10" x14ac:dyDescent="0.3">
      <c r="A6" s="27" t="s">
        <v>1309</v>
      </c>
      <c r="B6" s="27">
        <v>0</v>
      </c>
      <c r="C6" s="27">
        <v>0</v>
      </c>
      <c r="D6" s="27">
        <v>12.382168334377999</v>
      </c>
      <c r="E6" s="27">
        <v>225.35450590288201</v>
      </c>
      <c r="F6" s="27">
        <v>0</v>
      </c>
      <c r="G6" s="27">
        <v>980</v>
      </c>
    </row>
    <row r="7" spans="1:10" x14ac:dyDescent="0.3">
      <c r="A7" s="27" t="s">
        <v>1335</v>
      </c>
      <c r="B7" s="27">
        <v>450</v>
      </c>
      <c r="C7" s="27">
        <v>235.29411764705901</v>
      </c>
      <c r="D7" s="27">
        <v>267.37967914438502</v>
      </c>
      <c r="E7" s="27">
        <v>32.085561497326204</v>
      </c>
      <c r="F7" s="27">
        <v>17.399999999999999</v>
      </c>
      <c r="G7" s="27">
        <v>300</v>
      </c>
    </row>
    <row r="8" spans="1:10" x14ac:dyDescent="0.3">
      <c r="A8" s="27" t="s">
        <v>1336</v>
      </c>
      <c r="B8" s="27">
        <v>450</v>
      </c>
      <c r="C8" s="27">
        <v>235.29411764705901</v>
      </c>
      <c r="D8" s="27">
        <v>267.37967914438502</v>
      </c>
      <c r="E8" s="27">
        <v>32.085561497326204</v>
      </c>
      <c r="F8" s="27">
        <v>17.399999999999999</v>
      </c>
      <c r="G8" s="27">
        <v>300</v>
      </c>
    </row>
    <row r="9" spans="1:10" x14ac:dyDescent="0.3">
      <c r="A9" s="27" t="s">
        <v>1299</v>
      </c>
      <c r="B9" s="27">
        <v>450</v>
      </c>
      <c r="C9" s="27">
        <v>29.118227349201799</v>
      </c>
      <c r="D9" s="27">
        <v>3.8997996149368999</v>
      </c>
      <c r="E9" s="27">
        <v>30.098267782454499</v>
      </c>
      <c r="F9" s="27">
        <v>16.5</v>
      </c>
      <c r="G9" s="27">
        <v>183.99817923522201</v>
      </c>
    </row>
    <row r="10" spans="1:10" x14ac:dyDescent="0.3">
      <c r="A10" s="27" t="s">
        <v>1300</v>
      </c>
      <c r="B10" s="27">
        <v>450</v>
      </c>
      <c r="C10" s="27">
        <v>29.055415943814001</v>
      </c>
      <c r="D10" s="27">
        <v>3.8926992500794602</v>
      </c>
      <c r="E10" s="27">
        <v>30.036889072909101</v>
      </c>
      <c r="F10" s="27">
        <v>16.5</v>
      </c>
      <c r="G10" s="27">
        <v>183.93368622987001</v>
      </c>
    </row>
    <row r="11" spans="1:10" x14ac:dyDescent="0.3">
      <c r="A11" s="27" t="s">
        <v>1239</v>
      </c>
      <c r="B11" s="27">
        <v>0</v>
      </c>
      <c r="C11" s="27">
        <v>0</v>
      </c>
      <c r="D11" s="27">
        <v>0</v>
      </c>
      <c r="E11" s="27">
        <v>0</v>
      </c>
      <c r="F11" s="27" t="e">
        <v>#NUM!</v>
      </c>
      <c r="G11" s="27">
        <v>0</v>
      </c>
    </row>
    <row r="12" spans="1:10" x14ac:dyDescent="0.3">
      <c r="A12" s="27" t="s">
        <v>1240</v>
      </c>
      <c r="B12" s="27">
        <v>0</v>
      </c>
      <c r="C12" s="27">
        <v>0</v>
      </c>
      <c r="D12" s="27">
        <v>0</v>
      </c>
      <c r="E12" s="27">
        <v>0</v>
      </c>
      <c r="F12" s="27" t="e">
        <v>#NUM!</v>
      </c>
      <c r="G12" s="27">
        <v>0</v>
      </c>
    </row>
    <row r="13" spans="1:10" x14ac:dyDescent="0.3">
      <c r="A13" s="27" t="s">
        <v>1317</v>
      </c>
      <c r="B13" s="27">
        <v>450</v>
      </c>
      <c r="C13" s="27">
        <v>9.44</v>
      </c>
      <c r="D13" s="27">
        <v>1.7</v>
      </c>
      <c r="E13" s="27">
        <v>21</v>
      </c>
      <c r="F13" s="27">
        <v>17.399999999999999</v>
      </c>
      <c r="G13" s="27">
        <v>220</v>
      </c>
    </row>
    <row r="14" spans="1:10" x14ac:dyDescent="0.3">
      <c r="A14" s="27" t="s">
        <v>688</v>
      </c>
      <c r="B14" s="27">
        <v>450</v>
      </c>
      <c r="C14" s="27">
        <v>11.68</v>
      </c>
      <c r="D14" s="27">
        <v>2.2000000000000002</v>
      </c>
      <c r="E14" s="27">
        <v>11.3</v>
      </c>
      <c r="F14" s="27">
        <v>17.7</v>
      </c>
      <c r="G14" s="27">
        <v>318</v>
      </c>
    </row>
    <row r="15" spans="1:10" x14ac:dyDescent="0.3">
      <c r="A15" s="27" t="s">
        <v>689</v>
      </c>
      <c r="B15" s="27">
        <v>450</v>
      </c>
      <c r="C15" s="27">
        <v>20.96</v>
      </c>
      <c r="D15" s="27">
        <v>3.1</v>
      </c>
      <c r="E15" s="27">
        <v>18.7</v>
      </c>
      <c r="F15" s="27">
        <v>18.399999999999999</v>
      </c>
      <c r="G15" s="27">
        <v>337</v>
      </c>
    </row>
    <row r="16" spans="1:10" x14ac:dyDescent="0.3">
      <c r="A16" s="27" t="s">
        <v>1310</v>
      </c>
      <c r="B16" s="27">
        <v>0</v>
      </c>
      <c r="C16" s="27">
        <v>0</v>
      </c>
      <c r="D16" s="27">
        <v>12.330720109650199</v>
      </c>
      <c r="E16" s="27">
        <v>223.347407172777</v>
      </c>
      <c r="F16" s="27">
        <v>0</v>
      </c>
      <c r="G16" s="27">
        <v>980</v>
      </c>
    </row>
    <row r="17" spans="1:7" x14ac:dyDescent="0.3">
      <c r="A17" s="27" t="s">
        <v>408</v>
      </c>
      <c r="B17" s="27">
        <v>450</v>
      </c>
      <c r="C17" s="27">
        <v>16.763556808227801</v>
      </c>
      <c r="D17" s="27">
        <v>3.10330868420662</v>
      </c>
      <c r="E17" s="27">
        <v>4.8756184519108396</v>
      </c>
      <c r="F17" s="27">
        <v>19.234891073546201</v>
      </c>
      <c r="G17" s="27">
        <v>850.51110268835396</v>
      </c>
    </row>
    <row r="18" spans="1:7" x14ac:dyDescent="0.3">
      <c r="A18" s="27" t="s">
        <v>444</v>
      </c>
      <c r="B18" s="27">
        <v>450</v>
      </c>
      <c r="C18" s="27">
        <v>15.965584763251099</v>
      </c>
      <c r="D18" s="27">
        <v>3.1979005598371502</v>
      </c>
      <c r="E18" s="27">
        <v>4.6680109868804696</v>
      </c>
      <c r="F18" s="27">
        <v>19.2888664548341</v>
      </c>
      <c r="G18" s="27">
        <v>850.11622419383002</v>
      </c>
    </row>
    <row r="19" spans="1:7" x14ac:dyDescent="0.3">
      <c r="A19" s="27" t="s">
        <v>412</v>
      </c>
      <c r="B19" s="27">
        <v>450.00000233204003</v>
      </c>
      <c r="C19" s="27">
        <v>27.0203229895893</v>
      </c>
      <c r="D19" s="27">
        <v>3.6646866480221498</v>
      </c>
      <c r="E19" s="27">
        <v>28.092453829169798</v>
      </c>
      <c r="F19" s="27">
        <v>16.549135894677399</v>
      </c>
      <c r="G19" s="27">
        <v>181.626006259945</v>
      </c>
    </row>
    <row r="20" spans="1:7" x14ac:dyDescent="0.3">
      <c r="A20" s="27" t="s">
        <v>426</v>
      </c>
      <c r="B20" s="27">
        <v>450.00007165681598</v>
      </c>
      <c r="C20" s="27">
        <v>26.523962609150399</v>
      </c>
      <c r="D20" s="27">
        <v>3.6055782621371102</v>
      </c>
      <c r="E20" s="27">
        <v>27.561193702598601</v>
      </c>
      <c r="F20" s="27">
        <v>16.528960088099701</v>
      </c>
      <c r="G20" s="27">
        <v>181.16755850137801</v>
      </c>
    </row>
    <row r="21" spans="1:7" x14ac:dyDescent="0.3">
      <c r="A21" s="27" t="s">
        <v>1289</v>
      </c>
      <c r="B21" s="27">
        <v>450</v>
      </c>
      <c r="C21" s="27">
        <v>29.12</v>
      </c>
      <c r="D21" s="27">
        <v>3.9</v>
      </c>
      <c r="E21" s="27">
        <v>30.1</v>
      </c>
      <c r="F21" s="27">
        <v>16.5</v>
      </c>
      <c r="G21" s="27">
        <v>180</v>
      </c>
    </row>
    <row r="22" spans="1:7" x14ac:dyDescent="0.3">
      <c r="A22" s="27" t="s">
        <v>1290</v>
      </c>
      <c r="B22" s="27">
        <v>450</v>
      </c>
      <c r="C22" s="27">
        <v>29.12</v>
      </c>
      <c r="D22" s="27">
        <v>3.9</v>
      </c>
      <c r="E22" s="27">
        <v>30.1</v>
      </c>
      <c r="F22" s="27">
        <v>16.5</v>
      </c>
      <c r="G22" s="27">
        <v>180</v>
      </c>
    </row>
    <row r="23" spans="1:7" x14ac:dyDescent="0.3">
      <c r="A23" s="27" t="s">
        <v>1302</v>
      </c>
      <c r="B23" s="27">
        <v>450</v>
      </c>
      <c r="C23" s="27">
        <v>26.154825365531298</v>
      </c>
      <c r="D23" s="27">
        <v>3.5648089365175499</v>
      </c>
      <c r="E23" s="27">
        <v>27.2024594734517</v>
      </c>
      <c r="F23" s="27">
        <v>16.5</v>
      </c>
      <c r="G23" s="27">
        <v>180</v>
      </c>
    </row>
    <row r="24" spans="1:7" x14ac:dyDescent="0.3">
      <c r="A24" s="27" t="s">
        <v>1303</v>
      </c>
      <c r="B24" s="27">
        <v>450</v>
      </c>
      <c r="C24" s="27">
        <v>26.780671062105899</v>
      </c>
      <c r="D24" s="27">
        <v>3.6355561640744698</v>
      </c>
      <c r="E24" s="27">
        <v>27.814029951666001</v>
      </c>
      <c r="F24" s="27">
        <v>16.5</v>
      </c>
      <c r="G24" s="27">
        <v>180</v>
      </c>
    </row>
    <row r="25" spans="1:7" x14ac:dyDescent="0.3">
      <c r="A25" s="27" t="s">
        <v>1315</v>
      </c>
      <c r="B25" s="27">
        <v>520.79</v>
      </c>
      <c r="C25" s="27">
        <v>94.24</v>
      </c>
      <c r="D25" s="27">
        <v>5.39</v>
      </c>
      <c r="E25" s="27">
        <v>23.87</v>
      </c>
      <c r="F25" s="27">
        <v>16.21</v>
      </c>
      <c r="G25" s="27">
        <v>900</v>
      </c>
    </row>
    <row r="26" spans="1:7" x14ac:dyDescent="0.3">
      <c r="A26" s="27" t="s">
        <v>1351</v>
      </c>
      <c r="B26" s="27">
        <v>520.79</v>
      </c>
      <c r="C26" s="27">
        <v>94.24</v>
      </c>
      <c r="D26" s="27">
        <v>5.39</v>
      </c>
      <c r="E26" s="27">
        <v>23.87</v>
      </c>
      <c r="F26" s="27">
        <v>16.21</v>
      </c>
      <c r="G26" s="27">
        <v>900</v>
      </c>
    </row>
    <row r="27" spans="1:7" x14ac:dyDescent="0.3">
      <c r="A27" s="27" t="s">
        <v>1354</v>
      </c>
      <c r="B27" s="27">
        <v>450</v>
      </c>
      <c r="C27" s="27">
        <v>43.3</v>
      </c>
      <c r="D27" s="27">
        <v>3.45</v>
      </c>
      <c r="E27" s="27">
        <v>26.21</v>
      </c>
      <c r="F27" s="27">
        <v>16.5</v>
      </c>
      <c r="G27" s="27">
        <v>213</v>
      </c>
    </row>
    <row r="28" spans="1:7" x14ac:dyDescent="0.3">
      <c r="A28" s="27" t="s">
        <v>1355</v>
      </c>
      <c r="B28" s="27">
        <v>450</v>
      </c>
      <c r="C28" s="27">
        <v>43.3</v>
      </c>
      <c r="D28" s="27">
        <v>3.45</v>
      </c>
      <c r="E28" s="27">
        <v>26.21</v>
      </c>
      <c r="F28" s="27">
        <v>16.5</v>
      </c>
      <c r="G28" s="27">
        <v>213</v>
      </c>
    </row>
    <row r="29" spans="1:7" x14ac:dyDescent="0.3">
      <c r="A29" s="27" t="s">
        <v>1334</v>
      </c>
      <c r="B29" s="27">
        <v>450</v>
      </c>
      <c r="C29" s="27">
        <v>61.8106787330317</v>
      </c>
      <c r="D29" s="27">
        <v>9.7992081447963795</v>
      </c>
      <c r="E29" s="27">
        <v>179.63800904977401</v>
      </c>
      <c r="F29" s="27">
        <v>18.2</v>
      </c>
      <c r="G29" s="27">
        <v>300</v>
      </c>
    </row>
    <row r="30" spans="1:7" x14ac:dyDescent="0.3">
      <c r="A30" s="27" t="s">
        <v>1350</v>
      </c>
      <c r="B30" s="27">
        <v>450</v>
      </c>
      <c r="C30" s="27">
        <v>61.8106787330317</v>
      </c>
      <c r="D30" s="27">
        <v>9.7992081447963795</v>
      </c>
      <c r="E30" s="27">
        <v>179.63800904977401</v>
      </c>
      <c r="F30" s="27">
        <v>18.2</v>
      </c>
      <c r="G30" s="27">
        <v>300</v>
      </c>
    </row>
    <row r="31" spans="1:7" x14ac:dyDescent="0.3">
      <c r="A31" s="27" t="s">
        <v>413</v>
      </c>
      <c r="B31" s="27">
        <v>450</v>
      </c>
      <c r="C31" s="27">
        <v>11.68</v>
      </c>
      <c r="D31" s="27">
        <v>2.2000000000000002</v>
      </c>
      <c r="E31" s="27">
        <v>11.3</v>
      </c>
      <c r="F31" s="27">
        <v>17.7</v>
      </c>
      <c r="G31" s="27">
        <v>318</v>
      </c>
    </row>
    <row r="32" spans="1:7" x14ac:dyDescent="0.3">
      <c r="A32" s="27" t="s">
        <v>439</v>
      </c>
      <c r="B32" s="27">
        <v>450</v>
      </c>
      <c r="C32" s="27">
        <v>11.68</v>
      </c>
      <c r="D32" s="27">
        <v>2.2000000000000002</v>
      </c>
      <c r="E32" s="27">
        <v>11.3</v>
      </c>
      <c r="F32" s="27">
        <v>17.7</v>
      </c>
      <c r="G32" s="27">
        <v>318</v>
      </c>
    </row>
    <row r="33" spans="1:7" x14ac:dyDescent="0.3">
      <c r="A33" s="27" t="s">
        <v>1306</v>
      </c>
      <c r="B33" s="27">
        <v>450</v>
      </c>
      <c r="C33" s="27">
        <v>20.8007777777778</v>
      </c>
      <c r="D33" s="27">
        <v>0.39981481481481501</v>
      </c>
      <c r="E33" s="27">
        <v>28</v>
      </c>
      <c r="F33" s="27">
        <v>17.399999999999999</v>
      </c>
      <c r="G33" s="27">
        <v>960</v>
      </c>
    </row>
    <row r="34" spans="1:7" x14ac:dyDescent="0.3">
      <c r="A34" s="27" t="s">
        <v>1307</v>
      </c>
      <c r="B34" s="27">
        <v>450</v>
      </c>
      <c r="C34" s="27">
        <v>20.8007777777778</v>
      </c>
      <c r="D34" s="27">
        <v>0.39981481481481501</v>
      </c>
      <c r="E34" s="27">
        <v>28</v>
      </c>
      <c r="F34" s="27">
        <v>17.399999999999999</v>
      </c>
      <c r="G34" s="27">
        <v>740</v>
      </c>
    </row>
    <row r="35" spans="1:7" x14ac:dyDescent="0.3">
      <c r="A35" s="27" t="s">
        <v>1234</v>
      </c>
      <c r="B35" s="27">
        <v>0</v>
      </c>
      <c r="C35" s="27" t="e">
        <v>#NUM!</v>
      </c>
      <c r="D35" s="27" t="e">
        <v>#NUM!</v>
      </c>
      <c r="E35" s="27">
        <v>0</v>
      </c>
      <c r="F35" s="27">
        <v>0</v>
      </c>
      <c r="G35" s="27">
        <v>0</v>
      </c>
    </row>
    <row r="36" spans="1:7" x14ac:dyDescent="0.3">
      <c r="A36" s="27" t="s">
        <v>1247</v>
      </c>
      <c r="B36" s="27" t="e">
        <v>#NUM!</v>
      </c>
      <c r="C36" s="27">
        <v>0</v>
      </c>
      <c r="D36" s="27" t="e">
        <v>#NUM!</v>
      </c>
      <c r="E36" s="27">
        <v>0</v>
      </c>
      <c r="F36" s="27">
        <v>0</v>
      </c>
      <c r="G36" s="27">
        <v>0</v>
      </c>
    </row>
    <row r="37" spans="1:7" x14ac:dyDescent="0.3">
      <c r="A37" s="27" t="s">
        <v>1301</v>
      </c>
      <c r="B37" s="27">
        <v>450</v>
      </c>
      <c r="C37" s="27">
        <v>0</v>
      </c>
      <c r="D37" s="27">
        <v>0</v>
      </c>
      <c r="E37" s="27">
        <v>0</v>
      </c>
      <c r="F37" s="27">
        <v>36.6</v>
      </c>
      <c r="G37" s="27">
        <v>1000</v>
      </c>
    </row>
    <row r="38" spans="1:7" x14ac:dyDescent="0.3">
      <c r="A38" s="27" t="s">
        <v>1237</v>
      </c>
      <c r="B38" s="27">
        <v>348.01136040399098</v>
      </c>
      <c r="C38" s="27">
        <v>15.9896835117205</v>
      </c>
      <c r="D38" s="27">
        <v>4.5689189677378499</v>
      </c>
      <c r="E38" s="27">
        <v>86.236939816376506</v>
      </c>
      <c r="F38" s="27">
        <v>16.416780815840301</v>
      </c>
      <c r="G38" s="27">
        <v>45</v>
      </c>
    </row>
    <row r="39" spans="1:7" x14ac:dyDescent="0.3">
      <c r="A39" s="27" t="s">
        <v>1250</v>
      </c>
      <c r="B39" s="27">
        <v>348.01136040399098</v>
      </c>
      <c r="C39" s="27">
        <v>14.302983375562899</v>
      </c>
      <c r="D39" s="27">
        <v>5.3354895967632903</v>
      </c>
      <c r="E39" s="27">
        <v>82.260348530573097</v>
      </c>
      <c r="F39" s="27">
        <v>15.191784589082101</v>
      </c>
      <c r="G39" s="27">
        <v>45</v>
      </c>
    </row>
    <row r="40" spans="1:7" x14ac:dyDescent="0.3">
      <c r="A40" s="27" t="s">
        <v>382</v>
      </c>
      <c r="B40" s="27">
        <v>450</v>
      </c>
      <c r="C40" s="27">
        <v>0</v>
      </c>
      <c r="D40" s="27">
        <v>0</v>
      </c>
      <c r="E40" s="27">
        <v>0</v>
      </c>
      <c r="F40" s="27">
        <v>36.6</v>
      </c>
      <c r="G40" s="27">
        <v>1000</v>
      </c>
    </row>
    <row r="41" spans="1:7" x14ac:dyDescent="0.3">
      <c r="A41" s="27" t="s">
        <v>1281</v>
      </c>
      <c r="B41" s="27">
        <v>450</v>
      </c>
      <c r="C41" s="27">
        <v>14.72</v>
      </c>
      <c r="D41" s="27">
        <v>2.1</v>
      </c>
      <c r="E41" s="27">
        <v>20</v>
      </c>
      <c r="F41" s="27">
        <v>18.2</v>
      </c>
      <c r="G41" s="27">
        <v>240</v>
      </c>
    </row>
    <row r="42" spans="1:7" x14ac:dyDescent="0.3">
      <c r="A42" s="27" t="s">
        <v>1282</v>
      </c>
      <c r="B42" s="27">
        <v>450</v>
      </c>
      <c r="C42" s="27">
        <v>14.72</v>
      </c>
      <c r="D42" s="27">
        <v>2.1</v>
      </c>
      <c r="E42" s="27">
        <v>20</v>
      </c>
      <c r="F42" s="27">
        <v>18.2</v>
      </c>
      <c r="G42" s="27">
        <v>240</v>
      </c>
    </row>
    <row r="43" spans="1:7" x14ac:dyDescent="0.3">
      <c r="A43" s="27" t="s">
        <v>1280</v>
      </c>
      <c r="B43" s="27">
        <v>0</v>
      </c>
      <c r="C43" s="27">
        <v>0</v>
      </c>
      <c r="D43" s="27" t="e">
        <v>#NUM!</v>
      </c>
      <c r="E43" s="27">
        <v>0</v>
      </c>
      <c r="F43" s="27">
        <v>0</v>
      </c>
      <c r="G43" s="27">
        <v>0</v>
      </c>
    </row>
    <row r="44" spans="1:7" x14ac:dyDescent="0.3">
      <c r="A44" s="27" t="s">
        <v>1358</v>
      </c>
      <c r="B44" s="27" t="e">
        <v>#NUM!</v>
      </c>
      <c r="C44" s="27">
        <v>0</v>
      </c>
      <c r="D44" s="27" t="e">
        <v>#NUM!</v>
      </c>
      <c r="E44" s="27">
        <v>0</v>
      </c>
      <c r="F44" s="27">
        <v>0</v>
      </c>
      <c r="G44" s="27">
        <v>0</v>
      </c>
    </row>
    <row r="45" spans="1:7" x14ac:dyDescent="0.3">
      <c r="A45" s="27" t="s">
        <v>284</v>
      </c>
      <c r="B45" s="27">
        <v>459.54504515494199</v>
      </c>
      <c r="C45" s="27">
        <v>160.596692091455</v>
      </c>
      <c r="D45" s="27">
        <v>2.1331632114108201</v>
      </c>
      <c r="E45" s="27">
        <v>10.2381748341405</v>
      </c>
      <c r="F45" s="27">
        <v>18.325593735686699</v>
      </c>
      <c r="G45" s="27">
        <v>982.04281164681095</v>
      </c>
    </row>
    <row r="46" spans="1:7" x14ac:dyDescent="0.3">
      <c r="A46" s="27" t="s">
        <v>707</v>
      </c>
      <c r="B46" s="27">
        <v>566.83054540728699</v>
      </c>
      <c r="C46" s="27">
        <v>86.923534554120707</v>
      </c>
      <c r="D46" s="27">
        <v>5.5338634600901502</v>
      </c>
      <c r="E46" s="27">
        <v>26.3915053409469</v>
      </c>
      <c r="F46" s="27">
        <v>18.243630573848399</v>
      </c>
      <c r="G46" s="27">
        <v>900.60591062877404</v>
      </c>
    </row>
    <row r="47" spans="1:7" x14ac:dyDescent="0.3">
      <c r="A47" s="27" t="s">
        <v>285</v>
      </c>
      <c r="B47" s="27">
        <v>450</v>
      </c>
      <c r="C47" s="27">
        <v>47.944927145819598</v>
      </c>
      <c r="D47" s="27">
        <v>11.2845590074899</v>
      </c>
      <c r="E47" s="27">
        <v>15.617424834684901</v>
      </c>
      <c r="F47" s="27">
        <v>21.642157630789701</v>
      </c>
      <c r="G47" s="27">
        <v>879.383109851227</v>
      </c>
    </row>
    <row r="48" spans="1:7" x14ac:dyDescent="0.3">
      <c r="A48" s="27" t="s">
        <v>442</v>
      </c>
      <c r="B48" s="27">
        <v>450</v>
      </c>
      <c r="C48" s="27">
        <v>43.777938014621903</v>
      </c>
      <c r="D48" s="27">
        <v>6.4144561918241498</v>
      </c>
      <c r="E48" s="27">
        <v>12.727445633268699</v>
      </c>
      <c r="F48" s="27">
        <v>20.018036796907101</v>
      </c>
      <c r="G48" s="27">
        <v>854.36833436743996</v>
      </c>
    </row>
    <row r="49" spans="1:7" x14ac:dyDescent="0.3">
      <c r="A49" s="27" t="s">
        <v>1352</v>
      </c>
      <c r="B49" s="27">
        <v>0</v>
      </c>
      <c r="C49" s="27">
        <v>0</v>
      </c>
      <c r="D49" s="27">
        <v>0</v>
      </c>
      <c r="E49" s="27" t="e">
        <v>#NUM!</v>
      </c>
      <c r="F49" s="27" t="e">
        <v>#NUM!</v>
      </c>
      <c r="G49" s="27">
        <v>0</v>
      </c>
    </row>
    <row r="50" spans="1:7" x14ac:dyDescent="0.3">
      <c r="A50" s="27" t="s">
        <v>1353</v>
      </c>
      <c r="B50" s="27" t="e">
        <v>#NUM!</v>
      </c>
      <c r="C50" s="27">
        <v>0</v>
      </c>
      <c r="D50" s="27" t="e">
        <v>#NUM!</v>
      </c>
      <c r="E50" s="27">
        <v>0</v>
      </c>
      <c r="F50" s="27">
        <v>0</v>
      </c>
      <c r="G50" s="27">
        <v>0</v>
      </c>
    </row>
    <row r="51" spans="1:7" x14ac:dyDescent="0.3">
      <c r="A51" s="27" t="s">
        <v>1332</v>
      </c>
      <c r="B51" s="27">
        <v>450</v>
      </c>
      <c r="C51" s="27">
        <v>166.221554959786</v>
      </c>
      <c r="D51" s="27">
        <v>1.9029490616622</v>
      </c>
      <c r="E51" s="27">
        <v>8.6863270777479897</v>
      </c>
      <c r="F51" s="27">
        <v>18.2</v>
      </c>
      <c r="G51" s="27">
        <v>990</v>
      </c>
    </row>
    <row r="52" spans="1:7" x14ac:dyDescent="0.3">
      <c r="A52" s="27" t="s">
        <v>1347</v>
      </c>
      <c r="B52" s="27">
        <v>450</v>
      </c>
      <c r="C52" s="27">
        <v>166.221554959786</v>
      </c>
      <c r="D52" s="27">
        <v>1.9029490616622</v>
      </c>
      <c r="E52" s="27">
        <v>8.6863270777479897</v>
      </c>
      <c r="F52" s="27">
        <v>18.2</v>
      </c>
      <c r="G52" s="27">
        <v>990</v>
      </c>
    </row>
    <row r="53" spans="1:7" x14ac:dyDescent="0.3">
      <c r="A53" s="27" t="s">
        <v>1344</v>
      </c>
      <c r="B53" s="27">
        <v>440.58895032333498</v>
      </c>
      <c r="C53" s="27">
        <v>15.588809397882001</v>
      </c>
      <c r="D53" s="27">
        <v>1.9961525353731699</v>
      </c>
      <c r="E53" s="27">
        <v>17.245943104989699</v>
      </c>
      <c r="F53" s="27">
        <v>18.459501298701301</v>
      </c>
      <c r="G53" s="27">
        <v>337</v>
      </c>
    </row>
    <row r="54" spans="1:7" x14ac:dyDescent="0.3">
      <c r="A54" s="27" t="s">
        <v>1345</v>
      </c>
      <c r="B54" s="27">
        <v>440.58895032333498</v>
      </c>
      <c r="C54" s="27">
        <v>13.9429156411279</v>
      </c>
      <c r="D54" s="27">
        <v>2.3310612585129502</v>
      </c>
      <c r="E54" s="27">
        <v>16.449124697787699</v>
      </c>
      <c r="F54" s="27">
        <v>17.081869523176</v>
      </c>
      <c r="G54" s="27">
        <v>337</v>
      </c>
    </row>
    <row r="55" spans="1:7" x14ac:dyDescent="0.3">
      <c r="A55" s="27" t="s">
        <v>1333</v>
      </c>
      <c r="B55" s="27">
        <v>450</v>
      </c>
      <c r="C55" s="27">
        <v>21.8408664259928</v>
      </c>
      <c r="D55" s="27">
        <v>1.89151624548737</v>
      </c>
      <c r="E55" s="27">
        <v>38.989169675090203</v>
      </c>
      <c r="F55" s="27">
        <v>18.2</v>
      </c>
      <c r="G55" s="27">
        <v>200</v>
      </c>
    </row>
    <row r="56" spans="1:7" x14ac:dyDescent="0.3">
      <c r="A56" s="27" t="s">
        <v>1348</v>
      </c>
      <c r="B56" s="27">
        <v>450</v>
      </c>
      <c r="C56" s="27">
        <v>21.8408664259928</v>
      </c>
      <c r="D56" s="27">
        <v>1.89151624548737</v>
      </c>
      <c r="E56" s="27">
        <v>38.989169675090302</v>
      </c>
      <c r="F56" s="27">
        <v>18.2</v>
      </c>
      <c r="G56" s="27">
        <v>200</v>
      </c>
    </row>
    <row r="57" spans="1:7" x14ac:dyDescent="0.3">
      <c r="A57" s="27" t="s">
        <v>1287</v>
      </c>
      <c r="B57" s="27">
        <v>450</v>
      </c>
      <c r="C57" s="27">
        <v>14.24</v>
      </c>
      <c r="D57" s="27">
        <v>3</v>
      </c>
      <c r="E57" s="27">
        <v>4.5</v>
      </c>
      <c r="F57" s="27">
        <v>19.100000000000001</v>
      </c>
      <c r="G57" s="27">
        <v>880</v>
      </c>
    </row>
    <row r="58" spans="1:7" x14ac:dyDescent="0.3">
      <c r="A58" s="27" t="s">
        <v>1288</v>
      </c>
      <c r="B58" s="27">
        <v>450</v>
      </c>
      <c r="C58" s="27">
        <v>14.24</v>
      </c>
      <c r="D58" s="27">
        <v>3</v>
      </c>
      <c r="E58" s="27">
        <v>4.5</v>
      </c>
      <c r="F58" s="27">
        <v>19.100000000000001</v>
      </c>
      <c r="G58" s="27">
        <v>880</v>
      </c>
    </row>
    <row r="59" spans="1:7" x14ac:dyDescent="0.3">
      <c r="A59" s="27" t="s">
        <v>1330</v>
      </c>
      <c r="B59" s="27">
        <v>450</v>
      </c>
      <c r="C59" s="27">
        <v>0.47226579210038699</v>
      </c>
      <c r="D59" s="27">
        <v>8.3844289177242307E-2</v>
      </c>
      <c r="E59" s="27">
        <v>0.53614715528304702</v>
      </c>
      <c r="F59" s="27">
        <v>18.2</v>
      </c>
      <c r="G59" s="27">
        <v>990</v>
      </c>
    </row>
    <row r="60" spans="1:7" x14ac:dyDescent="0.3">
      <c r="A60" s="27" t="s">
        <v>1346</v>
      </c>
      <c r="B60" s="27">
        <v>450</v>
      </c>
      <c r="C60" s="27">
        <v>0.47226579210038699</v>
      </c>
      <c r="D60" s="27">
        <v>8.3844289177242307E-2</v>
      </c>
      <c r="E60" s="27">
        <v>0.53614715528304702</v>
      </c>
      <c r="F60" s="27">
        <v>18.2</v>
      </c>
      <c r="G60" s="27">
        <v>990</v>
      </c>
    </row>
    <row r="61" spans="1:7" x14ac:dyDescent="0.3">
      <c r="A61" s="27" t="s">
        <v>409</v>
      </c>
      <c r="B61" s="27">
        <v>450</v>
      </c>
      <c r="C61" s="27">
        <v>6.5171805068514397</v>
      </c>
      <c r="D61" s="27">
        <v>0.90014256800446502</v>
      </c>
      <c r="E61" s="27">
        <v>16.3043607236127</v>
      </c>
      <c r="F61" s="27">
        <v>18.237659713728799</v>
      </c>
      <c r="G61" s="27">
        <v>850.05419244301197</v>
      </c>
    </row>
    <row r="62" spans="1:7" x14ac:dyDescent="0.3">
      <c r="A62" s="27" t="s">
        <v>1268</v>
      </c>
      <c r="B62" s="27">
        <v>450</v>
      </c>
      <c r="C62" s="27">
        <v>5.28</v>
      </c>
      <c r="D62" s="27">
        <v>1</v>
      </c>
      <c r="E62" s="27">
        <v>20.2</v>
      </c>
      <c r="F62" s="27">
        <v>17.7</v>
      </c>
      <c r="G62" s="27">
        <v>950</v>
      </c>
    </row>
    <row r="63" spans="1:7" x14ac:dyDescent="0.3">
      <c r="A63" s="27" t="s">
        <v>1269</v>
      </c>
      <c r="B63" s="27">
        <v>450</v>
      </c>
      <c r="C63" s="27">
        <v>5.28</v>
      </c>
      <c r="D63" s="27">
        <v>1</v>
      </c>
      <c r="E63" s="27">
        <v>20.2</v>
      </c>
      <c r="F63" s="27">
        <v>17.7</v>
      </c>
      <c r="G63" s="27">
        <v>950</v>
      </c>
    </row>
    <row r="64" spans="1:7" x14ac:dyDescent="0.3">
      <c r="A64" s="27" t="s">
        <v>432</v>
      </c>
      <c r="B64" s="27">
        <v>450</v>
      </c>
      <c r="C64" s="27">
        <v>6.8823380776112799</v>
      </c>
      <c r="D64" s="27">
        <v>1.0185604724774799</v>
      </c>
      <c r="E64" s="27">
        <v>14.9759990893356</v>
      </c>
      <c r="F64" s="27">
        <v>18.157906078321201</v>
      </c>
      <c r="G64" s="27">
        <v>850.96796238432705</v>
      </c>
    </row>
    <row r="65" spans="1:7" x14ac:dyDescent="0.3">
      <c r="A65" s="27" t="s">
        <v>446</v>
      </c>
      <c r="B65" s="27">
        <v>450</v>
      </c>
      <c r="C65" s="27">
        <v>10.72</v>
      </c>
      <c r="D65" s="27">
        <v>1.1000000000000001</v>
      </c>
      <c r="E65" s="27">
        <v>15</v>
      </c>
      <c r="F65" s="27">
        <v>18</v>
      </c>
      <c r="G65" s="27">
        <v>850</v>
      </c>
    </row>
    <row r="66" spans="1:7" x14ac:dyDescent="0.3">
      <c r="A66" s="27" t="s">
        <v>664</v>
      </c>
      <c r="B66" s="27">
        <v>450</v>
      </c>
      <c r="C66" s="27">
        <v>10.72</v>
      </c>
      <c r="D66" s="27">
        <v>1.1000000000000001</v>
      </c>
      <c r="E66" s="27">
        <v>15</v>
      </c>
      <c r="F66" s="27">
        <v>18</v>
      </c>
      <c r="G66" s="27">
        <v>850</v>
      </c>
    </row>
    <row r="67" spans="1:7" x14ac:dyDescent="0.3">
      <c r="A67" s="27" t="s">
        <v>1283</v>
      </c>
      <c r="B67" s="27">
        <v>0</v>
      </c>
      <c r="C67" s="27" t="e">
        <v>#NUM!</v>
      </c>
      <c r="D67" s="27">
        <v>0</v>
      </c>
      <c r="E67" s="27" t="e">
        <v>#NUM!</v>
      </c>
      <c r="F67" s="27">
        <v>0</v>
      </c>
      <c r="G67" s="27">
        <v>0</v>
      </c>
    </row>
    <row r="68" spans="1:7" x14ac:dyDescent="0.3">
      <c r="A68" s="27" t="s">
        <v>1284</v>
      </c>
      <c r="B68" s="27">
        <v>0</v>
      </c>
      <c r="C68" s="27">
        <v>0</v>
      </c>
      <c r="D68" s="27" t="e">
        <v>#NUM!</v>
      </c>
      <c r="E68" s="27" t="e">
        <v>#NUM!</v>
      </c>
      <c r="F68" s="27">
        <v>0</v>
      </c>
      <c r="G68" s="27">
        <v>0</v>
      </c>
    </row>
    <row r="69" spans="1:7" x14ac:dyDescent="0.3">
      <c r="A69" s="27" t="s">
        <v>1304</v>
      </c>
      <c r="B69" s="27">
        <v>450</v>
      </c>
      <c r="C69" s="27">
        <v>0</v>
      </c>
      <c r="D69" s="27">
        <v>1E-3</v>
      </c>
      <c r="E69" s="27">
        <v>0.02</v>
      </c>
      <c r="F69" s="27">
        <v>17.399999999999999</v>
      </c>
      <c r="G69" s="27">
        <v>1000</v>
      </c>
    </row>
    <row r="70" spans="1:7" x14ac:dyDescent="0.3">
      <c r="A70" s="27" t="s">
        <v>1305</v>
      </c>
      <c r="B70" s="27">
        <v>450</v>
      </c>
      <c r="C70" s="27">
        <v>0</v>
      </c>
      <c r="D70" s="27">
        <v>1E-3</v>
      </c>
      <c r="E70" s="27">
        <v>0.02</v>
      </c>
      <c r="F70" s="27">
        <v>17.399999999999999</v>
      </c>
      <c r="G70" s="27">
        <v>1000</v>
      </c>
    </row>
    <row r="71" spans="1:7" x14ac:dyDescent="0.3">
      <c r="A71" s="27" t="s">
        <v>435</v>
      </c>
      <c r="B71" s="27">
        <v>450</v>
      </c>
      <c r="C71" s="27">
        <v>20.96</v>
      </c>
      <c r="D71" s="27">
        <v>3.1</v>
      </c>
      <c r="E71" s="27">
        <v>18.7</v>
      </c>
      <c r="F71" s="27">
        <v>18.399999999999999</v>
      </c>
      <c r="G71" s="27">
        <v>337</v>
      </c>
    </row>
    <row r="72" spans="1:7" x14ac:dyDescent="0.3">
      <c r="A72" s="27" t="s">
        <v>436</v>
      </c>
      <c r="B72" s="27">
        <v>450</v>
      </c>
      <c r="C72" s="27">
        <v>20.96</v>
      </c>
      <c r="D72" s="27">
        <v>3.1</v>
      </c>
      <c r="E72" s="27">
        <v>18.7</v>
      </c>
      <c r="F72" s="27">
        <v>18.399999999999999</v>
      </c>
      <c r="G72" s="27">
        <v>337</v>
      </c>
    </row>
    <row r="73" spans="1:7" x14ac:dyDescent="0.3">
      <c r="A73" s="27" t="s">
        <v>56</v>
      </c>
      <c r="B73" s="27">
        <v>0</v>
      </c>
      <c r="C73" s="27">
        <v>0</v>
      </c>
      <c r="D73" s="27">
        <v>0</v>
      </c>
      <c r="E73" s="27">
        <v>0</v>
      </c>
      <c r="F73" s="27">
        <v>0</v>
      </c>
      <c r="G73" s="27">
        <v>0</v>
      </c>
    </row>
    <row r="74" spans="1:7" x14ac:dyDescent="0.3">
      <c r="A74" s="27">
        <v>0</v>
      </c>
      <c r="B74" s="27">
        <v>0</v>
      </c>
      <c r="C74" s="27">
        <v>0</v>
      </c>
      <c r="D74" s="27">
        <v>0</v>
      </c>
      <c r="E74" s="27">
        <v>0</v>
      </c>
      <c r="F74" s="27">
        <v>0</v>
      </c>
      <c r="G74" s="27">
        <v>0</v>
      </c>
    </row>
    <row r="75" spans="1:7" x14ac:dyDescent="0.3">
      <c r="A75" s="27">
        <v>0</v>
      </c>
      <c r="B75" s="27">
        <v>0</v>
      </c>
      <c r="C75" s="27">
        <v>0</v>
      </c>
      <c r="D75" s="27">
        <v>0</v>
      </c>
      <c r="E75" s="27">
        <v>0</v>
      </c>
      <c r="F75" s="27">
        <v>0</v>
      </c>
      <c r="G75" s="27">
        <v>0</v>
      </c>
    </row>
    <row r="76" spans="1:7" x14ac:dyDescent="0.3">
      <c r="A76" s="27">
        <v>0</v>
      </c>
      <c r="B76" s="27">
        <v>0</v>
      </c>
      <c r="C76" s="27">
        <v>0</v>
      </c>
      <c r="D76" s="27">
        <v>0</v>
      </c>
      <c r="E76" s="27">
        <v>0</v>
      </c>
      <c r="F76" s="27">
        <v>0</v>
      </c>
      <c r="G76" s="27">
        <v>0</v>
      </c>
    </row>
    <row r="77" spans="1:7" x14ac:dyDescent="0.3">
      <c r="A77" s="27">
        <v>0</v>
      </c>
      <c r="B77" s="27">
        <v>0</v>
      </c>
      <c r="C77" s="27">
        <v>0</v>
      </c>
      <c r="D77" s="27">
        <v>0</v>
      </c>
      <c r="E77" s="27">
        <v>0</v>
      </c>
      <c r="F77" s="27">
        <v>0</v>
      </c>
      <c r="G77" s="27">
        <v>0</v>
      </c>
    </row>
    <row r="78" spans="1:7" x14ac:dyDescent="0.3">
      <c r="A78" s="27">
        <v>0</v>
      </c>
      <c r="B78" s="27">
        <v>0</v>
      </c>
      <c r="C78" s="27">
        <v>0</v>
      </c>
      <c r="D78" s="27">
        <v>0</v>
      </c>
      <c r="E78" s="27">
        <v>0</v>
      </c>
      <c r="F78" s="27">
        <v>0</v>
      </c>
      <c r="G78" s="27">
        <v>0</v>
      </c>
    </row>
    <row r="79" spans="1:7" x14ac:dyDescent="0.3">
      <c r="A79" s="27">
        <v>0</v>
      </c>
      <c r="B79" s="27">
        <v>0</v>
      </c>
      <c r="C79" s="27">
        <v>0</v>
      </c>
      <c r="D79" s="27">
        <v>0</v>
      </c>
      <c r="E79" s="27">
        <v>0</v>
      </c>
      <c r="F79" s="27">
        <v>0</v>
      </c>
      <c r="G79" s="27">
        <v>0</v>
      </c>
    </row>
    <row r="80" spans="1:7" x14ac:dyDescent="0.3">
      <c r="A80" s="27">
        <v>0</v>
      </c>
      <c r="B80" s="27">
        <v>0</v>
      </c>
      <c r="C80" s="27">
        <v>0</v>
      </c>
      <c r="D80" s="27">
        <v>0</v>
      </c>
      <c r="E80" s="27">
        <v>0</v>
      </c>
      <c r="F80" s="27">
        <v>0</v>
      </c>
      <c r="G80" s="27">
        <v>0</v>
      </c>
    </row>
    <row r="81" spans="1:7" x14ac:dyDescent="0.3">
      <c r="A81" s="27">
        <v>0</v>
      </c>
      <c r="B81" s="27">
        <v>0</v>
      </c>
      <c r="C81" s="27">
        <v>0</v>
      </c>
      <c r="D81" s="27">
        <v>0</v>
      </c>
      <c r="E81" s="27">
        <v>0</v>
      </c>
      <c r="F81" s="27">
        <v>0</v>
      </c>
      <c r="G81" s="27">
        <v>0</v>
      </c>
    </row>
    <row r="82" spans="1:7" x14ac:dyDescent="0.3">
      <c r="A82" s="27">
        <v>0</v>
      </c>
      <c r="B82" s="27">
        <v>0</v>
      </c>
      <c r="C82" s="27">
        <v>0</v>
      </c>
      <c r="D82" s="27">
        <v>0</v>
      </c>
      <c r="E82" s="27">
        <v>0</v>
      </c>
      <c r="F82" s="27">
        <v>0</v>
      </c>
      <c r="G82" s="27">
        <v>0</v>
      </c>
    </row>
    <row r="83" spans="1:7" x14ac:dyDescent="0.3">
      <c r="A83" s="27">
        <v>0</v>
      </c>
      <c r="B83" s="27">
        <v>0</v>
      </c>
      <c r="C83" s="27">
        <v>0</v>
      </c>
      <c r="D83" s="27">
        <v>0</v>
      </c>
      <c r="E83" s="27">
        <v>0</v>
      </c>
      <c r="F83" s="27">
        <v>0</v>
      </c>
      <c r="G83" s="27">
        <v>0</v>
      </c>
    </row>
    <row r="84" spans="1:7" x14ac:dyDescent="0.3">
      <c r="A84" s="27">
        <v>0</v>
      </c>
      <c r="B84" s="27">
        <v>0</v>
      </c>
      <c r="C84" s="27">
        <v>0</v>
      </c>
      <c r="D84" s="27">
        <v>0</v>
      </c>
      <c r="E84" s="27">
        <v>0</v>
      </c>
      <c r="F84" s="27">
        <v>0</v>
      </c>
      <c r="G84" s="27">
        <v>0</v>
      </c>
    </row>
    <row r="85" spans="1:7" x14ac:dyDescent="0.3">
      <c r="A85" s="27">
        <v>0</v>
      </c>
      <c r="B85" s="27">
        <v>0</v>
      </c>
      <c r="C85" s="27">
        <v>0</v>
      </c>
      <c r="D85" s="27">
        <v>0</v>
      </c>
      <c r="E85" s="27">
        <v>0</v>
      </c>
      <c r="F85" s="27">
        <v>0</v>
      </c>
      <c r="G85" s="27">
        <v>0</v>
      </c>
    </row>
    <row r="86" spans="1:7" x14ac:dyDescent="0.3">
      <c r="A86" s="27">
        <v>0</v>
      </c>
      <c r="B86" s="27">
        <v>0</v>
      </c>
      <c r="C86" s="27">
        <v>0</v>
      </c>
      <c r="D86" s="27">
        <v>0</v>
      </c>
      <c r="E86" s="27">
        <v>0</v>
      </c>
      <c r="F86" s="27">
        <v>0</v>
      </c>
      <c r="G86" s="27">
        <v>0</v>
      </c>
    </row>
    <row r="87" spans="1:7" x14ac:dyDescent="0.3">
      <c r="A87" s="27">
        <v>0</v>
      </c>
      <c r="B87" s="27">
        <v>0</v>
      </c>
      <c r="C87" s="27">
        <v>0</v>
      </c>
      <c r="D87" s="27">
        <v>0</v>
      </c>
      <c r="E87" s="27">
        <v>0</v>
      </c>
      <c r="F87" s="27">
        <v>0</v>
      </c>
      <c r="G87" s="27">
        <v>0</v>
      </c>
    </row>
    <row r="88" spans="1:7" x14ac:dyDescent="0.3">
      <c r="A88" s="27">
        <v>0</v>
      </c>
      <c r="B88" s="27">
        <v>0</v>
      </c>
      <c r="C88" s="27">
        <v>0</v>
      </c>
      <c r="D88" s="27">
        <v>0</v>
      </c>
      <c r="E88" s="27">
        <v>0</v>
      </c>
      <c r="F88" s="27">
        <v>0</v>
      </c>
      <c r="G88" s="27">
        <v>0</v>
      </c>
    </row>
    <row r="89" spans="1:7" x14ac:dyDescent="0.3">
      <c r="A89" s="27">
        <v>0</v>
      </c>
      <c r="B89" s="27">
        <v>0</v>
      </c>
      <c r="C89" s="27">
        <v>0</v>
      </c>
      <c r="D89" s="27">
        <v>0</v>
      </c>
      <c r="E89" s="27">
        <v>0</v>
      </c>
      <c r="F89" s="27">
        <v>0</v>
      </c>
      <c r="G89" s="27">
        <v>0</v>
      </c>
    </row>
    <row r="90" spans="1:7" x14ac:dyDescent="0.3">
      <c r="A90" s="27">
        <v>0</v>
      </c>
      <c r="B90" s="27">
        <v>0</v>
      </c>
      <c r="C90" s="27">
        <v>0</v>
      </c>
      <c r="D90" s="27">
        <v>0</v>
      </c>
      <c r="E90" s="27">
        <v>0</v>
      </c>
      <c r="F90" s="27">
        <v>0</v>
      </c>
      <c r="G90" s="27">
        <v>0</v>
      </c>
    </row>
    <row r="91" spans="1:7" x14ac:dyDescent="0.3">
      <c r="A91" s="27">
        <v>0</v>
      </c>
      <c r="B91" s="27">
        <v>0</v>
      </c>
      <c r="C91" s="27">
        <v>0</v>
      </c>
      <c r="D91" s="27">
        <v>0</v>
      </c>
      <c r="E91" s="27">
        <v>0</v>
      </c>
      <c r="F91" s="27">
        <v>0</v>
      </c>
      <c r="G91" s="27">
        <v>0</v>
      </c>
    </row>
    <row r="92" spans="1:7" x14ac:dyDescent="0.3">
      <c r="A92" s="27">
        <v>0</v>
      </c>
      <c r="B92" s="27">
        <v>0</v>
      </c>
      <c r="C92" s="27">
        <v>0</v>
      </c>
      <c r="D92" s="27">
        <v>0</v>
      </c>
      <c r="E92" s="27">
        <v>0</v>
      </c>
      <c r="F92" s="27">
        <v>0</v>
      </c>
      <c r="G92" s="27">
        <v>0</v>
      </c>
    </row>
    <row r="93" spans="1:7" x14ac:dyDescent="0.3">
      <c r="A93" s="27">
        <v>0</v>
      </c>
      <c r="B93" s="27">
        <v>0</v>
      </c>
      <c r="C93" s="27">
        <v>0</v>
      </c>
      <c r="D93" s="27">
        <v>0</v>
      </c>
      <c r="E93" s="27">
        <v>0</v>
      </c>
      <c r="F93" s="27">
        <v>0</v>
      </c>
      <c r="G93" s="27">
        <v>0</v>
      </c>
    </row>
    <row r="94" spans="1:7" x14ac:dyDescent="0.3">
      <c r="A94" s="27">
        <v>0</v>
      </c>
      <c r="B94" s="27">
        <v>0</v>
      </c>
      <c r="C94" s="27">
        <v>0</v>
      </c>
      <c r="D94" s="27">
        <v>0</v>
      </c>
      <c r="E94" s="27">
        <v>0</v>
      </c>
      <c r="F94" s="27">
        <v>0</v>
      </c>
      <c r="G94" s="27">
        <v>0</v>
      </c>
    </row>
    <row r="95" spans="1:7" x14ac:dyDescent="0.3">
      <c r="A95" s="27">
        <v>0</v>
      </c>
      <c r="B95" s="27">
        <v>0</v>
      </c>
      <c r="C95" s="27">
        <v>0</v>
      </c>
      <c r="D95" s="27">
        <v>0</v>
      </c>
      <c r="E95" s="27">
        <v>0</v>
      </c>
      <c r="F95" s="27">
        <v>0</v>
      </c>
      <c r="G95" s="27">
        <v>0</v>
      </c>
    </row>
    <row r="96" spans="1:7" x14ac:dyDescent="0.3">
      <c r="A96" s="27">
        <v>0</v>
      </c>
      <c r="B96" s="27">
        <v>0</v>
      </c>
      <c r="C96" s="27">
        <v>0</v>
      </c>
      <c r="D96" s="27">
        <v>0</v>
      </c>
      <c r="E96" s="27">
        <v>0</v>
      </c>
      <c r="F96" s="27">
        <v>0</v>
      </c>
      <c r="G96" s="27">
        <v>0</v>
      </c>
    </row>
    <row r="97" spans="1:7" x14ac:dyDescent="0.3">
      <c r="A97" s="27">
        <v>0</v>
      </c>
      <c r="B97" s="27">
        <v>0</v>
      </c>
      <c r="C97" s="27">
        <v>0</v>
      </c>
      <c r="D97" s="27">
        <v>0</v>
      </c>
      <c r="E97" s="27">
        <v>0</v>
      </c>
      <c r="F97" s="27">
        <v>0</v>
      </c>
      <c r="G97" s="27">
        <v>0</v>
      </c>
    </row>
    <row r="98" spans="1:7" x14ac:dyDescent="0.3">
      <c r="A98" s="27">
        <v>0</v>
      </c>
      <c r="B98" s="27">
        <v>0</v>
      </c>
      <c r="C98" s="27">
        <v>0</v>
      </c>
      <c r="D98" s="27">
        <v>0</v>
      </c>
      <c r="E98" s="27">
        <v>0</v>
      </c>
      <c r="F98" s="27">
        <v>0</v>
      </c>
      <c r="G98" s="27">
        <v>0</v>
      </c>
    </row>
    <row r="99" spans="1:7" x14ac:dyDescent="0.3">
      <c r="A99" s="27">
        <v>0</v>
      </c>
      <c r="B99" s="27">
        <v>0</v>
      </c>
      <c r="C99" s="27">
        <v>0</v>
      </c>
      <c r="D99" s="27">
        <v>0</v>
      </c>
      <c r="E99" s="27">
        <v>0</v>
      </c>
      <c r="F99" s="27">
        <v>0</v>
      </c>
      <c r="G99" s="27">
        <v>0</v>
      </c>
    </row>
    <row r="100" spans="1:7" x14ac:dyDescent="0.3">
      <c r="A100" s="27">
        <v>0</v>
      </c>
      <c r="B100" s="27">
        <v>0</v>
      </c>
      <c r="C100" s="27">
        <v>0</v>
      </c>
      <c r="D100" s="27">
        <v>0</v>
      </c>
      <c r="E100" s="27">
        <v>0</v>
      </c>
      <c r="F100" s="27">
        <v>0</v>
      </c>
      <c r="G100" s="27">
        <v>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tabColor theme="0" tint="-0.14999847407452621"/>
  </sheetPr>
  <dimension ref="A1:O79"/>
  <sheetViews>
    <sheetView workbookViewId="0">
      <selection activeCell="D1" sqref="D1"/>
    </sheetView>
  </sheetViews>
  <sheetFormatPr defaultRowHeight="14.4" x14ac:dyDescent="0.3"/>
  <cols>
    <col min="1" max="1" width="9.33203125" style="12"/>
    <col min="2" max="2" width="24.33203125" bestFit="1" customWidth="1"/>
    <col min="3" max="3" width="27.5546875" style="12" bestFit="1" customWidth="1"/>
    <col min="4" max="4" width="29.6640625" style="12" bestFit="1" customWidth="1"/>
    <col min="5" max="5" width="20.33203125" style="12" bestFit="1" customWidth="1"/>
    <col min="6" max="6" width="9.33203125" style="12"/>
    <col min="7" max="7" width="15.6640625" style="12" customWidth="1"/>
    <col min="8" max="8" width="3.5546875" customWidth="1"/>
  </cols>
  <sheetData>
    <row r="1" spans="1:15" ht="32.4" x14ac:dyDescent="0.6">
      <c r="A1" s="2" t="s">
        <v>15</v>
      </c>
    </row>
    <row r="3" spans="1:15" ht="15.6" customHeight="1" x14ac:dyDescent="0.3">
      <c r="A3" s="292" t="s">
        <v>0</v>
      </c>
      <c r="B3" s="293"/>
      <c r="C3" s="293"/>
      <c r="D3" s="293"/>
      <c r="E3" s="293"/>
      <c r="F3" s="313" t="s">
        <v>1</v>
      </c>
      <c r="G3" s="315" t="s">
        <v>42</v>
      </c>
      <c r="H3" s="304"/>
      <c r="I3" s="291" t="s">
        <v>7</v>
      </c>
      <c r="J3" s="291"/>
      <c r="K3" s="291"/>
      <c r="L3" s="291"/>
      <c r="M3" s="291"/>
      <c r="N3" s="291"/>
      <c r="O3" s="291"/>
    </row>
    <row r="4" spans="1:15" ht="15.6" x14ac:dyDescent="0.3">
      <c r="A4" s="66" t="s">
        <v>2</v>
      </c>
      <c r="B4" s="1" t="s">
        <v>3</v>
      </c>
      <c r="C4" s="66" t="s">
        <v>4</v>
      </c>
      <c r="D4" s="69" t="s">
        <v>5</v>
      </c>
      <c r="E4" s="69" t="s">
        <v>6</v>
      </c>
      <c r="F4" s="313"/>
      <c r="G4" s="315"/>
      <c r="H4" s="306"/>
      <c r="I4" s="66" t="s">
        <v>8</v>
      </c>
      <c r="J4" s="66" t="s">
        <v>9</v>
      </c>
      <c r="K4" s="66" t="s">
        <v>10</v>
      </c>
      <c r="L4" s="66" t="s">
        <v>11</v>
      </c>
      <c r="M4" s="66" t="s">
        <v>12</v>
      </c>
      <c r="N4" s="66" t="s">
        <v>13</v>
      </c>
      <c r="O4" s="66" t="s">
        <v>14</v>
      </c>
    </row>
    <row r="5" spans="1:15" x14ac:dyDescent="0.3">
      <c r="A5" s="141">
        <v>1</v>
      </c>
      <c r="B5" s="4" t="s">
        <v>915</v>
      </c>
      <c r="C5" s="141" t="s">
        <v>916</v>
      </c>
      <c r="D5" s="141" t="s">
        <v>917</v>
      </c>
      <c r="E5" s="141" t="s">
        <v>918</v>
      </c>
      <c r="F5" s="141">
        <v>850</v>
      </c>
      <c r="G5" s="141" t="s">
        <v>43</v>
      </c>
      <c r="H5" s="314"/>
      <c r="I5" s="141">
        <v>0</v>
      </c>
      <c r="J5" s="141">
        <v>450</v>
      </c>
      <c r="K5" s="141">
        <v>16</v>
      </c>
      <c r="L5" s="141">
        <v>3.3</v>
      </c>
      <c r="M5" s="141">
        <v>4.8</v>
      </c>
      <c r="N5" s="141">
        <v>19.2</v>
      </c>
      <c r="O5" s="141">
        <v>100</v>
      </c>
    </row>
    <row r="6" spans="1:15" x14ac:dyDescent="0.3">
      <c r="A6" s="141">
        <v>2</v>
      </c>
      <c r="B6" s="4" t="s">
        <v>919</v>
      </c>
      <c r="C6" s="141" t="s">
        <v>920</v>
      </c>
      <c r="D6" s="141" t="s">
        <v>921</v>
      </c>
      <c r="E6" s="141" t="s">
        <v>922</v>
      </c>
      <c r="F6" s="141">
        <v>850</v>
      </c>
      <c r="G6" s="141" t="s">
        <v>43</v>
      </c>
      <c r="H6" s="314"/>
      <c r="I6" s="141">
        <v>0</v>
      </c>
      <c r="J6" s="141">
        <v>450</v>
      </c>
      <c r="K6" s="141">
        <v>8.16</v>
      </c>
      <c r="L6" s="141">
        <v>0.9</v>
      </c>
      <c r="M6" s="141">
        <v>20</v>
      </c>
      <c r="N6" s="141">
        <v>17.899999999999999</v>
      </c>
      <c r="O6" s="141">
        <v>51</v>
      </c>
    </row>
    <row r="7" spans="1:15" x14ac:dyDescent="0.3">
      <c r="A7" s="141">
        <v>3</v>
      </c>
      <c r="B7" s="4" t="s">
        <v>923</v>
      </c>
      <c r="C7" s="141" t="s">
        <v>924</v>
      </c>
      <c r="D7" s="141" t="s">
        <v>925</v>
      </c>
      <c r="E7" s="141" t="s">
        <v>925</v>
      </c>
      <c r="F7" s="141">
        <v>180</v>
      </c>
      <c r="G7" s="141" t="s">
        <v>8</v>
      </c>
      <c r="H7" s="314"/>
      <c r="I7" s="141">
        <v>0.8</v>
      </c>
      <c r="J7" s="141">
        <v>450</v>
      </c>
      <c r="K7" s="141">
        <v>25.139200000000002</v>
      </c>
      <c r="L7" s="141">
        <v>3.45</v>
      </c>
      <c r="M7" s="141">
        <v>26.21</v>
      </c>
      <c r="N7" s="141">
        <v>16.5</v>
      </c>
      <c r="O7" s="141">
        <v>157.12</v>
      </c>
    </row>
    <row r="8" spans="1:15" x14ac:dyDescent="0.3">
      <c r="A8" s="141">
        <v>4</v>
      </c>
      <c r="B8" s="4" t="s">
        <v>926</v>
      </c>
      <c r="C8" s="141" t="s">
        <v>916</v>
      </c>
      <c r="D8" s="141" t="s">
        <v>917</v>
      </c>
      <c r="E8" s="141" t="s">
        <v>918</v>
      </c>
      <c r="F8" s="141">
        <v>850</v>
      </c>
      <c r="G8" s="141" t="s">
        <v>43</v>
      </c>
      <c r="H8" s="314"/>
      <c r="I8" s="141">
        <v>0</v>
      </c>
      <c r="J8" s="141">
        <v>450</v>
      </c>
      <c r="K8" s="141">
        <v>16.96</v>
      </c>
      <c r="L8" s="141">
        <v>3.1</v>
      </c>
      <c r="M8" s="141">
        <v>4.9000000000000004</v>
      </c>
      <c r="N8" s="141">
        <v>19.3</v>
      </c>
      <c r="O8" s="141">
        <v>106</v>
      </c>
    </row>
    <row r="9" spans="1:15" x14ac:dyDescent="0.3">
      <c r="A9" s="141">
        <v>5</v>
      </c>
      <c r="B9" s="4" t="s">
        <v>927</v>
      </c>
      <c r="C9" s="141" t="s">
        <v>920</v>
      </c>
      <c r="D9" s="141" t="s">
        <v>921</v>
      </c>
      <c r="E9" s="141" t="s">
        <v>922</v>
      </c>
      <c r="F9" s="141">
        <v>850</v>
      </c>
      <c r="G9" s="141" t="s">
        <v>43</v>
      </c>
      <c r="H9" s="314"/>
      <c r="I9" s="141">
        <v>0</v>
      </c>
      <c r="J9" s="141">
        <v>450</v>
      </c>
      <c r="K9" s="141">
        <v>6.4</v>
      </c>
      <c r="L9" s="141">
        <v>0.8</v>
      </c>
      <c r="M9" s="141">
        <v>17</v>
      </c>
      <c r="N9" s="141">
        <v>18.2</v>
      </c>
      <c r="O9" s="141">
        <v>40</v>
      </c>
    </row>
    <row r="10" spans="1:15" x14ac:dyDescent="0.3">
      <c r="A10" s="141">
        <v>6</v>
      </c>
      <c r="B10" s="4" t="s">
        <v>928</v>
      </c>
      <c r="C10" s="141" t="s">
        <v>916</v>
      </c>
      <c r="D10" s="141" t="s">
        <v>917</v>
      </c>
      <c r="E10" s="141" t="s">
        <v>918</v>
      </c>
      <c r="F10" s="141">
        <v>850</v>
      </c>
      <c r="G10" s="141" t="s">
        <v>43</v>
      </c>
      <c r="H10" s="314"/>
      <c r="I10" s="141">
        <v>0</v>
      </c>
      <c r="J10" s="141">
        <v>450</v>
      </c>
      <c r="K10" s="141">
        <v>17.760000000000002</v>
      </c>
      <c r="L10" s="141">
        <v>3</v>
      </c>
      <c r="M10" s="141">
        <v>4.8</v>
      </c>
      <c r="N10" s="141">
        <v>19.3</v>
      </c>
      <c r="O10" s="141">
        <v>111</v>
      </c>
    </row>
    <row r="11" spans="1:15" x14ac:dyDescent="0.3">
      <c r="A11" s="141">
        <v>7</v>
      </c>
      <c r="B11" s="4" t="s">
        <v>929</v>
      </c>
      <c r="C11" s="141" t="s">
        <v>920</v>
      </c>
      <c r="D11" s="141" t="s">
        <v>921</v>
      </c>
      <c r="E11" s="141" t="s">
        <v>922</v>
      </c>
      <c r="F11" s="141">
        <v>850</v>
      </c>
      <c r="G11" s="141" t="s">
        <v>43</v>
      </c>
      <c r="H11" s="314"/>
      <c r="I11" s="141">
        <v>0</v>
      </c>
      <c r="J11" s="141">
        <v>450</v>
      </c>
      <c r="K11" s="141">
        <v>5.28</v>
      </c>
      <c r="L11" s="141">
        <v>0.9</v>
      </c>
      <c r="M11" s="141">
        <v>15</v>
      </c>
      <c r="N11" s="141">
        <v>18.5</v>
      </c>
      <c r="O11" s="141">
        <v>33</v>
      </c>
    </row>
    <row r="12" spans="1:15" x14ac:dyDescent="0.3">
      <c r="A12" s="141">
        <v>8</v>
      </c>
      <c r="B12" s="4" t="s">
        <v>930</v>
      </c>
      <c r="C12" s="141" t="s">
        <v>931</v>
      </c>
      <c r="D12" s="141" t="s">
        <v>921</v>
      </c>
      <c r="E12" s="141" t="s">
        <v>918</v>
      </c>
      <c r="F12" s="141">
        <v>914</v>
      </c>
      <c r="G12" s="141" t="s">
        <v>43</v>
      </c>
      <c r="H12" s="314"/>
      <c r="I12" s="141">
        <v>0</v>
      </c>
      <c r="J12" s="141">
        <v>450</v>
      </c>
      <c r="K12" s="141">
        <v>30.08</v>
      </c>
      <c r="L12" s="141">
        <v>7.6</v>
      </c>
      <c r="M12" s="141">
        <v>10</v>
      </c>
      <c r="N12" s="141">
        <v>27.6</v>
      </c>
      <c r="O12" s="141">
        <v>188</v>
      </c>
    </row>
    <row r="13" spans="1:15" x14ac:dyDescent="0.3">
      <c r="A13" s="141">
        <v>9</v>
      </c>
      <c r="B13" s="4" t="s">
        <v>932</v>
      </c>
      <c r="C13" s="141" t="s">
        <v>933</v>
      </c>
      <c r="D13" s="141" t="s">
        <v>921</v>
      </c>
      <c r="E13" s="141" t="s">
        <v>922</v>
      </c>
      <c r="F13" s="141">
        <v>950</v>
      </c>
      <c r="G13" s="141" t="s">
        <v>43</v>
      </c>
      <c r="H13" s="314"/>
      <c r="I13" s="141">
        <v>0</v>
      </c>
      <c r="J13" s="141">
        <v>450</v>
      </c>
      <c r="K13" s="141">
        <v>5.28</v>
      </c>
      <c r="L13" s="141">
        <v>1</v>
      </c>
      <c r="M13" s="141">
        <v>20.2</v>
      </c>
      <c r="N13" s="141">
        <v>17.7</v>
      </c>
      <c r="O13" s="141">
        <v>33</v>
      </c>
    </row>
    <row r="14" spans="1:15" x14ac:dyDescent="0.3">
      <c r="A14" s="141">
        <v>10</v>
      </c>
      <c r="B14" s="4" t="s">
        <v>934</v>
      </c>
      <c r="C14" s="141" t="s">
        <v>916</v>
      </c>
      <c r="D14" s="141" t="s">
        <v>917</v>
      </c>
      <c r="E14" s="141" t="s">
        <v>918</v>
      </c>
      <c r="F14" s="141">
        <v>850</v>
      </c>
      <c r="G14" s="141" t="s">
        <v>43</v>
      </c>
      <c r="H14" s="314"/>
      <c r="I14" s="141">
        <v>0</v>
      </c>
      <c r="J14" s="141">
        <v>450</v>
      </c>
      <c r="K14" s="141">
        <v>14.24</v>
      </c>
      <c r="L14" s="141">
        <v>3</v>
      </c>
      <c r="M14" s="141">
        <v>4.5</v>
      </c>
      <c r="N14" s="141">
        <v>19.100000000000001</v>
      </c>
      <c r="O14" s="141">
        <v>89</v>
      </c>
    </row>
    <row r="15" spans="1:15" x14ac:dyDescent="0.3">
      <c r="A15" s="141">
        <v>11</v>
      </c>
      <c r="B15" s="4" t="s">
        <v>935</v>
      </c>
      <c r="C15" s="141" t="s">
        <v>920</v>
      </c>
      <c r="D15" s="141" t="s">
        <v>921</v>
      </c>
      <c r="E15" s="141" t="s">
        <v>922</v>
      </c>
      <c r="F15" s="141">
        <v>850</v>
      </c>
      <c r="G15" s="141" t="s">
        <v>43</v>
      </c>
      <c r="H15" s="314"/>
      <c r="I15" s="141">
        <v>0</v>
      </c>
      <c r="J15" s="141">
        <v>450</v>
      </c>
      <c r="K15" s="141">
        <v>6.08</v>
      </c>
      <c r="L15" s="141">
        <v>0.8</v>
      </c>
      <c r="M15" s="141">
        <v>7.6</v>
      </c>
      <c r="N15" s="141">
        <v>18.399999999999999</v>
      </c>
      <c r="O15" s="141">
        <v>38</v>
      </c>
    </row>
    <row r="16" spans="1:15" x14ac:dyDescent="0.3">
      <c r="A16" s="141">
        <v>12</v>
      </c>
      <c r="B16" s="4" t="s">
        <v>936</v>
      </c>
      <c r="C16" s="141" t="s">
        <v>916</v>
      </c>
      <c r="D16" s="141" t="s">
        <v>917</v>
      </c>
      <c r="E16" s="141" t="s">
        <v>918</v>
      </c>
      <c r="F16" s="141">
        <v>850</v>
      </c>
      <c r="G16" s="141" t="s">
        <v>43</v>
      </c>
      <c r="H16" s="314"/>
      <c r="I16" s="141">
        <v>0</v>
      </c>
      <c r="J16" s="141">
        <v>450</v>
      </c>
      <c r="K16" s="141">
        <v>17.12</v>
      </c>
      <c r="L16" s="141">
        <v>3.4</v>
      </c>
      <c r="M16" s="141">
        <v>4.5</v>
      </c>
      <c r="N16" s="141">
        <v>19.7</v>
      </c>
      <c r="O16" s="141">
        <v>107</v>
      </c>
    </row>
    <row r="17" spans="1:15" x14ac:dyDescent="0.3">
      <c r="A17" s="141">
        <v>13</v>
      </c>
      <c r="B17" s="4" t="s">
        <v>937</v>
      </c>
      <c r="C17" s="141" t="s">
        <v>920</v>
      </c>
      <c r="D17" s="141" t="s">
        <v>921</v>
      </c>
      <c r="E17" s="141" t="s">
        <v>922</v>
      </c>
      <c r="F17" s="141">
        <v>850</v>
      </c>
      <c r="G17" s="141" t="s">
        <v>43</v>
      </c>
      <c r="H17" s="314"/>
      <c r="I17" s="141">
        <v>0</v>
      </c>
      <c r="J17" s="141">
        <v>450</v>
      </c>
      <c r="K17" s="141">
        <v>5.92</v>
      </c>
      <c r="L17" s="141">
        <v>1.4</v>
      </c>
      <c r="M17" s="141">
        <v>21</v>
      </c>
      <c r="N17" s="141">
        <v>18</v>
      </c>
      <c r="O17" s="141">
        <v>37</v>
      </c>
    </row>
    <row r="18" spans="1:15" x14ac:dyDescent="0.3">
      <c r="A18" s="141">
        <v>14</v>
      </c>
      <c r="B18" s="4" t="s">
        <v>938</v>
      </c>
      <c r="C18" s="141" t="s">
        <v>939</v>
      </c>
      <c r="D18" s="141" t="s">
        <v>925</v>
      </c>
      <c r="E18" s="141" t="s">
        <v>925</v>
      </c>
      <c r="F18" s="141">
        <v>318</v>
      </c>
      <c r="G18" s="141" t="s">
        <v>8</v>
      </c>
      <c r="H18" s="314"/>
      <c r="I18" s="141">
        <v>0.85</v>
      </c>
      <c r="J18" s="141">
        <v>450</v>
      </c>
      <c r="K18" s="141">
        <v>11.68</v>
      </c>
      <c r="L18" s="141">
        <v>2.2000000000000002</v>
      </c>
      <c r="M18" s="141">
        <v>11.3</v>
      </c>
      <c r="N18" s="141">
        <v>17.7</v>
      </c>
      <c r="O18" s="141">
        <v>73</v>
      </c>
    </row>
    <row r="19" spans="1:15" x14ac:dyDescent="0.3">
      <c r="A19" s="141">
        <v>15</v>
      </c>
      <c r="B19" s="4" t="s">
        <v>940</v>
      </c>
      <c r="C19" s="141" t="s">
        <v>941</v>
      </c>
      <c r="D19" s="141" t="s">
        <v>942</v>
      </c>
      <c r="E19" s="141" t="s">
        <v>943</v>
      </c>
      <c r="F19" s="141">
        <v>240</v>
      </c>
      <c r="G19" s="141" t="s">
        <v>43</v>
      </c>
      <c r="H19" s="314"/>
      <c r="I19" s="141">
        <v>0</v>
      </c>
      <c r="J19" s="141">
        <v>450</v>
      </c>
      <c r="K19" s="141">
        <v>14.72</v>
      </c>
      <c r="L19" s="141">
        <v>2.1</v>
      </c>
      <c r="M19" s="141">
        <v>20</v>
      </c>
      <c r="N19" s="141">
        <v>18.2</v>
      </c>
      <c r="O19" s="141">
        <v>92</v>
      </c>
    </row>
    <row r="20" spans="1:15" x14ac:dyDescent="0.3">
      <c r="A20" s="141">
        <v>16</v>
      </c>
      <c r="B20" s="4" t="s">
        <v>944</v>
      </c>
      <c r="C20" s="141" t="s">
        <v>924</v>
      </c>
      <c r="D20" s="141" t="s">
        <v>925</v>
      </c>
      <c r="E20" s="141" t="s">
        <v>925</v>
      </c>
      <c r="F20" s="141">
        <v>180</v>
      </c>
      <c r="G20" s="141" t="s">
        <v>8</v>
      </c>
      <c r="H20" s="314"/>
      <c r="I20" s="141">
        <v>0.8</v>
      </c>
      <c r="J20" s="141">
        <v>450</v>
      </c>
      <c r="K20" s="141">
        <v>25.139200000000002</v>
      </c>
      <c r="L20" s="141">
        <v>3.45</v>
      </c>
      <c r="M20" s="141">
        <v>26.21</v>
      </c>
      <c r="N20" s="141">
        <v>16.5</v>
      </c>
      <c r="O20" s="141">
        <v>157.12</v>
      </c>
    </row>
    <row r="21" spans="1:15" x14ac:dyDescent="0.3">
      <c r="A21" s="141">
        <v>17</v>
      </c>
      <c r="B21" s="4" t="s">
        <v>945</v>
      </c>
      <c r="C21" s="141" t="s">
        <v>771</v>
      </c>
      <c r="D21" s="141" t="s">
        <v>921</v>
      </c>
      <c r="E21" s="141" t="s">
        <v>946</v>
      </c>
      <c r="F21" s="141">
        <v>850</v>
      </c>
      <c r="G21" s="141" t="s">
        <v>43</v>
      </c>
      <c r="H21" s="314"/>
      <c r="I21" s="141">
        <v>0</v>
      </c>
      <c r="J21" s="141">
        <v>450</v>
      </c>
      <c r="K21" s="141">
        <v>38.24</v>
      </c>
      <c r="L21" s="141">
        <v>4.5999999999999996</v>
      </c>
      <c r="M21" s="141">
        <v>9.9</v>
      </c>
      <c r="N21" s="141">
        <v>19.600000000000001</v>
      </c>
      <c r="O21" s="141">
        <v>239</v>
      </c>
    </row>
    <row r="22" spans="1:15" x14ac:dyDescent="0.3">
      <c r="A22" s="141">
        <v>18</v>
      </c>
      <c r="B22" s="4" t="s">
        <v>947</v>
      </c>
      <c r="C22" s="141" t="s">
        <v>920</v>
      </c>
      <c r="D22" s="141" t="s">
        <v>921</v>
      </c>
      <c r="E22" s="141" t="s">
        <v>922</v>
      </c>
      <c r="F22" s="141">
        <v>870</v>
      </c>
      <c r="G22" s="141" t="s">
        <v>43</v>
      </c>
      <c r="H22" s="314"/>
      <c r="I22" s="141">
        <v>0</v>
      </c>
      <c r="J22" s="141">
        <v>450</v>
      </c>
      <c r="K22" s="141">
        <v>10.88</v>
      </c>
      <c r="L22" s="141">
        <v>2</v>
      </c>
      <c r="M22" s="141">
        <v>7.5</v>
      </c>
      <c r="N22" s="141">
        <v>18.2</v>
      </c>
      <c r="O22" s="141">
        <v>68</v>
      </c>
    </row>
    <row r="23" spans="1:15" x14ac:dyDescent="0.3">
      <c r="A23" s="141">
        <v>19</v>
      </c>
      <c r="B23" s="4" t="s">
        <v>948</v>
      </c>
      <c r="C23" s="141" t="s">
        <v>949</v>
      </c>
      <c r="D23" s="141" t="s">
        <v>942</v>
      </c>
      <c r="E23" s="141" t="s">
        <v>943</v>
      </c>
      <c r="F23" s="141">
        <v>220</v>
      </c>
      <c r="G23" s="141" t="s">
        <v>43</v>
      </c>
      <c r="H23" s="314"/>
      <c r="I23" s="141">
        <v>0</v>
      </c>
      <c r="J23" s="141">
        <v>450</v>
      </c>
      <c r="K23" s="141">
        <v>9.44</v>
      </c>
      <c r="L23" s="141">
        <v>1.7</v>
      </c>
      <c r="M23" s="141">
        <v>21</v>
      </c>
      <c r="N23" s="141">
        <v>17.399999999999999</v>
      </c>
      <c r="O23" s="141">
        <v>59</v>
      </c>
    </row>
    <row r="24" spans="1:15" x14ac:dyDescent="0.3">
      <c r="A24" s="141">
        <v>20</v>
      </c>
      <c r="B24" s="4" t="s">
        <v>950</v>
      </c>
      <c r="C24" s="141" t="s">
        <v>951</v>
      </c>
      <c r="D24" s="141" t="s">
        <v>952</v>
      </c>
      <c r="E24" s="141" t="s">
        <v>953</v>
      </c>
      <c r="F24" s="141">
        <v>120</v>
      </c>
      <c r="G24" s="141" t="s">
        <v>43</v>
      </c>
      <c r="H24" s="314"/>
      <c r="I24" s="141">
        <v>0</v>
      </c>
      <c r="J24" s="141">
        <v>450</v>
      </c>
      <c r="K24" s="141">
        <v>26.24</v>
      </c>
      <c r="L24" s="141">
        <v>2.7</v>
      </c>
      <c r="M24" s="141">
        <v>30</v>
      </c>
      <c r="N24" s="141">
        <v>16.7</v>
      </c>
      <c r="O24" s="141">
        <v>164</v>
      </c>
    </row>
    <row r="25" spans="1:15" x14ac:dyDescent="0.3">
      <c r="A25" s="141">
        <v>21</v>
      </c>
      <c r="B25" s="4" t="s">
        <v>954</v>
      </c>
      <c r="C25" s="141" t="s">
        <v>955</v>
      </c>
      <c r="D25" s="141" t="s">
        <v>921</v>
      </c>
      <c r="E25" s="141" t="s">
        <v>943</v>
      </c>
      <c r="F25" s="141">
        <v>880</v>
      </c>
      <c r="G25" s="141" t="s">
        <v>43</v>
      </c>
      <c r="H25" s="314"/>
      <c r="I25" s="141">
        <v>0</v>
      </c>
      <c r="J25" s="141">
        <v>450</v>
      </c>
      <c r="K25" s="141">
        <v>14.24</v>
      </c>
      <c r="L25" s="141">
        <v>3</v>
      </c>
      <c r="M25" s="141">
        <v>4.5</v>
      </c>
      <c r="N25" s="141">
        <v>19.100000000000001</v>
      </c>
      <c r="O25" s="141">
        <v>89</v>
      </c>
    </row>
    <row r="26" spans="1:15" x14ac:dyDescent="0.3">
      <c r="A26" s="141">
        <v>22</v>
      </c>
      <c r="B26" s="4" t="s">
        <v>956</v>
      </c>
      <c r="C26" s="141" t="s">
        <v>957</v>
      </c>
      <c r="D26" s="141" t="s">
        <v>921</v>
      </c>
      <c r="E26" s="141" t="s">
        <v>922</v>
      </c>
      <c r="F26" s="141">
        <v>850</v>
      </c>
      <c r="G26" s="141" t="s">
        <v>43</v>
      </c>
      <c r="H26" s="314"/>
      <c r="I26" s="141">
        <v>0</v>
      </c>
      <c r="J26" s="141">
        <v>450</v>
      </c>
      <c r="K26" s="141">
        <v>10.72</v>
      </c>
      <c r="L26" s="141">
        <v>1.1000000000000001</v>
      </c>
      <c r="M26" s="141">
        <v>15</v>
      </c>
      <c r="N26" s="141">
        <v>18</v>
      </c>
      <c r="O26" s="141">
        <v>67</v>
      </c>
    </row>
    <row r="27" spans="1:15" x14ac:dyDescent="0.3">
      <c r="A27" s="141">
        <v>23</v>
      </c>
      <c r="B27" s="4" t="s">
        <v>958</v>
      </c>
      <c r="C27" s="141" t="s">
        <v>959</v>
      </c>
      <c r="D27" s="141" t="s">
        <v>942</v>
      </c>
      <c r="E27" s="141" t="s">
        <v>943</v>
      </c>
      <c r="F27" s="141">
        <v>240</v>
      </c>
      <c r="G27" s="141" t="s">
        <v>43</v>
      </c>
      <c r="H27" s="314"/>
      <c r="I27" s="141">
        <v>0</v>
      </c>
      <c r="J27" s="141">
        <v>450</v>
      </c>
      <c r="K27" s="141">
        <v>14.72</v>
      </c>
      <c r="L27" s="141">
        <v>2.1</v>
      </c>
      <c r="M27" s="141">
        <v>20</v>
      </c>
      <c r="N27" s="141">
        <v>18.2</v>
      </c>
      <c r="O27" s="141">
        <v>92</v>
      </c>
    </row>
    <row r="28" spans="1:15" x14ac:dyDescent="0.3">
      <c r="A28" s="141">
        <v>24</v>
      </c>
      <c r="B28" s="4" t="s">
        <v>960</v>
      </c>
      <c r="C28" s="141" t="s">
        <v>924</v>
      </c>
      <c r="D28" s="141" t="s">
        <v>925</v>
      </c>
      <c r="E28" s="141" t="s">
        <v>925</v>
      </c>
      <c r="F28" s="141">
        <v>180</v>
      </c>
      <c r="G28" s="141" t="s">
        <v>8</v>
      </c>
      <c r="H28" s="314"/>
      <c r="I28" s="141">
        <v>0.8</v>
      </c>
      <c r="J28" s="141">
        <v>450</v>
      </c>
      <c r="K28" s="141">
        <v>24.96</v>
      </c>
      <c r="L28" s="141">
        <v>3.7</v>
      </c>
      <c r="M28" s="141">
        <v>30</v>
      </c>
      <c r="N28" s="141">
        <v>17.8</v>
      </c>
      <c r="O28" s="141">
        <v>156</v>
      </c>
    </row>
    <row r="29" spans="1:15" x14ac:dyDescent="0.3">
      <c r="A29" s="141">
        <v>25</v>
      </c>
      <c r="B29" s="4" t="s">
        <v>961</v>
      </c>
      <c r="C29" s="141" t="s">
        <v>962</v>
      </c>
      <c r="D29" s="141" t="s">
        <v>925</v>
      </c>
      <c r="E29" s="141" t="s">
        <v>925</v>
      </c>
      <c r="F29" s="141">
        <v>337</v>
      </c>
      <c r="G29" s="141" t="s">
        <v>8</v>
      </c>
      <c r="H29" s="314"/>
      <c r="I29" s="141">
        <v>0.75</v>
      </c>
      <c r="J29" s="141">
        <v>450</v>
      </c>
      <c r="K29" s="141">
        <v>20.96</v>
      </c>
      <c r="L29" s="141">
        <v>3.1</v>
      </c>
      <c r="M29" s="141">
        <v>18.7</v>
      </c>
      <c r="N29" s="141">
        <v>18.399999999999999</v>
      </c>
      <c r="O29" s="141">
        <v>131</v>
      </c>
    </row>
    <row r="30" spans="1:15" x14ac:dyDescent="0.3">
      <c r="A30" s="141">
        <v>26</v>
      </c>
      <c r="B30" s="4" t="s">
        <v>963</v>
      </c>
      <c r="C30" s="141" t="s">
        <v>924</v>
      </c>
      <c r="D30" s="141" t="s">
        <v>925</v>
      </c>
      <c r="E30" s="141" t="s">
        <v>925</v>
      </c>
      <c r="F30" s="141">
        <v>180</v>
      </c>
      <c r="G30" s="141" t="s">
        <v>8</v>
      </c>
      <c r="H30" s="314"/>
      <c r="I30" s="141">
        <v>0.8</v>
      </c>
      <c r="J30" s="141">
        <v>450</v>
      </c>
      <c r="K30" s="141">
        <v>25.139200000000002</v>
      </c>
      <c r="L30" s="141">
        <v>3.45</v>
      </c>
      <c r="M30" s="141">
        <v>26.21</v>
      </c>
      <c r="N30" s="141">
        <v>16.5</v>
      </c>
      <c r="O30" s="141">
        <v>157.12</v>
      </c>
    </row>
    <row r="31" spans="1:15" x14ac:dyDescent="0.3">
      <c r="A31" s="141">
        <v>27</v>
      </c>
      <c r="B31" s="4" t="s">
        <v>964</v>
      </c>
      <c r="C31" s="141" t="s">
        <v>924</v>
      </c>
      <c r="D31" s="141" t="s">
        <v>925</v>
      </c>
      <c r="E31" s="141" t="s">
        <v>925</v>
      </c>
      <c r="F31" s="141">
        <v>180</v>
      </c>
      <c r="G31" s="141" t="s">
        <v>8</v>
      </c>
      <c r="H31" s="314"/>
      <c r="I31" s="141">
        <v>0.8</v>
      </c>
      <c r="J31" s="141">
        <v>450</v>
      </c>
      <c r="K31" s="141">
        <v>25.139200000000002</v>
      </c>
      <c r="L31" s="141">
        <v>3.45</v>
      </c>
      <c r="M31" s="141">
        <v>26.21</v>
      </c>
      <c r="N31" s="141">
        <v>16.5</v>
      </c>
      <c r="O31" s="141">
        <v>157.12</v>
      </c>
    </row>
    <row r="32" spans="1:15" x14ac:dyDescent="0.3">
      <c r="A32" s="141">
        <v>28</v>
      </c>
      <c r="B32" s="4" t="s">
        <v>965</v>
      </c>
      <c r="C32" s="141" t="s">
        <v>924</v>
      </c>
      <c r="D32" s="141" t="s">
        <v>925</v>
      </c>
      <c r="E32" s="141" t="s">
        <v>925</v>
      </c>
      <c r="F32" s="141">
        <v>184</v>
      </c>
      <c r="G32" s="141" t="s">
        <v>8</v>
      </c>
      <c r="H32" s="314"/>
      <c r="I32" s="141">
        <v>0.83</v>
      </c>
      <c r="J32" s="141">
        <v>450</v>
      </c>
      <c r="K32" s="141">
        <v>29.12</v>
      </c>
      <c r="L32" s="141">
        <v>3.9</v>
      </c>
      <c r="M32" s="141">
        <v>30.1</v>
      </c>
      <c r="N32" s="141">
        <v>16.5</v>
      </c>
      <c r="O32" s="141">
        <v>182</v>
      </c>
    </row>
    <row r="33" spans="1:15" x14ac:dyDescent="0.3">
      <c r="A33" s="141">
        <v>29</v>
      </c>
      <c r="B33" s="4" t="s">
        <v>966</v>
      </c>
      <c r="C33" s="141" t="s">
        <v>967</v>
      </c>
      <c r="D33" s="141" t="s">
        <v>925</v>
      </c>
      <c r="E33" s="141" t="s">
        <v>925</v>
      </c>
      <c r="F33" s="141">
        <v>210</v>
      </c>
      <c r="G33" s="141" t="s">
        <v>8</v>
      </c>
      <c r="H33" s="314"/>
      <c r="I33" s="141">
        <v>0.83299999999999996</v>
      </c>
      <c r="J33" s="141">
        <v>450</v>
      </c>
      <c r="K33" s="141">
        <v>29.44</v>
      </c>
      <c r="L33" s="141">
        <v>2.8</v>
      </c>
      <c r="M33" s="141">
        <v>28</v>
      </c>
      <c r="N33" s="141">
        <v>18.399999999999999</v>
      </c>
      <c r="O33" s="141">
        <v>184</v>
      </c>
    </row>
    <row r="34" spans="1:15" x14ac:dyDescent="0.3">
      <c r="A34" s="141">
        <v>30</v>
      </c>
      <c r="B34" s="4" t="s">
        <v>968</v>
      </c>
      <c r="C34" s="141" t="s">
        <v>924</v>
      </c>
      <c r="D34" s="141" t="s">
        <v>925</v>
      </c>
      <c r="E34" s="141" t="s">
        <v>925</v>
      </c>
      <c r="F34" s="141">
        <v>180</v>
      </c>
      <c r="G34" s="141" t="s">
        <v>8</v>
      </c>
      <c r="H34" s="314"/>
      <c r="I34" s="141">
        <v>0.8</v>
      </c>
      <c r="J34" s="141">
        <v>450</v>
      </c>
      <c r="K34" s="141">
        <v>32</v>
      </c>
      <c r="L34" s="141">
        <v>4</v>
      </c>
      <c r="M34" s="141">
        <v>30</v>
      </c>
      <c r="N34" s="141">
        <v>16.5</v>
      </c>
      <c r="O34" s="141">
        <v>200</v>
      </c>
    </row>
    <row r="35" spans="1:15" x14ac:dyDescent="0.3">
      <c r="A35" s="141">
        <v>31</v>
      </c>
      <c r="B35" s="4" t="s">
        <v>969</v>
      </c>
      <c r="C35" s="141" t="s">
        <v>970</v>
      </c>
      <c r="D35" s="141" t="s">
        <v>971</v>
      </c>
      <c r="E35" s="141" t="s">
        <v>972</v>
      </c>
      <c r="F35" s="141">
        <v>180</v>
      </c>
      <c r="G35" s="141" t="s">
        <v>8</v>
      </c>
      <c r="H35" s="314"/>
      <c r="I35" s="141">
        <v>0.8</v>
      </c>
      <c r="J35" s="141">
        <v>450</v>
      </c>
      <c r="K35" s="141">
        <v>25.139200000000002</v>
      </c>
      <c r="L35" s="141">
        <v>3.45</v>
      </c>
      <c r="M35" s="141">
        <v>26.21</v>
      </c>
      <c r="N35" s="141">
        <v>16.5</v>
      </c>
      <c r="O35" s="141">
        <v>157.12</v>
      </c>
    </row>
    <row r="36" spans="1:15" x14ac:dyDescent="0.3">
      <c r="A36" s="141">
        <v>32</v>
      </c>
      <c r="B36" s="4" t="s">
        <v>973</v>
      </c>
      <c r="C36" s="141" t="s">
        <v>974</v>
      </c>
      <c r="D36" s="141" t="s">
        <v>975</v>
      </c>
      <c r="E36" s="141" t="s">
        <v>953</v>
      </c>
      <c r="F36" s="141">
        <v>184</v>
      </c>
      <c r="G36" s="141" t="s">
        <v>43</v>
      </c>
      <c r="H36" s="314"/>
      <c r="I36" s="141">
        <v>0</v>
      </c>
      <c r="J36" s="141">
        <v>450</v>
      </c>
      <c r="K36" s="141">
        <v>29.12</v>
      </c>
      <c r="L36" s="141">
        <v>3.9</v>
      </c>
      <c r="M36" s="141">
        <v>30.1</v>
      </c>
      <c r="N36" s="141">
        <v>16.5</v>
      </c>
      <c r="O36" s="141">
        <v>182</v>
      </c>
    </row>
    <row r="37" spans="1:15" x14ac:dyDescent="0.3">
      <c r="A37" s="141">
        <v>33</v>
      </c>
      <c r="B37" s="4" t="s">
        <v>976</v>
      </c>
      <c r="C37" s="141" t="s">
        <v>771</v>
      </c>
      <c r="D37" s="141" t="s">
        <v>921</v>
      </c>
      <c r="E37" s="141" t="s">
        <v>946</v>
      </c>
      <c r="F37" s="141">
        <v>850</v>
      </c>
      <c r="G37" s="141" t="s">
        <v>43</v>
      </c>
      <c r="H37" s="314"/>
      <c r="I37" s="141">
        <v>0</v>
      </c>
      <c r="J37" s="141">
        <v>450</v>
      </c>
      <c r="K37" s="141">
        <v>45.92</v>
      </c>
      <c r="L37" s="141">
        <v>6.1</v>
      </c>
      <c r="M37" s="141">
        <v>13.6</v>
      </c>
      <c r="N37" s="141">
        <v>19.8</v>
      </c>
      <c r="O37" s="141">
        <v>287</v>
      </c>
    </row>
    <row r="38" spans="1:15" x14ac:dyDescent="0.3">
      <c r="A38" s="141">
        <v>34</v>
      </c>
      <c r="B38" s="4" t="s">
        <v>977</v>
      </c>
      <c r="C38" s="141" t="s">
        <v>974</v>
      </c>
      <c r="D38" s="141" t="s">
        <v>975</v>
      </c>
      <c r="E38" s="141" t="s">
        <v>953</v>
      </c>
      <c r="F38" s="141">
        <v>180</v>
      </c>
      <c r="G38" s="141" t="s">
        <v>43</v>
      </c>
      <c r="H38" s="314"/>
      <c r="I38" s="141">
        <v>0</v>
      </c>
      <c r="J38" s="141">
        <v>450</v>
      </c>
      <c r="K38" s="141">
        <v>25.139200000000002</v>
      </c>
      <c r="L38" s="141">
        <v>3.45</v>
      </c>
      <c r="M38" s="141">
        <v>26.21</v>
      </c>
      <c r="N38" s="141">
        <v>16.5</v>
      </c>
      <c r="O38" s="141">
        <v>157.12</v>
      </c>
    </row>
    <row r="39" spans="1:15" x14ac:dyDescent="0.3">
      <c r="A39" s="141">
        <v>35</v>
      </c>
      <c r="B39" s="4" t="s">
        <v>978</v>
      </c>
      <c r="C39" s="141" t="s">
        <v>979</v>
      </c>
      <c r="D39" s="141" t="s">
        <v>952</v>
      </c>
      <c r="E39" s="141" t="s">
        <v>953</v>
      </c>
      <c r="F39" s="141">
        <v>180</v>
      </c>
      <c r="G39" s="141" t="s">
        <v>8</v>
      </c>
      <c r="H39" s="314"/>
      <c r="I39" s="141">
        <v>0.8</v>
      </c>
      <c r="J39" s="141">
        <v>450</v>
      </c>
      <c r="K39" s="141">
        <v>29.12</v>
      </c>
      <c r="L39" s="141">
        <v>3.9</v>
      </c>
      <c r="M39" s="141">
        <v>30.1</v>
      </c>
      <c r="N39" s="141">
        <v>16.5</v>
      </c>
      <c r="O39" s="141">
        <v>182</v>
      </c>
    </row>
    <row r="40" spans="1:15" x14ac:dyDescent="0.3">
      <c r="A40" s="141">
        <v>36</v>
      </c>
      <c r="B40" s="4" t="s">
        <v>980</v>
      </c>
      <c r="C40" s="141" t="s">
        <v>970</v>
      </c>
      <c r="D40" s="141" t="s">
        <v>971</v>
      </c>
      <c r="E40" s="141" t="s">
        <v>972</v>
      </c>
      <c r="F40" s="141">
        <v>180</v>
      </c>
      <c r="G40" s="141" t="s">
        <v>8</v>
      </c>
      <c r="H40" s="314"/>
      <c r="I40" s="141">
        <v>0.8</v>
      </c>
      <c r="J40" s="141">
        <v>450</v>
      </c>
      <c r="K40" s="141">
        <v>29.12</v>
      </c>
      <c r="L40" s="141">
        <v>3.9</v>
      </c>
      <c r="M40" s="141">
        <v>30.1</v>
      </c>
      <c r="N40" s="141">
        <v>16.5</v>
      </c>
      <c r="O40" s="141">
        <v>182</v>
      </c>
    </row>
    <row r="41" spans="1:15" x14ac:dyDescent="0.3">
      <c r="A41" s="141">
        <v>37</v>
      </c>
      <c r="B41" s="4" t="s">
        <v>981</v>
      </c>
      <c r="C41" s="141" t="s">
        <v>967</v>
      </c>
      <c r="D41" s="141" t="s">
        <v>925</v>
      </c>
      <c r="E41" s="141" t="s">
        <v>925</v>
      </c>
      <c r="F41" s="141">
        <v>180</v>
      </c>
      <c r="G41" s="141" t="s">
        <v>982</v>
      </c>
      <c r="H41" s="314"/>
      <c r="I41" s="141">
        <v>0</v>
      </c>
      <c r="J41" s="141">
        <v>450</v>
      </c>
      <c r="K41" s="141">
        <v>25.139200000000002</v>
      </c>
      <c r="L41" s="141">
        <v>3.45</v>
      </c>
      <c r="M41" s="141">
        <v>26.21</v>
      </c>
      <c r="N41" s="141">
        <v>16.5</v>
      </c>
      <c r="O41" s="141">
        <v>157.12</v>
      </c>
    </row>
    <row r="42" spans="1:15" x14ac:dyDescent="0.3">
      <c r="A42" s="141">
        <v>38</v>
      </c>
      <c r="B42" s="4" t="s">
        <v>983</v>
      </c>
      <c r="C42" s="141" t="s">
        <v>984</v>
      </c>
      <c r="D42" s="141" t="s">
        <v>985</v>
      </c>
      <c r="E42" s="141" t="s">
        <v>943</v>
      </c>
      <c r="F42" s="141">
        <v>213</v>
      </c>
      <c r="G42" s="141" t="s">
        <v>982</v>
      </c>
      <c r="H42" s="314"/>
      <c r="I42" s="141">
        <v>0</v>
      </c>
      <c r="J42" s="141">
        <v>450</v>
      </c>
      <c r="K42" s="141">
        <v>43.3</v>
      </c>
      <c r="L42" s="141">
        <v>3.45</v>
      </c>
      <c r="M42" s="141">
        <v>26.21</v>
      </c>
      <c r="N42" s="141">
        <v>16.5</v>
      </c>
      <c r="O42" s="141">
        <v>270.625</v>
      </c>
    </row>
    <row r="43" spans="1:15" x14ac:dyDescent="0.3">
      <c r="A43" s="141">
        <v>39</v>
      </c>
      <c r="B43" s="4" t="s">
        <v>986</v>
      </c>
      <c r="C43" s="141">
        <v>0</v>
      </c>
      <c r="D43" s="141" t="e">
        <v>#N/A</v>
      </c>
      <c r="E43" s="141" t="e">
        <v>#N/A</v>
      </c>
      <c r="F43" s="141">
        <v>0</v>
      </c>
      <c r="G43" s="141">
        <v>0</v>
      </c>
      <c r="H43" s="314"/>
      <c r="I43" s="141">
        <v>0</v>
      </c>
      <c r="J43" s="141">
        <v>0</v>
      </c>
      <c r="K43" s="141">
        <v>0</v>
      </c>
      <c r="L43" s="141">
        <v>0</v>
      </c>
      <c r="M43" s="141">
        <v>0</v>
      </c>
      <c r="N43" s="141">
        <v>0</v>
      </c>
      <c r="O43" s="141">
        <v>0</v>
      </c>
    </row>
    <row r="44" spans="1:15" x14ac:dyDescent="0.3">
      <c r="A44" s="141">
        <v>40</v>
      </c>
      <c r="B44" s="4" t="s">
        <v>987</v>
      </c>
      <c r="C44" s="141">
        <v>0</v>
      </c>
      <c r="D44" s="141" t="e">
        <v>#N/A</v>
      </c>
      <c r="E44" s="141" t="e">
        <v>#N/A</v>
      </c>
      <c r="F44" s="141">
        <v>0</v>
      </c>
      <c r="G44" s="141">
        <v>0</v>
      </c>
      <c r="H44" s="314"/>
      <c r="I44" s="141">
        <v>0</v>
      </c>
      <c r="J44" s="141">
        <v>0</v>
      </c>
      <c r="K44" s="141">
        <v>0</v>
      </c>
      <c r="L44" s="141">
        <v>0</v>
      </c>
      <c r="M44" s="141">
        <v>0</v>
      </c>
      <c r="N44" s="141">
        <v>0</v>
      </c>
      <c r="O44" s="141">
        <v>0</v>
      </c>
    </row>
    <row r="45" spans="1:15" x14ac:dyDescent="0.3">
      <c r="A45" s="141">
        <v>41</v>
      </c>
      <c r="B45" s="4" t="s">
        <v>988</v>
      </c>
      <c r="C45" s="141">
        <v>0</v>
      </c>
      <c r="D45" s="141" t="e">
        <v>#N/A</v>
      </c>
      <c r="E45" s="141" t="e">
        <v>#N/A</v>
      </c>
      <c r="F45" s="141">
        <v>0</v>
      </c>
      <c r="G45" s="141">
        <v>0</v>
      </c>
      <c r="H45" s="314"/>
      <c r="I45" s="141">
        <v>0</v>
      </c>
      <c r="J45" s="141">
        <v>0</v>
      </c>
      <c r="K45" s="141">
        <v>0</v>
      </c>
      <c r="L45" s="141">
        <v>0</v>
      </c>
      <c r="M45" s="141">
        <v>0</v>
      </c>
      <c r="N45" s="141">
        <v>0</v>
      </c>
      <c r="O45" s="141">
        <v>0</v>
      </c>
    </row>
    <row r="46" spans="1:15" x14ac:dyDescent="0.3">
      <c r="A46" s="141">
        <v>42</v>
      </c>
      <c r="B46" s="4" t="s">
        <v>989</v>
      </c>
      <c r="C46" s="141">
        <v>0</v>
      </c>
      <c r="D46" s="141" t="e">
        <v>#N/A</v>
      </c>
      <c r="E46" s="141" t="e">
        <v>#N/A</v>
      </c>
      <c r="F46" s="141">
        <v>0</v>
      </c>
      <c r="G46" s="141">
        <v>0</v>
      </c>
      <c r="H46" s="314"/>
      <c r="I46" s="141">
        <v>0</v>
      </c>
      <c r="J46" s="141">
        <v>0</v>
      </c>
      <c r="K46" s="141">
        <v>0</v>
      </c>
      <c r="L46" s="141">
        <v>0</v>
      </c>
      <c r="M46" s="141">
        <v>0</v>
      </c>
      <c r="N46" s="141">
        <v>0</v>
      </c>
      <c r="O46" s="141">
        <v>0</v>
      </c>
    </row>
    <row r="47" spans="1:15" x14ac:dyDescent="0.3">
      <c r="A47" s="141">
        <v>43</v>
      </c>
      <c r="B47" s="4" t="s">
        <v>990</v>
      </c>
      <c r="C47" s="141">
        <v>0</v>
      </c>
      <c r="D47" s="141" t="e">
        <v>#N/A</v>
      </c>
      <c r="E47" s="141" t="e">
        <v>#N/A</v>
      </c>
      <c r="F47" s="141">
        <v>0</v>
      </c>
      <c r="G47" s="141">
        <v>0</v>
      </c>
      <c r="H47" s="314"/>
      <c r="I47" s="141">
        <v>0</v>
      </c>
      <c r="J47" s="141">
        <v>0</v>
      </c>
      <c r="K47" s="141">
        <v>0</v>
      </c>
      <c r="L47" s="141">
        <v>0</v>
      </c>
      <c r="M47" s="141">
        <v>0</v>
      </c>
      <c r="N47" s="141">
        <v>0</v>
      </c>
      <c r="O47" s="141">
        <v>0</v>
      </c>
    </row>
    <row r="48" spans="1:15" x14ac:dyDescent="0.3">
      <c r="A48" s="141">
        <v>44</v>
      </c>
      <c r="B48" s="4" t="s">
        <v>991</v>
      </c>
      <c r="C48" s="141">
        <v>0</v>
      </c>
      <c r="D48" s="141" t="e">
        <v>#N/A</v>
      </c>
      <c r="E48" s="141" t="e">
        <v>#N/A</v>
      </c>
      <c r="F48" s="141">
        <v>0</v>
      </c>
      <c r="G48" s="141">
        <v>0</v>
      </c>
      <c r="H48" s="314"/>
      <c r="I48" s="141">
        <v>0</v>
      </c>
      <c r="J48" s="141">
        <v>0</v>
      </c>
      <c r="K48" s="141">
        <v>0</v>
      </c>
      <c r="L48" s="141">
        <v>0</v>
      </c>
      <c r="M48" s="141">
        <v>0</v>
      </c>
      <c r="N48" s="141">
        <v>0</v>
      </c>
      <c r="O48" s="141">
        <v>0</v>
      </c>
    </row>
    <row r="49" spans="1:15" x14ac:dyDescent="0.3">
      <c r="A49" s="141">
        <v>45</v>
      </c>
      <c r="B49" s="4" t="s">
        <v>992</v>
      </c>
      <c r="C49" s="141">
        <v>0</v>
      </c>
      <c r="D49" s="141" t="e">
        <v>#N/A</v>
      </c>
      <c r="E49" s="141" t="e">
        <v>#N/A</v>
      </c>
      <c r="F49" s="141">
        <v>0</v>
      </c>
      <c r="G49" s="141">
        <v>0</v>
      </c>
      <c r="H49" s="314"/>
      <c r="I49" s="141">
        <v>0</v>
      </c>
      <c r="J49" s="141">
        <v>0</v>
      </c>
      <c r="K49" s="141">
        <v>0</v>
      </c>
      <c r="L49" s="141">
        <v>0</v>
      </c>
      <c r="M49" s="141">
        <v>0</v>
      </c>
      <c r="N49" s="141">
        <v>0</v>
      </c>
      <c r="O49" s="141">
        <v>0</v>
      </c>
    </row>
    <row r="50" spans="1:15" x14ac:dyDescent="0.3">
      <c r="A50" s="141">
        <v>46</v>
      </c>
      <c r="B50" s="4" t="s">
        <v>993</v>
      </c>
      <c r="C50" s="141">
        <v>0</v>
      </c>
      <c r="D50" s="141" t="e">
        <v>#N/A</v>
      </c>
      <c r="E50" s="141" t="e">
        <v>#N/A</v>
      </c>
      <c r="F50" s="141">
        <v>0</v>
      </c>
      <c r="G50" s="141">
        <v>0</v>
      </c>
      <c r="H50" s="314"/>
      <c r="I50" s="141">
        <v>0</v>
      </c>
      <c r="J50" s="141">
        <v>0</v>
      </c>
      <c r="K50" s="141">
        <v>0</v>
      </c>
      <c r="L50" s="141">
        <v>0</v>
      </c>
      <c r="M50" s="141">
        <v>0</v>
      </c>
      <c r="N50" s="141">
        <v>0</v>
      </c>
      <c r="O50" s="141">
        <v>0</v>
      </c>
    </row>
    <row r="51" spans="1:15" x14ac:dyDescent="0.3">
      <c r="A51" s="141">
        <v>47</v>
      </c>
      <c r="B51" s="4" t="s">
        <v>994</v>
      </c>
      <c r="C51" s="141">
        <v>0</v>
      </c>
      <c r="D51" s="141" t="e">
        <v>#N/A</v>
      </c>
      <c r="E51" s="141" t="e">
        <v>#N/A</v>
      </c>
      <c r="F51" s="141">
        <v>0</v>
      </c>
      <c r="G51" s="141">
        <v>0</v>
      </c>
      <c r="H51" s="314"/>
      <c r="I51" s="141">
        <v>0</v>
      </c>
      <c r="J51" s="141">
        <v>0</v>
      </c>
      <c r="K51" s="141">
        <v>0</v>
      </c>
      <c r="L51" s="141">
        <v>0</v>
      </c>
      <c r="M51" s="141">
        <v>0</v>
      </c>
      <c r="N51" s="141">
        <v>0</v>
      </c>
      <c r="O51" s="141">
        <v>0</v>
      </c>
    </row>
    <row r="52" spans="1:15" x14ac:dyDescent="0.3">
      <c r="A52" s="141">
        <v>48</v>
      </c>
      <c r="B52" s="4" t="s">
        <v>995</v>
      </c>
      <c r="C52" s="141">
        <v>0</v>
      </c>
      <c r="D52" s="141" t="e">
        <v>#N/A</v>
      </c>
      <c r="E52" s="141" t="e">
        <v>#N/A</v>
      </c>
      <c r="F52" s="141">
        <v>0</v>
      </c>
      <c r="G52" s="141">
        <v>0</v>
      </c>
      <c r="H52" s="314"/>
      <c r="I52" s="141">
        <v>0</v>
      </c>
      <c r="J52" s="141">
        <v>0</v>
      </c>
      <c r="K52" s="141">
        <v>0</v>
      </c>
      <c r="L52" s="141">
        <v>0</v>
      </c>
      <c r="M52" s="141">
        <v>0</v>
      </c>
      <c r="N52" s="141">
        <v>0</v>
      </c>
      <c r="O52" s="141">
        <v>0</v>
      </c>
    </row>
    <row r="53" spans="1:15" x14ac:dyDescent="0.3">
      <c r="A53" s="141">
        <v>49</v>
      </c>
      <c r="B53" s="4" t="s">
        <v>996</v>
      </c>
      <c r="C53" s="141">
        <v>0</v>
      </c>
      <c r="D53" s="141" t="e">
        <v>#N/A</v>
      </c>
      <c r="E53" s="141" t="e">
        <v>#N/A</v>
      </c>
      <c r="F53" s="141">
        <v>0</v>
      </c>
      <c r="G53" s="141">
        <v>0</v>
      </c>
      <c r="H53" s="314"/>
      <c r="I53" s="141">
        <v>0</v>
      </c>
      <c r="J53" s="141">
        <v>0</v>
      </c>
      <c r="K53" s="141">
        <v>0</v>
      </c>
      <c r="L53" s="141">
        <v>0</v>
      </c>
      <c r="M53" s="141">
        <v>0</v>
      </c>
      <c r="N53" s="141">
        <v>0</v>
      </c>
      <c r="O53" s="141">
        <v>0</v>
      </c>
    </row>
    <row r="54" spans="1:15" x14ac:dyDescent="0.3">
      <c r="A54" s="141">
        <v>50</v>
      </c>
      <c r="B54" s="4" t="s">
        <v>997</v>
      </c>
      <c r="C54" s="141">
        <v>0</v>
      </c>
      <c r="D54" s="141" t="e">
        <v>#N/A</v>
      </c>
      <c r="E54" s="141" t="e">
        <v>#N/A</v>
      </c>
      <c r="F54" s="141">
        <v>0</v>
      </c>
      <c r="G54" s="141">
        <v>0</v>
      </c>
      <c r="H54" s="314"/>
      <c r="I54" s="141">
        <v>0</v>
      </c>
      <c r="J54" s="141">
        <v>0</v>
      </c>
      <c r="K54" s="141">
        <v>0</v>
      </c>
      <c r="L54" s="141">
        <v>0</v>
      </c>
      <c r="M54" s="141">
        <v>0</v>
      </c>
      <c r="N54" s="141">
        <v>0</v>
      </c>
      <c r="O54" s="141">
        <v>0</v>
      </c>
    </row>
    <row r="55" spans="1:15" x14ac:dyDescent="0.3">
      <c r="A55" s="141">
        <v>51</v>
      </c>
      <c r="B55" s="4" t="s">
        <v>998</v>
      </c>
      <c r="C55" s="141">
        <v>0</v>
      </c>
      <c r="D55" s="141" t="e">
        <v>#N/A</v>
      </c>
      <c r="E55" s="141" t="e">
        <v>#N/A</v>
      </c>
      <c r="F55" s="141">
        <v>0</v>
      </c>
      <c r="G55" s="141">
        <v>0</v>
      </c>
      <c r="H55" s="314"/>
      <c r="I55" s="141">
        <v>0</v>
      </c>
      <c r="J55" s="141">
        <v>0</v>
      </c>
      <c r="K55" s="141">
        <v>0</v>
      </c>
      <c r="L55" s="141">
        <v>0</v>
      </c>
      <c r="M55" s="141">
        <v>0</v>
      </c>
      <c r="N55" s="141">
        <v>0</v>
      </c>
      <c r="O55" s="141">
        <v>0</v>
      </c>
    </row>
    <row r="56" spans="1:15" x14ac:dyDescent="0.3">
      <c r="A56" s="141">
        <v>52</v>
      </c>
      <c r="B56" s="4" t="s">
        <v>999</v>
      </c>
      <c r="C56" s="141">
        <v>0</v>
      </c>
      <c r="D56" s="141" t="e">
        <v>#N/A</v>
      </c>
      <c r="E56" s="141" t="e">
        <v>#N/A</v>
      </c>
      <c r="F56" s="141">
        <v>0</v>
      </c>
      <c r="G56" s="141">
        <v>0</v>
      </c>
      <c r="H56" s="314"/>
      <c r="I56" s="141">
        <v>0</v>
      </c>
      <c r="J56" s="141">
        <v>0</v>
      </c>
      <c r="K56" s="141">
        <v>0</v>
      </c>
      <c r="L56" s="141">
        <v>0</v>
      </c>
      <c r="M56" s="141">
        <v>0</v>
      </c>
      <c r="N56" s="141">
        <v>0</v>
      </c>
      <c r="O56" s="141">
        <v>0</v>
      </c>
    </row>
    <row r="57" spans="1:15" x14ac:dyDescent="0.3">
      <c r="A57" s="141">
        <v>53</v>
      </c>
      <c r="B57" s="4" t="s">
        <v>1000</v>
      </c>
      <c r="C57" s="141">
        <v>0</v>
      </c>
      <c r="D57" s="141" t="e">
        <v>#N/A</v>
      </c>
      <c r="E57" s="141" t="e">
        <v>#N/A</v>
      </c>
      <c r="F57" s="141">
        <v>0</v>
      </c>
      <c r="G57" s="141">
        <v>0</v>
      </c>
      <c r="H57" s="314"/>
      <c r="I57" s="141">
        <v>0</v>
      </c>
      <c r="J57" s="141">
        <v>0</v>
      </c>
      <c r="K57" s="141">
        <v>0</v>
      </c>
      <c r="L57" s="141">
        <v>0</v>
      </c>
      <c r="M57" s="141">
        <v>0</v>
      </c>
      <c r="N57" s="141">
        <v>0</v>
      </c>
      <c r="O57" s="141">
        <v>0</v>
      </c>
    </row>
    <row r="58" spans="1:15" x14ac:dyDescent="0.3">
      <c r="A58" s="141">
        <v>54</v>
      </c>
      <c r="B58" s="4" t="s">
        <v>1001</v>
      </c>
      <c r="C58" s="141">
        <v>0</v>
      </c>
      <c r="D58" s="141" t="e">
        <v>#N/A</v>
      </c>
      <c r="E58" s="141" t="e">
        <v>#N/A</v>
      </c>
      <c r="F58" s="141">
        <v>0</v>
      </c>
      <c r="G58" s="141">
        <v>0</v>
      </c>
      <c r="H58" s="314"/>
      <c r="I58" s="141">
        <v>0</v>
      </c>
      <c r="J58" s="141">
        <v>0</v>
      </c>
      <c r="K58" s="141">
        <v>0</v>
      </c>
      <c r="L58" s="141">
        <v>0</v>
      </c>
      <c r="M58" s="141">
        <v>0</v>
      </c>
      <c r="N58" s="141">
        <v>0</v>
      </c>
      <c r="O58" s="141">
        <v>0</v>
      </c>
    </row>
    <row r="59" spans="1:15" x14ac:dyDescent="0.3">
      <c r="A59" s="141">
        <v>55</v>
      </c>
      <c r="B59" s="4" t="s">
        <v>1002</v>
      </c>
      <c r="C59" s="141">
        <v>0</v>
      </c>
      <c r="D59" s="141" t="e">
        <v>#N/A</v>
      </c>
      <c r="E59" s="141" t="e">
        <v>#N/A</v>
      </c>
      <c r="F59" s="141">
        <v>0</v>
      </c>
      <c r="G59" s="141">
        <v>0</v>
      </c>
      <c r="H59" s="314"/>
      <c r="I59" s="141">
        <v>0</v>
      </c>
      <c r="J59" s="141">
        <v>0</v>
      </c>
      <c r="K59" s="141">
        <v>0</v>
      </c>
      <c r="L59" s="141">
        <v>0</v>
      </c>
      <c r="M59" s="141">
        <v>0</v>
      </c>
      <c r="N59" s="141">
        <v>0</v>
      </c>
      <c r="O59" s="141">
        <v>0</v>
      </c>
    </row>
    <row r="60" spans="1:15" x14ac:dyDescent="0.3">
      <c r="A60" s="141">
        <v>56</v>
      </c>
      <c r="B60" s="4" t="s">
        <v>1003</v>
      </c>
      <c r="C60" s="141">
        <v>0</v>
      </c>
      <c r="D60" s="141" t="e">
        <v>#N/A</v>
      </c>
      <c r="E60" s="141" t="e">
        <v>#N/A</v>
      </c>
      <c r="F60" s="141">
        <v>0</v>
      </c>
      <c r="G60" s="141">
        <v>0</v>
      </c>
      <c r="H60" s="314"/>
      <c r="I60" s="141">
        <v>0</v>
      </c>
      <c r="J60" s="141">
        <v>0</v>
      </c>
      <c r="K60" s="141">
        <v>0</v>
      </c>
      <c r="L60" s="141">
        <v>0</v>
      </c>
      <c r="M60" s="141">
        <v>0</v>
      </c>
      <c r="N60" s="141">
        <v>0</v>
      </c>
      <c r="O60" s="141">
        <v>0</v>
      </c>
    </row>
    <row r="61" spans="1:15" x14ac:dyDescent="0.3">
      <c r="A61" s="141">
        <v>57</v>
      </c>
      <c r="B61" s="4" t="s">
        <v>1004</v>
      </c>
      <c r="C61" s="141">
        <v>0</v>
      </c>
      <c r="D61" s="141" t="e">
        <v>#N/A</v>
      </c>
      <c r="E61" s="141" t="e">
        <v>#N/A</v>
      </c>
      <c r="F61" s="141">
        <v>0</v>
      </c>
      <c r="G61" s="141">
        <v>0</v>
      </c>
      <c r="H61" s="314"/>
      <c r="I61" s="141">
        <v>0</v>
      </c>
      <c r="J61" s="141">
        <v>0</v>
      </c>
      <c r="K61" s="141">
        <v>0</v>
      </c>
      <c r="L61" s="141">
        <v>0</v>
      </c>
      <c r="M61" s="141">
        <v>0</v>
      </c>
      <c r="N61" s="141">
        <v>0</v>
      </c>
      <c r="O61" s="141">
        <v>0</v>
      </c>
    </row>
    <row r="62" spans="1:15" x14ac:dyDescent="0.3">
      <c r="A62" s="141">
        <v>58</v>
      </c>
      <c r="B62" s="4" t="s">
        <v>1005</v>
      </c>
      <c r="C62" s="141">
        <v>0</v>
      </c>
      <c r="D62" s="141" t="e">
        <v>#N/A</v>
      </c>
      <c r="E62" s="141" t="e">
        <v>#N/A</v>
      </c>
      <c r="F62" s="141">
        <v>0</v>
      </c>
      <c r="G62" s="141">
        <v>0</v>
      </c>
      <c r="H62" s="314"/>
      <c r="I62" s="141">
        <v>0</v>
      </c>
      <c r="J62" s="141">
        <v>0</v>
      </c>
      <c r="K62" s="141">
        <v>0</v>
      </c>
      <c r="L62" s="141">
        <v>0</v>
      </c>
      <c r="M62" s="141">
        <v>0</v>
      </c>
      <c r="N62" s="141">
        <v>0</v>
      </c>
      <c r="O62" s="141">
        <v>0</v>
      </c>
    </row>
    <row r="63" spans="1:15" x14ac:dyDescent="0.3">
      <c r="A63" s="141">
        <v>59</v>
      </c>
      <c r="B63" s="4" t="s">
        <v>1006</v>
      </c>
      <c r="C63" s="141">
        <v>0</v>
      </c>
      <c r="D63" s="141" t="e">
        <v>#N/A</v>
      </c>
      <c r="E63" s="141" t="e">
        <v>#N/A</v>
      </c>
      <c r="F63" s="141">
        <v>0</v>
      </c>
      <c r="G63" s="141">
        <v>0</v>
      </c>
      <c r="H63" s="314"/>
      <c r="I63" s="141">
        <v>0</v>
      </c>
      <c r="J63" s="141">
        <v>0</v>
      </c>
      <c r="K63" s="141">
        <v>0</v>
      </c>
      <c r="L63" s="141">
        <v>0</v>
      </c>
      <c r="M63" s="141">
        <v>0</v>
      </c>
      <c r="N63" s="141">
        <v>0</v>
      </c>
      <c r="O63" s="141">
        <v>0</v>
      </c>
    </row>
    <row r="64" spans="1:15" x14ac:dyDescent="0.3">
      <c r="A64" s="141">
        <v>60</v>
      </c>
      <c r="B64" s="4" t="s">
        <v>1007</v>
      </c>
      <c r="C64" s="141" t="s">
        <v>916</v>
      </c>
      <c r="D64" s="141" t="s">
        <v>917</v>
      </c>
      <c r="E64" s="141" t="s">
        <v>918</v>
      </c>
      <c r="F64" s="141">
        <v>850</v>
      </c>
      <c r="G64" s="141" t="s">
        <v>43</v>
      </c>
      <c r="H64" s="314"/>
      <c r="I64" s="141">
        <v>0</v>
      </c>
      <c r="J64" s="141">
        <v>450</v>
      </c>
      <c r="K64" s="141">
        <v>16</v>
      </c>
      <c r="L64" s="141">
        <v>3.3</v>
      </c>
      <c r="M64" s="141">
        <v>4.8</v>
      </c>
      <c r="N64" s="141">
        <v>19.2</v>
      </c>
      <c r="O64" s="141">
        <v>100</v>
      </c>
    </row>
    <row r="65" spans="1:15" x14ac:dyDescent="0.3">
      <c r="A65" s="141">
        <v>61</v>
      </c>
      <c r="B65" s="4" t="s">
        <v>1008</v>
      </c>
      <c r="C65" s="141" t="s">
        <v>920</v>
      </c>
      <c r="D65" s="141" t="s">
        <v>921</v>
      </c>
      <c r="E65" s="141" t="s">
        <v>922</v>
      </c>
      <c r="F65" s="141">
        <v>850</v>
      </c>
      <c r="G65" s="141" t="s">
        <v>43</v>
      </c>
      <c r="H65" s="314"/>
      <c r="I65" s="141">
        <v>0</v>
      </c>
      <c r="J65" s="141">
        <v>450</v>
      </c>
      <c r="K65" s="141">
        <v>8.16</v>
      </c>
      <c r="L65" s="141">
        <v>0.9</v>
      </c>
      <c r="M65" s="141">
        <v>20</v>
      </c>
      <c r="N65" s="141">
        <v>17.899999999999999</v>
      </c>
      <c r="O65" s="141">
        <v>51</v>
      </c>
    </row>
    <row r="66" spans="1:15" x14ac:dyDescent="0.3">
      <c r="A66" s="141">
        <v>62</v>
      </c>
      <c r="B66" s="4" t="s">
        <v>1009</v>
      </c>
      <c r="C66" s="141" t="s">
        <v>924</v>
      </c>
      <c r="D66" s="141" t="s">
        <v>925</v>
      </c>
      <c r="E66" s="141" t="s">
        <v>925</v>
      </c>
      <c r="F66" s="141">
        <v>180</v>
      </c>
      <c r="G66" s="141" t="s">
        <v>8</v>
      </c>
      <c r="H66" s="314"/>
      <c r="I66" s="141">
        <v>0.8</v>
      </c>
      <c r="J66" s="141">
        <v>450</v>
      </c>
      <c r="K66" s="141">
        <v>25.139200000000002</v>
      </c>
      <c r="L66" s="141">
        <v>3.45</v>
      </c>
      <c r="M66" s="141">
        <v>26.21</v>
      </c>
      <c r="N66" s="141">
        <v>16.5</v>
      </c>
      <c r="O66" s="141">
        <v>157.12</v>
      </c>
    </row>
    <row r="67" spans="1:15" x14ac:dyDescent="0.3">
      <c r="A67" s="141">
        <v>63</v>
      </c>
      <c r="B67" s="4" t="s">
        <v>1010</v>
      </c>
      <c r="C67" s="141" t="s">
        <v>916</v>
      </c>
      <c r="D67" s="141" t="s">
        <v>917</v>
      </c>
      <c r="E67" s="141" t="s">
        <v>918</v>
      </c>
      <c r="F67" s="141">
        <v>850</v>
      </c>
      <c r="G67" s="141" t="s">
        <v>43</v>
      </c>
      <c r="H67" s="314"/>
      <c r="I67" s="141">
        <v>0</v>
      </c>
      <c r="J67" s="141">
        <v>450</v>
      </c>
      <c r="K67" s="141">
        <v>17.760000000000002</v>
      </c>
      <c r="L67" s="141">
        <v>3</v>
      </c>
      <c r="M67" s="141">
        <v>4.8</v>
      </c>
      <c r="N67" s="141">
        <v>19.3</v>
      </c>
      <c r="O67" s="141">
        <v>111</v>
      </c>
    </row>
    <row r="68" spans="1:15" x14ac:dyDescent="0.3">
      <c r="A68" s="141">
        <v>64</v>
      </c>
      <c r="B68" s="4" t="s">
        <v>1011</v>
      </c>
      <c r="C68" s="141" t="s">
        <v>920</v>
      </c>
      <c r="D68" s="141" t="s">
        <v>921</v>
      </c>
      <c r="E68" s="141" t="s">
        <v>922</v>
      </c>
      <c r="F68" s="141">
        <v>850</v>
      </c>
      <c r="G68" s="141" t="s">
        <v>43</v>
      </c>
      <c r="H68" s="314"/>
      <c r="I68" s="141">
        <v>0</v>
      </c>
      <c r="J68" s="141">
        <v>450</v>
      </c>
      <c r="K68" s="141">
        <v>5.28</v>
      </c>
      <c r="L68" s="141">
        <v>0.9</v>
      </c>
      <c r="M68" s="141">
        <v>15</v>
      </c>
      <c r="N68" s="141">
        <v>18.5</v>
      </c>
      <c r="O68" s="141">
        <v>33</v>
      </c>
    </row>
    <row r="69" spans="1:15" x14ac:dyDescent="0.3">
      <c r="A69" s="141">
        <v>65</v>
      </c>
      <c r="B69" s="4" t="s">
        <v>1012</v>
      </c>
      <c r="C69" s="141" t="s">
        <v>931</v>
      </c>
      <c r="D69" s="141" t="s">
        <v>921</v>
      </c>
      <c r="E69" s="141" t="s">
        <v>918</v>
      </c>
      <c r="F69" s="141">
        <v>914</v>
      </c>
      <c r="G69" s="141" t="s">
        <v>43</v>
      </c>
      <c r="H69" s="314"/>
      <c r="I69" s="141">
        <v>0</v>
      </c>
      <c r="J69" s="141">
        <v>450</v>
      </c>
      <c r="K69" s="141">
        <v>30.08</v>
      </c>
      <c r="L69" s="141">
        <v>7.6</v>
      </c>
      <c r="M69" s="141">
        <v>10</v>
      </c>
      <c r="N69" s="141">
        <v>27.6</v>
      </c>
      <c r="O69" s="141">
        <v>188</v>
      </c>
    </row>
    <row r="70" spans="1:15" x14ac:dyDescent="0.3">
      <c r="A70" s="141">
        <v>66</v>
      </c>
      <c r="B70" s="4" t="s">
        <v>1013</v>
      </c>
      <c r="C70" s="141" t="s">
        <v>933</v>
      </c>
      <c r="D70" s="141" t="s">
        <v>921</v>
      </c>
      <c r="E70" s="141" t="s">
        <v>922</v>
      </c>
      <c r="F70" s="141">
        <v>950</v>
      </c>
      <c r="G70" s="141" t="s">
        <v>43</v>
      </c>
      <c r="H70" s="314"/>
      <c r="I70" s="141">
        <v>0</v>
      </c>
      <c r="J70" s="141">
        <v>450</v>
      </c>
      <c r="K70" s="141">
        <v>5.28</v>
      </c>
      <c r="L70" s="141">
        <v>1</v>
      </c>
      <c r="M70" s="141">
        <v>20.2</v>
      </c>
      <c r="N70" s="141">
        <v>17.7</v>
      </c>
      <c r="O70" s="141">
        <v>33</v>
      </c>
    </row>
    <row r="71" spans="1:15" x14ac:dyDescent="0.3">
      <c r="A71" s="141">
        <v>67</v>
      </c>
      <c r="B71" s="4" t="s">
        <v>1014</v>
      </c>
      <c r="C71" s="141" t="s">
        <v>939</v>
      </c>
      <c r="D71" s="141" t="s">
        <v>925</v>
      </c>
      <c r="E71" s="141" t="s">
        <v>925</v>
      </c>
      <c r="F71" s="141">
        <v>318</v>
      </c>
      <c r="G71" s="141" t="s">
        <v>8</v>
      </c>
      <c r="H71" s="314"/>
      <c r="I71" s="141">
        <v>0.85</v>
      </c>
      <c r="J71" s="141">
        <v>450</v>
      </c>
      <c r="K71" s="141">
        <v>11.68</v>
      </c>
      <c r="L71" s="141">
        <v>2.2000000000000002</v>
      </c>
      <c r="M71" s="141">
        <v>11.3</v>
      </c>
      <c r="N71" s="141">
        <v>17.7</v>
      </c>
      <c r="O71" s="141">
        <v>73</v>
      </c>
    </row>
    <row r="72" spans="1:15" x14ac:dyDescent="0.3">
      <c r="A72" s="141">
        <v>68</v>
      </c>
      <c r="B72" s="4" t="s">
        <v>1015</v>
      </c>
      <c r="C72" s="141" t="s">
        <v>924</v>
      </c>
      <c r="D72" s="141" t="s">
        <v>925</v>
      </c>
      <c r="E72" s="141" t="s">
        <v>925</v>
      </c>
      <c r="F72" s="141">
        <v>180</v>
      </c>
      <c r="G72" s="141" t="s">
        <v>8</v>
      </c>
      <c r="H72" s="314"/>
      <c r="I72" s="141">
        <v>0.8</v>
      </c>
      <c r="J72" s="141">
        <v>450</v>
      </c>
      <c r="K72" s="141">
        <v>25.139200000000002</v>
      </c>
      <c r="L72" s="141">
        <v>3.45</v>
      </c>
      <c r="M72" s="141">
        <v>26.21</v>
      </c>
      <c r="N72" s="141">
        <v>16.5</v>
      </c>
      <c r="O72" s="141">
        <v>157.12</v>
      </c>
    </row>
    <row r="73" spans="1:15" x14ac:dyDescent="0.3">
      <c r="A73" s="141">
        <v>69</v>
      </c>
      <c r="B73" s="4" t="s">
        <v>1016</v>
      </c>
      <c r="C73" s="141" t="s">
        <v>771</v>
      </c>
      <c r="D73" s="141" t="s">
        <v>921</v>
      </c>
      <c r="E73" s="141" t="s">
        <v>946</v>
      </c>
      <c r="F73" s="141">
        <v>850</v>
      </c>
      <c r="G73" s="141" t="s">
        <v>43</v>
      </c>
      <c r="H73" s="314"/>
      <c r="I73" s="141">
        <v>0</v>
      </c>
      <c r="J73" s="141">
        <v>450</v>
      </c>
      <c r="K73" s="141">
        <v>38.24</v>
      </c>
      <c r="L73" s="141">
        <v>4.5999999999999996</v>
      </c>
      <c r="M73" s="141">
        <v>9.9</v>
      </c>
      <c r="N73" s="141">
        <v>19.600000000000001</v>
      </c>
      <c r="O73" s="141">
        <v>239</v>
      </c>
    </row>
    <row r="74" spans="1:15" x14ac:dyDescent="0.3">
      <c r="A74" s="141">
        <v>70</v>
      </c>
      <c r="B74" s="4" t="s">
        <v>1017</v>
      </c>
      <c r="C74" s="141" t="s">
        <v>920</v>
      </c>
      <c r="D74" s="141" t="s">
        <v>921</v>
      </c>
      <c r="E74" s="141" t="s">
        <v>922</v>
      </c>
      <c r="F74" s="141">
        <v>870</v>
      </c>
      <c r="G74" s="141" t="s">
        <v>43</v>
      </c>
      <c r="H74" s="314"/>
      <c r="I74" s="141">
        <v>0</v>
      </c>
      <c r="J74" s="141">
        <v>450</v>
      </c>
      <c r="K74" s="141">
        <v>10.88</v>
      </c>
      <c r="L74" s="141">
        <v>2</v>
      </c>
      <c r="M74" s="141">
        <v>7.5</v>
      </c>
      <c r="N74" s="141">
        <v>18.2</v>
      </c>
      <c r="O74" s="141">
        <v>68</v>
      </c>
    </row>
    <row r="75" spans="1:15" x14ac:dyDescent="0.3">
      <c r="A75" s="141">
        <v>71</v>
      </c>
      <c r="B75" s="4" t="s">
        <v>1018</v>
      </c>
      <c r="C75" s="141" t="s">
        <v>962</v>
      </c>
      <c r="D75" s="141" t="s">
        <v>925</v>
      </c>
      <c r="E75" s="141" t="s">
        <v>925</v>
      </c>
      <c r="F75" s="141">
        <v>337</v>
      </c>
      <c r="G75" s="141" t="s">
        <v>8</v>
      </c>
      <c r="H75" s="314"/>
      <c r="I75" s="141">
        <v>0.75</v>
      </c>
      <c r="J75" s="141">
        <v>450</v>
      </c>
      <c r="K75" s="141">
        <v>20.96</v>
      </c>
      <c r="L75" s="141">
        <v>3.1</v>
      </c>
      <c r="M75" s="141">
        <v>18.7</v>
      </c>
      <c r="N75" s="141">
        <v>18.399999999999999</v>
      </c>
      <c r="O75" s="141">
        <v>131</v>
      </c>
    </row>
    <row r="76" spans="1:15" x14ac:dyDescent="0.3">
      <c r="A76" s="141">
        <v>72</v>
      </c>
      <c r="B76" s="4" t="s">
        <v>1019</v>
      </c>
      <c r="C76" s="141" t="s">
        <v>924</v>
      </c>
      <c r="D76" s="141" t="s">
        <v>925</v>
      </c>
      <c r="E76" s="141" t="s">
        <v>925</v>
      </c>
      <c r="F76" s="141">
        <v>184</v>
      </c>
      <c r="G76" s="141" t="s">
        <v>8</v>
      </c>
      <c r="H76" s="314"/>
      <c r="I76" s="141">
        <v>0.83</v>
      </c>
      <c r="J76" s="141">
        <v>450</v>
      </c>
      <c r="K76" s="141">
        <v>29.12</v>
      </c>
      <c r="L76" s="141">
        <v>3.9</v>
      </c>
      <c r="M76" s="141">
        <v>30.1</v>
      </c>
      <c r="N76" s="141">
        <v>16.5</v>
      </c>
      <c r="O76" s="141">
        <v>182</v>
      </c>
    </row>
    <row r="77" spans="1:15" x14ac:dyDescent="0.3">
      <c r="A77" s="141">
        <v>73</v>
      </c>
      <c r="B77" s="4" t="s">
        <v>1020</v>
      </c>
      <c r="C77" s="141" t="s">
        <v>970</v>
      </c>
      <c r="D77" s="141" t="s">
        <v>971</v>
      </c>
      <c r="E77" s="141" t="s">
        <v>972</v>
      </c>
      <c r="F77" s="141">
        <v>180</v>
      </c>
      <c r="G77" s="141" t="s">
        <v>8</v>
      </c>
      <c r="H77" s="314"/>
      <c r="I77" s="141">
        <v>0.8</v>
      </c>
      <c r="J77" s="141">
        <v>450</v>
      </c>
      <c r="K77" s="141">
        <v>25.139200000000002</v>
      </c>
      <c r="L77" s="141">
        <v>3.45</v>
      </c>
      <c r="M77" s="141">
        <v>26.21</v>
      </c>
      <c r="N77" s="141">
        <v>16.5</v>
      </c>
      <c r="O77" s="141">
        <v>157.12</v>
      </c>
    </row>
    <row r="78" spans="1:15" x14ac:dyDescent="0.3">
      <c r="A78" s="141">
        <v>74</v>
      </c>
      <c r="B78" s="4" t="s">
        <v>1021</v>
      </c>
      <c r="C78" s="141" t="s">
        <v>974</v>
      </c>
      <c r="D78" s="141" t="s">
        <v>975</v>
      </c>
      <c r="E78" s="141" t="s">
        <v>953</v>
      </c>
      <c r="F78" s="141">
        <v>184</v>
      </c>
      <c r="G78" s="141" t="s">
        <v>43</v>
      </c>
      <c r="H78" s="314"/>
      <c r="I78" s="141">
        <v>0</v>
      </c>
      <c r="J78" s="141">
        <v>450</v>
      </c>
      <c r="K78" s="141">
        <v>29.12</v>
      </c>
      <c r="L78" s="141">
        <v>3.9</v>
      </c>
      <c r="M78" s="141">
        <v>30.1</v>
      </c>
      <c r="N78" s="141">
        <v>16.5</v>
      </c>
      <c r="O78" s="141">
        <v>182</v>
      </c>
    </row>
    <row r="79" spans="1:15" x14ac:dyDescent="0.3">
      <c r="A79" s="141">
        <v>75</v>
      </c>
      <c r="B79" s="4" t="s">
        <v>1022</v>
      </c>
      <c r="C79" s="141" t="s">
        <v>974</v>
      </c>
      <c r="D79" s="141" t="s">
        <v>975</v>
      </c>
      <c r="E79" s="141" t="s">
        <v>953</v>
      </c>
      <c r="F79" s="141">
        <v>180</v>
      </c>
      <c r="G79" s="141" t="s">
        <v>43</v>
      </c>
      <c r="H79" s="314"/>
      <c r="I79" s="141">
        <v>0</v>
      </c>
      <c r="J79" s="141">
        <v>450</v>
      </c>
      <c r="K79" s="141">
        <v>25.139200000000002</v>
      </c>
      <c r="L79" s="141">
        <v>3.45</v>
      </c>
      <c r="M79" s="141">
        <v>26.21</v>
      </c>
      <c r="N79" s="141">
        <v>16.5</v>
      </c>
      <c r="O79" s="141">
        <v>157.12</v>
      </c>
    </row>
  </sheetData>
  <mergeCells count="6">
    <mergeCell ref="A3:E3"/>
    <mergeCell ref="F3:F4"/>
    <mergeCell ref="H3:H4"/>
    <mergeCell ref="I3:O3"/>
    <mergeCell ref="H5:H79"/>
    <mergeCell ref="G3:G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BO223"/>
  <sheetViews>
    <sheetView workbookViewId="0">
      <selection activeCell="E8" sqref="E8"/>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c r="F1" s="247"/>
    </row>
    <row r="2" spans="1:36" ht="15" thickBot="1" x14ac:dyDescent="0.35">
      <c r="AF2" s="143" t="s">
        <v>218</v>
      </c>
    </row>
    <row r="3" spans="1:36" ht="15" thickBot="1" x14ac:dyDescent="0.35">
      <c r="A3" s="14" t="s">
        <v>52</v>
      </c>
      <c r="B3" s="298" t="s">
        <v>30</v>
      </c>
      <c r="C3" s="298"/>
      <c r="D3" s="17" t="s">
        <v>478</v>
      </c>
      <c r="F3" s="300" t="s">
        <v>222</v>
      </c>
      <c r="G3" s="301"/>
      <c r="AF3" s="144" t="str">
        <f>IF(B12="","",B12)</f>
        <v>Protein_1_conv</v>
      </c>
    </row>
    <row r="4" spans="1:36" x14ac:dyDescent="0.3">
      <c r="A4" s="15" t="s">
        <v>31</v>
      </c>
      <c r="B4" s="299">
        <v>110</v>
      </c>
      <c r="C4" s="299"/>
      <c r="D4" s="5" t="s">
        <v>479</v>
      </c>
      <c r="F4" s="150" t="s">
        <v>223</v>
      </c>
      <c r="G4" s="149">
        <v>21</v>
      </c>
      <c r="I4" s="302" t="s">
        <v>158</v>
      </c>
      <c r="J4" s="303"/>
      <c r="K4" s="128"/>
      <c r="L4" s="134" t="s">
        <v>207</v>
      </c>
      <c r="AF4" s="144" t="str">
        <f t="shared" ref="AF4:AF9" si="0">IF(B13="","",B13)</f>
        <v>Protein_2_conv</v>
      </c>
    </row>
    <row r="5" spans="1:36" x14ac:dyDescent="0.3">
      <c r="A5" s="15" t="s">
        <v>32</v>
      </c>
      <c r="B5" s="299" t="s">
        <v>659</v>
      </c>
      <c r="C5" s="299"/>
      <c r="D5" s="17" t="s">
        <v>627</v>
      </c>
      <c r="F5" s="150" t="s">
        <v>224</v>
      </c>
      <c r="G5" s="149">
        <v>22</v>
      </c>
      <c r="I5" s="86" t="s">
        <v>159</v>
      </c>
      <c r="J5" s="5"/>
      <c r="L5" s="90">
        <v>3.14</v>
      </c>
      <c r="AF5" s="144" t="str">
        <f t="shared" si="0"/>
        <v>Planteolie_conv</v>
      </c>
    </row>
    <row r="6" spans="1:36" x14ac:dyDescent="0.3">
      <c r="A6" s="15" t="s">
        <v>3</v>
      </c>
      <c r="B6" s="299" t="s">
        <v>389</v>
      </c>
      <c r="C6" s="299"/>
      <c r="D6" s="5">
        <v>1.032</v>
      </c>
      <c r="F6" s="151" t="s">
        <v>147</v>
      </c>
      <c r="G6" s="88">
        <f>(Y32/D32)*100</f>
        <v>65.780767935667896</v>
      </c>
      <c r="I6" s="86" t="s">
        <v>160</v>
      </c>
      <c r="J6" s="5"/>
      <c r="L6" s="129"/>
      <c r="AF6" s="144" t="str">
        <f t="shared" si="0"/>
        <v>Grain_conv</v>
      </c>
    </row>
    <row r="7" spans="1:36" ht="14.7" customHeight="1" x14ac:dyDescent="0.3">
      <c r="A7" s="295" t="s">
        <v>55</v>
      </c>
      <c r="B7" s="296" t="s">
        <v>480</v>
      </c>
      <c r="C7" s="296"/>
      <c r="D7" s="42"/>
      <c r="F7" s="152" t="s">
        <v>187</v>
      </c>
      <c r="G7" s="257">
        <v>31.2</v>
      </c>
      <c r="I7" s="86" t="s">
        <v>161</v>
      </c>
      <c r="J7" s="5"/>
      <c r="L7" s="131" t="s">
        <v>198</v>
      </c>
      <c r="AF7" s="144" t="str">
        <f t="shared" si="0"/>
        <v/>
      </c>
    </row>
    <row r="8" spans="1:36" ht="15" thickBot="1" x14ac:dyDescent="0.35">
      <c r="A8" s="295"/>
      <c r="B8" s="296"/>
      <c r="C8" s="296"/>
      <c r="D8" s="47"/>
      <c r="F8" s="153" t="s">
        <v>197</v>
      </c>
      <c r="G8" s="102">
        <v>35.9</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Mineral_Type_2_grann_imp_conv</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284</v>
      </c>
      <c r="C12" s="217" t="s">
        <v>43</v>
      </c>
      <c r="D12" s="254">
        <v>22</v>
      </c>
      <c r="E12" s="218"/>
      <c r="F12" s="218" t="s">
        <v>192</v>
      </c>
      <c r="G12" s="219"/>
      <c r="I12" s="87" t="s">
        <v>201</v>
      </c>
      <c r="J12" s="107">
        <v>1.54</v>
      </c>
      <c r="K12" s="107">
        <v>1.58</v>
      </c>
      <c r="L12" s="102"/>
      <c r="R12" s="51">
        <f>(IF($T12=0,"0",VLOOKUP($B12,Biomass_pool_output_Tech1_modul!$A$3:$G$100,7,FALSE)))</f>
        <v>982.04281164681095</v>
      </c>
      <c r="S12" s="44"/>
      <c r="T12" s="34">
        <f>IF($B12="","0",(VLOOKUP($B12,Biomass_pool_output_Tech1_modul!$A$3:$F$100,2,FALSE)*($D12)/1000))</f>
        <v>10.109990993408724</v>
      </c>
      <c r="U12" s="34">
        <f>IF($B12="","0",(VLOOKUP($B12,Biomass_pool_output_Tech1_modul!$A$3:$F$100,3,FALSE)*($D12)/1000))</f>
        <v>3.5331272260120099</v>
      </c>
      <c r="V12" s="34">
        <f>IF($B12="","0",(VLOOKUP($B12,Biomass_pool_output_Tech1_modul!$A$3:$F$100,4,FALSE)*($D12)/1000))</f>
        <v>4.6929590651038043E-2</v>
      </c>
      <c r="W12" s="34">
        <f>IF($B12="","0",(VLOOKUP($B12,Biomass_pool_output_Tech1_modul!$A$3:$F$100,5,FALSE)*($D12)/1000))</f>
        <v>0.22523984635109098</v>
      </c>
      <c r="X12" s="34">
        <f>IF($B12="","0",(VLOOKUP($B12,Biomass_pool_output_Tech1_modul!$A$3:$F$100,6,FALSE)*$D12))</f>
        <v>403.16306218510738</v>
      </c>
      <c r="Y12" s="34">
        <f>U12*6.25</f>
        <v>22.082045162575064</v>
      </c>
      <c r="AA12" s="53"/>
      <c r="AB12" s="53"/>
      <c r="AC12" s="53"/>
      <c r="AD12" s="53"/>
      <c r="AF12" s="144" t="str">
        <f t="shared" si="1"/>
        <v/>
      </c>
      <c r="AG12" s="53"/>
      <c r="AH12" s="53"/>
      <c r="AI12" s="53"/>
      <c r="AJ12" s="53"/>
    </row>
    <row r="13" spans="1:36" x14ac:dyDescent="0.3">
      <c r="A13" s="220" t="s">
        <v>318</v>
      </c>
      <c r="B13" s="212" t="s">
        <v>285</v>
      </c>
      <c r="C13" s="213" t="s">
        <v>43</v>
      </c>
      <c r="D13" s="255">
        <v>1.9</v>
      </c>
      <c r="E13" s="214"/>
      <c r="F13" s="214" t="s">
        <v>209</v>
      </c>
      <c r="R13" s="51">
        <f>(IF($T13=0,"0",VLOOKUP($B13,Biomass_pool_output_Tech1_modul!$A$3:$G$100,7,FALSE)))</f>
        <v>879.383109851227</v>
      </c>
      <c r="S13" s="44"/>
      <c r="T13" s="34">
        <f>IF($B13="","0",(VLOOKUP($B13,Biomass_pool_output_Tech1_modul!$A$3:$F$100,2,FALSE)*($D13)/1000))</f>
        <v>0.85499999999999998</v>
      </c>
      <c r="U13" s="34">
        <f>IF($B13="","0",(VLOOKUP($B13,Biomass_pool_output_Tech1_modul!$A$3:$F$100,3,FALSE)*($D13)/1000))</f>
        <v>9.1095361577057235E-2</v>
      </c>
      <c r="V13" s="34">
        <f>IF($B13="","0",(VLOOKUP($B13,Biomass_pool_output_Tech1_modul!$A$3:$F$100,4,FALSE)*($D13)/1000))</f>
        <v>2.1440662114230808E-2</v>
      </c>
      <c r="W13" s="34">
        <f>IF($B13="","0",(VLOOKUP($B13,Biomass_pool_output_Tech1_modul!$A$3:$F$100,5,FALSE)*($D13)/1000))</f>
        <v>2.9673107185901309E-2</v>
      </c>
      <c r="X13" s="34">
        <f>IF($B13="","0",(VLOOKUP($B13,Biomass_pool_output_Tech1_modul!$A$3:$F$100,6,FALSE)*$D13))</f>
        <v>41.12009949850043</v>
      </c>
      <c r="Y13" s="34">
        <f t="shared" ref="Y13:Y16" si="2">U13*6.25</f>
        <v>0.56934600985660777</v>
      </c>
      <c r="AA13" s="53"/>
      <c r="AB13" s="53"/>
      <c r="AC13" s="53"/>
      <c r="AD13" s="53"/>
      <c r="AF13" s="144" t="str">
        <f t="shared" si="1"/>
        <v/>
      </c>
      <c r="AG13" s="53"/>
      <c r="AH13" s="53"/>
      <c r="AI13" s="53"/>
      <c r="AJ13" s="53"/>
    </row>
    <row r="14" spans="1:36" ht="15" thickBot="1" x14ac:dyDescent="0.35">
      <c r="A14" s="220" t="s">
        <v>319</v>
      </c>
      <c r="B14" s="221" t="s">
        <v>382</v>
      </c>
      <c r="C14" s="222" t="s">
        <v>43</v>
      </c>
      <c r="D14" s="253">
        <v>1.2</v>
      </c>
      <c r="E14" s="223"/>
      <c r="F14" s="224" t="s">
        <v>666</v>
      </c>
      <c r="G14" s="154"/>
      <c r="I14" s="203"/>
      <c r="J14" s="203"/>
      <c r="K14" s="203"/>
      <c r="R14" s="51">
        <f>(IF($T14=0,"0",VLOOKUP($B14,Biomass_pool_output_Tech1_modul!$A$3:$G$100,7,FALSE)))</f>
        <v>1000</v>
      </c>
      <c r="S14" s="44"/>
      <c r="T14" s="34">
        <f>IF($B14="","0",(VLOOKUP($B14,Biomass_pool_output_Tech1_modul!$A$3:$F$100,2,FALSE)*($D14)/1000))</f>
        <v>0.54</v>
      </c>
      <c r="U14" s="34">
        <f>IF($B14="","0",(VLOOKUP($B14,Biomass_pool_output_Tech1_modul!$A$3:$F$100,3,FALSE)*($D14)/1000))</f>
        <v>0</v>
      </c>
      <c r="V14" s="34">
        <f>IF($B14="","0",(VLOOKUP($B14,Biomass_pool_output_Tech1_modul!$A$3:$F$100,4,FALSE)*($D14)/1000))</f>
        <v>0</v>
      </c>
      <c r="W14" s="34">
        <f>IF($B14="","0",(VLOOKUP($B14,Biomass_pool_output_Tech1_modul!$A$3:$F$100,5,FALSE)*($D14)/1000))</f>
        <v>0</v>
      </c>
      <c r="X14" s="34">
        <f>IF($B14="","0",(VLOOKUP($B14,Biomass_pool_output_Tech1_modul!$A$3:$F$100,6,FALSE)*$D14))</f>
        <v>43.92</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54">
        <v>9.1999999999999993</v>
      </c>
      <c r="E15" s="218"/>
      <c r="F15" s="226" t="s">
        <v>344</v>
      </c>
      <c r="G15" s="219"/>
      <c r="R15" s="51">
        <f>(IF($T15=0,"0",VLOOKUP($B15,Biomass_pool_output_Tech1_modul!$A$3:$G$100,7,FALSE)))</f>
        <v>850.51110268835396</v>
      </c>
      <c r="S15" s="44"/>
      <c r="T15" s="34">
        <f>IF($B15="","0",(VLOOKUP($B15,Biomass_pool_output_Tech1_modul!$A$3:$F$100,2,FALSE)*($D15)/1000))</f>
        <v>4.1399999999999997</v>
      </c>
      <c r="U15" s="34">
        <f>IF($B15="","0",(VLOOKUP($B15,Biomass_pool_output_Tech1_modul!$A$3:$F$100,3,FALSE)*($D15)/1000))</f>
        <v>0.15422472263569575</v>
      </c>
      <c r="V15" s="34">
        <f>IF($B15="","0",(VLOOKUP($B15,Biomass_pool_output_Tech1_modul!$A$3:$F$100,4,FALSE)*($D15)/1000))</f>
        <v>2.8550439894700901E-2</v>
      </c>
      <c r="W15" s="34">
        <f>IF($B15="","0",(VLOOKUP($B15,Biomass_pool_output_Tech1_modul!$A$3:$F$100,5,FALSE)*($D15)/1000))</f>
        <v>4.4855689757579718E-2</v>
      </c>
      <c r="X15" s="34">
        <f>IF($B15="","0",(VLOOKUP($B15,Biomass_pool_output_Tech1_modul!$A$3:$F$100,6,FALSE)*$D15))</f>
        <v>176.96099787662504</v>
      </c>
      <c r="Y15" s="34">
        <f t="shared" si="2"/>
        <v>0.96390451647309849</v>
      </c>
      <c r="AA15" s="53"/>
      <c r="AB15" s="53"/>
      <c r="AC15" s="53"/>
      <c r="AD15" s="53"/>
      <c r="AF15" s="144" t="str">
        <f t="shared" si="1"/>
        <v/>
      </c>
      <c r="AG15" s="53"/>
      <c r="AH15" s="53"/>
      <c r="AI15" s="53"/>
      <c r="AJ15" s="53"/>
    </row>
    <row r="16" spans="1:36" x14ac:dyDescent="0.3">
      <c r="A16" s="211" t="s">
        <v>107</v>
      </c>
      <c r="B16" s="212"/>
      <c r="C16" s="213" t="s">
        <v>43</v>
      </c>
      <c r="D16" s="228"/>
      <c r="E16" s="214"/>
      <c r="F16" s="225"/>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Soyakage_imp_conv</v>
      </c>
      <c r="AH17" s="110"/>
    </row>
    <row r="18" spans="1:65" x14ac:dyDescent="0.3">
      <c r="A18" s="18" t="s">
        <v>414</v>
      </c>
      <c r="B18" s="19" t="s">
        <v>411</v>
      </c>
      <c r="C18" s="28" t="s">
        <v>43</v>
      </c>
      <c r="D18" s="256">
        <v>1.6</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0.08</v>
      </c>
      <c r="W18" s="34">
        <f>IF($B18="","0",(VLOOKUP($B18,'Imported products'!$B$5:$O$54,12,FALSE)*($D18)/1000))</f>
        <v>2.4000000000000002E-3</v>
      </c>
      <c r="X18" s="34">
        <f>IF($B18="","0",(VLOOKUP($B18,'Imported products'!$B$5:$O$54,13,FALSE)*($D18)/1000))</f>
        <v>0</v>
      </c>
      <c r="Y18" s="34">
        <f>IF($B18="","0",(VLOOKUP($B18,'Imported products'!$B$5:$O$54,14,FALSE)*($D18)/1000))</f>
        <v>0</v>
      </c>
      <c r="AA18" s="110"/>
      <c r="AF18" s="144" t="str">
        <f t="shared" ref="AF18:AF23" si="3">IF(F13="","",F13)</f>
        <v>Rapskage_imp_conv</v>
      </c>
      <c r="AH18" s="110"/>
    </row>
    <row r="19" spans="1:65" x14ac:dyDescent="0.3">
      <c r="A19" s="25"/>
      <c r="B19" s="243"/>
      <c r="C19" s="244"/>
      <c r="D19" s="244"/>
      <c r="R19" s="52"/>
      <c r="AA19" s="110"/>
      <c r="AF19" s="144" t="str">
        <f t="shared" si="3"/>
        <v>Feed_fat_imp_conv</v>
      </c>
    </row>
    <row r="20" spans="1:65" x14ac:dyDescent="0.3">
      <c r="A20" s="18" t="s">
        <v>113</v>
      </c>
      <c r="B20" s="40"/>
      <c r="C20" s="28" t="s">
        <v>43</v>
      </c>
      <c r="D20" s="34">
        <f>SUM(D12:D18)</f>
        <v>35.9</v>
      </c>
      <c r="R20" s="82">
        <f>(D12*R12+D13*R13+D14*R14+D15*R15+D16*R16+D17*R17+D18*R18)/D20</f>
        <v>944.30283870975006</v>
      </c>
      <c r="S20" s="45"/>
      <c r="T20" s="116">
        <f t="shared" ref="T20:X20" si="4">SUM(T12:T18)</f>
        <v>15.644990993408726</v>
      </c>
      <c r="U20" s="116">
        <f t="shared" si="4"/>
        <v>3.7784473102247631</v>
      </c>
      <c r="V20" s="116">
        <f t="shared" si="4"/>
        <v>0.17692069265996974</v>
      </c>
      <c r="W20" s="116">
        <f t="shared" si="4"/>
        <v>0.30216864329457199</v>
      </c>
      <c r="X20" s="116">
        <f t="shared" si="4"/>
        <v>665.16415956023286</v>
      </c>
      <c r="Y20" s="116">
        <f>SUM(Y12:Y18)</f>
        <v>23.615295688904773</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 t="shared" si="9"/>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0</v>
      </c>
      <c r="E31" s="24"/>
      <c r="K31" t="s">
        <v>175</v>
      </c>
      <c r="L31" s="24"/>
      <c r="M31" s="24"/>
      <c r="N31" s="24"/>
      <c r="O31" s="24"/>
      <c r="P31" s="24"/>
      <c r="Q31" s="25"/>
      <c r="R31" s="82" t="e">
        <f>(D24*R24+D25*R25+D26*R26+D27*R27+D28*R28+D29*R29+D30*R30)/D31</f>
        <v>#DIV/0!</v>
      </c>
      <c r="S31" s="45"/>
      <c r="T31" s="116">
        <f t="shared" ref="T31:Y31" si="10">SUM(T24:T30)</f>
        <v>0</v>
      </c>
      <c r="U31" s="116">
        <f t="shared" si="10"/>
        <v>0</v>
      </c>
      <c r="V31" s="116">
        <f t="shared" si="10"/>
        <v>0</v>
      </c>
      <c r="W31" s="116">
        <f t="shared" si="10"/>
        <v>0</v>
      </c>
      <c r="X31" s="116">
        <f>SUM(X24:X30)</f>
        <v>0</v>
      </c>
      <c r="Y31" s="116">
        <f t="shared" si="10"/>
        <v>0</v>
      </c>
      <c r="AA31" s="113" t="s">
        <v>61</v>
      </c>
      <c r="AB31" s="115">
        <f>SUM(AB24:AB30)</f>
        <v>0</v>
      </c>
      <c r="AC31" s="115">
        <f>SUM(AC24:AC30)</f>
        <v>0</v>
      </c>
      <c r="AD31" s="115">
        <f>SUM(AD24:AD30)</f>
        <v>0</v>
      </c>
      <c r="AF31" s="144" t="str">
        <f>IF(E24="","",E24)</f>
        <v/>
      </c>
      <c r="AN31" s="35" t="s">
        <v>61</v>
      </c>
      <c r="AO31" s="92">
        <f>SUM(AO24:AO30)</f>
        <v>0</v>
      </c>
      <c r="AP31" s="92">
        <f t="shared" ref="AP31:BH31" si="11">SUM(AP24:AP30)</f>
        <v>0</v>
      </c>
      <c r="AQ31" s="92">
        <f t="shared" si="11"/>
        <v>0</v>
      </c>
      <c r="AR31" s="92">
        <f t="shared" si="11"/>
        <v>0</v>
      </c>
      <c r="AS31" s="92">
        <f t="shared" si="11"/>
        <v>0</v>
      </c>
      <c r="AT31" s="92">
        <f t="shared" si="11"/>
        <v>0</v>
      </c>
      <c r="AU31" s="92">
        <f t="shared" si="11"/>
        <v>0</v>
      </c>
      <c r="AV31" s="92">
        <f t="shared" si="11"/>
        <v>0</v>
      </c>
      <c r="AW31" s="92">
        <f t="shared" si="11"/>
        <v>0</v>
      </c>
      <c r="AX31" s="92">
        <f t="shared" si="11"/>
        <v>0</v>
      </c>
      <c r="AY31" s="92">
        <f t="shared" si="11"/>
        <v>0</v>
      </c>
      <c r="AZ31" s="92">
        <f t="shared" si="11"/>
        <v>0</v>
      </c>
      <c r="BA31" s="92">
        <f t="shared" si="11"/>
        <v>0</v>
      </c>
      <c r="BB31" s="92">
        <f t="shared" si="11"/>
        <v>0</v>
      </c>
      <c r="BC31" s="92">
        <f t="shared" si="11"/>
        <v>0</v>
      </c>
      <c r="BD31" s="92">
        <f t="shared" si="11"/>
        <v>0</v>
      </c>
      <c r="BE31" s="92">
        <f t="shared" si="11"/>
        <v>0</v>
      </c>
      <c r="BF31" s="92">
        <f t="shared" si="11"/>
        <v>0</v>
      </c>
      <c r="BG31" s="92">
        <f t="shared" si="11"/>
        <v>0</v>
      </c>
      <c r="BH31" s="92">
        <f t="shared" si="11"/>
        <v>0</v>
      </c>
    </row>
    <row r="32" spans="1:65" ht="15" thickBot="1" x14ac:dyDescent="0.35">
      <c r="A32" s="18" t="s">
        <v>113</v>
      </c>
      <c r="B32" s="40"/>
      <c r="C32" s="28" t="s">
        <v>43</v>
      </c>
      <c r="D32" s="83">
        <f>D20+D31</f>
        <v>35.9</v>
      </c>
      <c r="E32" s="24"/>
      <c r="I32" s="24"/>
      <c r="J32" s="24"/>
      <c r="K32" s="24"/>
      <c r="L32" s="24"/>
      <c r="M32" s="24"/>
      <c r="N32" s="24"/>
      <c r="P32" s="25"/>
      <c r="Q32" s="25"/>
      <c r="R32" s="84" t="e">
        <f>(D20*R20+D31*R31)/D32</f>
        <v>#DIV/0!</v>
      </c>
      <c r="S32" s="85"/>
      <c r="T32" s="117">
        <f>T20+T31</f>
        <v>15.644990993408726</v>
      </c>
      <c r="U32" s="117">
        <f t="shared" ref="U32:Y32" si="12">U20+U31</f>
        <v>3.7784473102247631</v>
      </c>
      <c r="V32" s="117">
        <f t="shared" si="12"/>
        <v>0.17692069265996974</v>
      </c>
      <c r="W32" s="117">
        <f t="shared" si="12"/>
        <v>0.30216864329457199</v>
      </c>
      <c r="X32" s="117">
        <f t="shared" si="12"/>
        <v>665.16415956023286</v>
      </c>
      <c r="Y32" s="117">
        <f t="shared" si="12"/>
        <v>23.615295688904773</v>
      </c>
      <c r="AF32" s="144" t="str">
        <f t="shared" ref="AF32:AF37" si="13">IF(E25="","",E25)</f>
        <v/>
      </c>
      <c r="BL32" t="str">
        <f>A4</f>
        <v>ID-nummer</v>
      </c>
      <c r="BM32">
        <f>B4</f>
        <v>110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 xml:space="preserve">LittlePigs_up_to_31_1_conv </v>
      </c>
    </row>
    <row r="34" spans="1:67" ht="15.6" x14ac:dyDescent="0.3">
      <c r="A34" s="16" t="s">
        <v>58</v>
      </c>
      <c r="B34" s="17" t="s">
        <v>29</v>
      </c>
      <c r="C34" s="17" t="s">
        <v>28</v>
      </c>
      <c r="D34" s="17" t="s">
        <v>164</v>
      </c>
      <c r="E34" s="66" t="s">
        <v>4</v>
      </c>
      <c r="F34" s="69" t="s">
        <v>54</v>
      </c>
      <c r="G34" s="66" t="s">
        <v>6</v>
      </c>
      <c r="H34" s="69" t="s">
        <v>470</v>
      </c>
      <c r="I34" s="66" t="s">
        <v>628</v>
      </c>
      <c r="J34" s="119"/>
      <c r="K34" s="97"/>
      <c r="L34" s="66" t="s">
        <v>657</v>
      </c>
      <c r="M34" s="66" t="s">
        <v>658</v>
      </c>
      <c r="N34" s="98" t="s">
        <v>630</v>
      </c>
      <c r="O34" s="119"/>
      <c r="P34" s="119"/>
      <c r="Q34" s="119"/>
      <c r="R34" s="259" t="s">
        <v>1</v>
      </c>
      <c r="T34" s="291" t="s">
        <v>212</v>
      </c>
      <c r="U34" s="291"/>
      <c r="V34" s="291"/>
      <c r="W34" s="291"/>
      <c r="X34" s="291"/>
      <c r="Y34" s="122"/>
      <c r="AF34" s="144" t="str">
        <f t="shared" si="13"/>
        <v/>
      </c>
      <c r="AM34" s="29"/>
      <c r="AN34" s="29"/>
      <c r="BJ34">
        <f t="shared" ref="BI34:BJ62" si="14">$BM$32</f>
        <v>110</v>
      </c>
      <c r="BK34" t="str">
        <f t="shared" ref="BJ34:BK62" si="15">$BM$33</f>
        <v xml:space="preserve">LittlePigs_up_to_31_1_conv </v>
      </c>
      <c r="BL34" t="s">
        <v>69</v>
      </c>
      <c r="BM34">
        <f>$B$24</f>
        <v>0</v>
      </c>
      <c r="BN34" t="str">
        <f t="shared" ref="BN34:BO40" si="16">C24</f>
        <v>Kg</v>
      </c>
      <c r="BO34">
        <f t="shared" si="16"/>
        <v>0</v>
      </c>
    </row>
    <row r="35" spans="1:67" ht="15.6" x14ac:dyDescent="0.3">
      <c r="A35" s="18" t="s">
        <v>631</v>
      </c>
      <c r="B35" s="19" t="s">
        <v>637</v>
      </c>
      <c r="C35" s="28" t="s">
        <v>43</v>
      </c>
      <c r="D35" s="34">
        <f>H35*(R35/1000)</f>
        <v>0.14430000000000001</v>
      </c>
      <c r="E35" s="30" t="str">
        <f>IF(B35="","",VLOOKUP(B35,'Processed products'!$B$5:$E$104,2,FALSE))</f>
        <v>Dead_meat_conv</v>
      </c>
      <c r="F35" s="30" t="str">
        <f>IF(B35="","",VLOOKUP(B35,'Processed products'!$B$5:$E$104,3,FALSE))</f>
        <v>Dead_meat</v>
      </c>
      <c r="G35" s="30" t="str">
        <f>IF(B35="","",VLOOKUP(B35,'Processed products'!$B$5:$E$104,4,FALSE))</f>
        <v>Exit_model</v>
      </c>
      <c r="H35" s="165">
        <v>0.39</v>
      </c>
      <c r="I35" s="4"/>
      <c r="K35" s="97" t="s">
        <v>654</v>
      </c>
      <c r="L35" s="132" t="s">
        <v>299</v>
      </c>
      <c r="M35" s="132" t="s">
        <v>633</v>
      </c>
      <c r="N35" s="272">
        <v>0.214</v>
      </c>
      <c r="R35" s="51">
        <f>(IF($B35="",0,VLOOKUP($B35,'Processed products'!$B$5:$O$104,5,FALSE)))</f>
        <v>370</v>
      </c>
      <c r="S35" s="44"/>
      <c r="T35" s="28">
        <f>(IF($B35="","",VLOOKUP($B35,'Processed products'!$B$5:$O$104,9,FALSE)))</f>
        <v>640</v>
      </c>
      <c r="U35" s="34">
        <f>(IF($B35="","",VLOOKUP($B35,'Processed products'!$B$5:$O$104,10,FALSE)))</f>
        <v>79.87</v>
      </c>
      <c r="V35" s="28">
        <f>(IF($B35="","",VLOOKUP($B35,'Processed products'!$B$5:$O$104,11,FALSE)))</f>
        <v>13.24</v>
      </c>
      <c r="W35" s="28">
        <f>(IF($B35="","",VLOOKUP($B35,'Processed products'!$B$5:$O$104,12,FALSE)))</f>
        <v>5.95</v>
      </c>
      <c r="X35" s="28">
        <f>(IF($B35="","",VLOOKUP($B35,'Processed products'!$B$5:$O$104,13,FALSE)))</f>
        <v>27.17</v>
      </c>
      <c r="Z35" s="53"/>
      <c r="AA35" s="53"/>
      <c r="AB35" s="53"/>
      <c r="AC35" s="53"/>
      <c r="AD35" s="53"/>
      <c r="AF35" s="144" t="str">
        <f t="shared" si="13"/>
        <v/>
      </c>
      <c r="AJ35" s="32"/>
      <c r="BJ35">
        <f t="shared" si="14"/>
        <v>110</v>
      </c>
      <c r="BK35" t="str">
        <f t="shared" si="15"/>
        <v xml:space="preserve">LittlePigs_up_to_31_1_conv </v>
      </c>
      <c r="BL35" t="s">
        <v>69</v>
      </c>
      <c r="BM35">
        <f>$B$25</f>
        <v>0</v>
      </c>
      <c r="BN35" t="str">
        <f t="shared" si="16"/>
        <v>Kg</v>
      </c>
      <c r="BO35">
        <f t="shared" si="16"/>
        <v>0</v>
      </c>
    </row>
    <row r="36" spans="1:67" ht="15.6" x14ac:dyDescent="0.3">
      <c r="A36" s="18" t="s">
        <v>632</v>
      </c>
      <c r="B36" s="19"/>
      <c r="C36" s="28" t="s">
        <v>43</v>
      </c>
      <c r="D36" s="34">
        <f t="shared" ref="D36" si="17">H36*(R36/1000)</f>
        <v>0</v>
      </c>
      <c r="E36" s="30" t="str">
        <f>IF(B36="","",VLOOKUP(B36,'Processed products'!$B$5:$E$104,2,FALSE))</f>
        <v/>
      </c>
      <c r="F36" s="30" t="str">
        <f>IF(B36="","",VLOOKUP(B36,'Processed products'!$B$5:$E$104,3,FALSE))</f>
        <v/>
      </c>
      <c r="G36" s="30" t="str">
        <f>IF(B36="","",VLOOKUP(B36,'Processed products'!$B$5:$E$104,4,FALSE))</f>
        <v/>
      </c>
      <c r="H36" s="250"/>
      <c r="I36" s="4"/>
      <c r="K36" s="97" t="s">
        <v>655</v>
      </c>
      <c r="L36" s="132"/>
      <c r="M36" s="132"/>
      <c r="N36" s="272"/>
      <c r="P36" s="93"/>
      <c r="Q36" s="262"/>
      <c r="R36" s="51">
        <f>(IF($B36="",0,VLOOKUP($B36,'Processed products'!$B$5:$O$104,5,FALSE)))</f>
        <v>0</v>
      </c>
      <c r="S36" s="44"/>
      <c r="T36" s="28" t="str">
        <f>(IF($B36="","",VLOOKUP($B36,'Processed products'!$B$5:$O$104,9,FALSE)))</f>
        <v/>
      </c>
      <c r="U36" s="34" t="str">
        <f>(IF($B36="","",VLOOKUP($B36,'Processed products'!$B$5:$O$104,10,FALSE)))</f>
        <v/>
      </c>
      <c r="V36" s="28" t="str">
        <f>(IF($B36="","",VLOOKUP($B36,'Processed products'!$B$5:$O$104,11,FALSE)))</f>
        <v/>
      </c>
      <c r="W36" s="28" t="str">
        <f>(IF($B36="","",VLOOKUP($B36,'Processed products'!$B$5:$O$104,12,FALSE)))</f>
        <v/>
      </c>
      <c r="X36" s="28" t="str">
        <f>(IF($B36="","",VLOOKUP($B36,'Processed products'!$B$5:$O$104,13,FALSE)))</f>
        <v/>
      </c>
      <c r="Z36" s="53"/>
      <c r="AA36" s="53"/>
      <c r="AB36" s="53"/>
      <c r="AC36" s="53"/>
      <c r="AD36" s="53"/>
      <c r="AF36" s="144" t="str">
        <f t="shared" si="13"/>
        <v/>
      </c>
      <c r="BJ36">
        <f t="shared" si="14"/>
        <v>110</v>
      </c>
      <c r="BK36" t="str">
        <f t="shared" si="15"/>
        <v xml:space="preserve">LittlePigs_up_to_31_1_conv </v>
      </c>
      <c r="BL36" t="s">
        <v>69</v>
      </c>
      <c r="BM36">
        <f>$B$26</f>
        <v>0</v>
      </c>
      <c r="BN36" t="str">
        <f t="shared" si="16"/>
        <v>Kg</v>
      </c>
      <c r="BO36">
        <f t="shared" si="16"/>
        <v>0</v>
      </c>
    </row>
    <row r="37" spans="1:67" ht="16.2" thickBot="1" x14ac:dyDescent="0.35">
      <c r="A37" s="18" t="s">
        <v>647</v>
      </c>
      <c r="B37" s="19" t="s">
        <v>390</v>
      </c>
      <c r="C37" s="28" t="s">
        <v>43</v>
      </c>
      <c r="D37" s="34">
        <f>H37*(R37/1000)</f>
        <v>8.9909999999999997</v>
      </c>
      <c r="E37" s="30" t="str">
        <f>IF(B37="","",VLOOKUP(B37,'Processed products'!$B$5:$E$104,2,FALSE))</f>
        <v>Piglet_31_live_conv</v>
      </c>
      <c r="F37" s="30" t="str">
        <f>IF(B37="","",VLOOKUP(B37,'Processed products'!$B$5:$E$104,3,FALSE))</f>
        <v>Pig_live_conv</v>
      </c>
      <c r="G37" s="30" t="str">
        <f>IF(B37="","",VLOOKUP(B37,'Processed products'!$B$5:$E$104,4,FALSE))</f>
        <v>Livestock_balance</v>
      </c>
      <c r="H37" s="250">
        <v>24.3</v>
      </c>
      <c r="I37" s="5">
        <v>1</v>
      </c>
      <c r="K37" s="273" t="s">
        <v>656</v>
      </c>
      <c r="L37" s="260"/>
      <c r="M37" s="260"/>
      <c r="N37" s="261"/>
      <c r="Q37" s="25"/>
      <c r="R37" s="51">
        <f>(IF($B37="",0,VLOOKUP($B37,'Processed products'!$B$5:$O$104,5,FALSE)))</f>
        <v>370</v>
      </c>
      <c r="S37" s="44"/>
      <c r="T37" s="28">
        <f>(IF($B37="","",VLOOKUP($B37,'Processed products'!$B$5:$O$104,9,FALSE)))</f>
        <v>640</v>
      </c>
      <c r="U37" s="34">
        <f>(IF($B37="","",VLOOKUP($B37,'Processed products'!$B$5:$O$104,10,FALSE)))</f>
        <v>79.87</v>
      </c>
      <c r="V37" s="28">
        <f>(IF($B37="","",VLOOKUP($B37,'Processed products'!$B$5:$O$104,11,FALSE)))</f>
        <v>13.24</v>
      </c>
      <c r="W37" s="28">
        <f>(IF($B37="","",VLOOKUP($B37,'Processed products'!$B$5:$O$104,12,FALSE)))</f>
        <v>5.95</v>
      </c>
      <c r="X37" s="28">
        <f>(IF($B37="","",VLOOKUP($B37,'Processed products'!$B$5:$O$104,13,FALSE)))</f>
        <v>27.17</v>
      </c>
      <c r="Z37" s="53"/>
      <c r="AA37" s="53"/>
      <c r="AB37" s="53"/>
      <c r="AC37" s="53"/>
      <c r="AD37" s="53"/>
      <c r="AF37" s="144" t="str">
        <f t="shared" si="13"/>
        <v/>
      </c>
      <c r="BJ37">
        <f t="shared" si="14"/>
        <v>110</v>
      </c>
      <c r="BK37" t="str">
        <f t="shared" si="15"/>
        <v xml:space="preserve">LittlePigs_up_to_31_1_conv </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110</v>
      </c>
      <c r="BK38" t="str">
        <f t="shared" si="15"/>
        <v xml:space="preserve">LittlePigs_up_to_31_1_conv </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K39" s="136">
        <f>6.7*0.031*1.032</f>
        <v>0.21434639999999999</v>
      </c>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110</v>
      </c>
      <c r="BK39" t="str">
        <f t="shared" si="15"/>
        <v xml:space="preserve">LittlePigs_up_to_31_1_conv </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L40" s="123"/>
      <c r="M40" s="123"/>
      <c r="N40" s="123"/>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110</v>
      </c>
      <c r="BK40" t="str">
        <f t="shared" si="15"/>
        <v xml:space="preserve">LittlePigs_up_to_31_1_conv </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246" t="s">
        <v>636</v>
      </c>
      <c r="L41" s="123"/>
      <c r="M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110</v>
      </c>
      <c r="BK41" t="str">
        <f t="shared" si="15"/>
        <v xml:space="preserve">LittlePigs_up_to_31_1_conv </v>
      </c>
      <c r="BL41" t="s">
        <v>126</v>
      </c>
      <c r="BM41" t="str">
        <f>$B$35</f>
        <v>Svinekoed_little_pig_dead_conv</v>
      </c>
      <c r="BN41" t="str">
        <f>C35</f>
        <v>Kg</v>
      </c>
      <c r="BO41" s="64">
        <f>P35</f>
        <v>0</v>
      </c>
    </row>
    <row r="42" spans="1:67" x14ac:dyDescent="0.3">
      <c r="A42" s="33" t="s">
        <v>61</v>
      </c>
      <c r="B42" s="39"/>
      <c r="C42" s="28" t="s">
        <v>43</v>
      </c>
      <c r="D42" s="34">
        <f>SUM(D35:D41)</f>
        <v>9.1352999999999991</v>
      </c>
      <c r="E42" s="24"/>
      <c r="I42" s="124"/>
      <c r="J42" s="136">
        <f>(24.3/2)*0.031*1.032</f>
        <v>0.38870280000000001</v>
      </c>
      <c r="K42" s="123"/>
      <c r="L42" s="124"/>
      <c r="M42" s="124"/>
      <c r="N42" s="124"/>
      <c r="P42" s="93"/>
      <c r="Q42" s="25"/>
      <c r="Z42" s="53"/>
      <c r="AA42" s="53"/>
      <c r="AB42" s="53"/>
      <c r="AC42" s="53"/>
      <c r="AD42" s="53"/>
      <c r="AF42" s="144" t="str">
        <f t="shared" si="18"/>
        <v/>
      </c>
      <c r="BJ42">
        <f t="shared" si="14"/>
        <v>110</v>
      </c>
      <c r="BK42" t="str">
        <f t="shared" si="15"/>
        <v xml:space="preserve">LittlePigs_up_to_31_1_conv </v>
      </c>
      <c r="BL42" t="s">
        <v>126</v>
      </c>
      <c r="BM42">
        <f>$B$36</f>
        <v>0</v>
      </c>
      <c r="BN42" t="str">
        <f t="shared" ref="BN42:BN47" si="19">C35</f>
        <v>Kg</v>
      </c>
      <c r="BO42" s="64">
        <f t="shared" ref="BO42:BO47" si="20">P35</f>
        <v>0</v>
      </c>
    </row>
    <row r="43" spans="1:67" x14ac:dyDescent="0.3">
      <c r="Z43" s="53"/>
      <c r="AA43" s="53"/>
      <c r="AB43" s="53"/>
      <c r="AC43" s="53"/>
      <c r="AD43" s="53"/>
      <c r="AF43" s="144" t="str">
        <f t="shared" si="18"/>
        <v/>
      </c>
      <c r="BJ43">
        <f t="shared" si="14"/>
        <v>110</v>
      </c>
      <c r="BK43" t="str">
        <f t="shared" si="15"/>
        <v xml:space="preserve">LittlePigs_up_to_31_1_conv </v>
      </c>
      <c r="BL43" t="s">
        <v>126</v>
      </c>
      <c r="BM43" t="str">
        <f>$B$37</f>
        <v>Svinekoed_little_pig_conv</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110</v>
      </c>
      <c r="BK44" t="str">
        <f t="shared" si="15"/>
        <v xml:space="preserve">LittlePigs_up_to_31_1_conv </v>
      </c>
      <c r="BL44" t="s">
        <v>126</v>
      </c>
      <c r="BM44">
        <f>$B$38</f>
        <v>0</v>
      </c>
      <c r="BN44" t="str">
        <f t="shared" si="19"/>
        <v>Kg</v>
      </c>
      <c r="BO44" s="64">
        <f t="shared" si="20"/>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110</v>
      </c>
      <c r="BK45" t="str">
        <f t="shared" si="15"/>
        <v xml:space="preserve">LittlePigs_up_to_31_1_conv </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110</v>
      </c>
      <c r="BK46" t="str">
        <f t="shared" si="15"/>
        <v xml:space="preserve">LittlePigs_up_to_31_1_conv </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V47" s="64"/>
      <c r="Z47" s="53"/>
      <c r="AA47" s="53"/>
      <c r="AB47" s="53"/>
      <c r="AC47" s="53"/>
      <c r="AD47" s="53"/>
      <c r="AF47" s="144" t="str">
        <f t="shared" si="21"/>
        <v/>
      </c>
      <c r="AG47" s="136"/>
      <c r="AH47" s="136"/>
      <c r="AI47" s="136"/>
      <c r="AJ47" s="136"/>
      <c r="BJ47">
        <f t="shared" si="14"/>
        <v>110</v>
      </c>
      <c r="BK47" t="str">
        <f t="shared" si="15"/>
        <v xml:space="preserve">LittlePigs_up_to_31_1_conv </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110</v>
      </c>
      <c r="BK48" t="str">
        <f t="shared" si="15"/>
        <v xml:space="preserve">LittlePigs_up_to_31_1_conv </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110</v>
      </c>
      <c r="BK49" t="str">
        <f t="shared" si="15"/>
        <v xml:space="preserve">LittlePigs_up_to_31_1_conv </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110</v>
      </c>
      <c r="BK50" t="str">
        <f t="shared" si="15"/>
        <v xml:space="preserve">LittlePigs_up_to_31_1_conv </v>
      </c>
      <c r="BL50" t="s">
        <v>127</v>
      </c>
      <c r="BM50">
        <f t="shared" si="22"/>
        <v>0</v>
      </c>
      <c r="BN50" s="32">
        <f>$AH$34</f>
        <v>0</v>
      </c>
      <c r="BO50" s="32">
        <f>AH45</f>
        <v>0</v>
      </c>
    </row>
    <row r="51" spans="1:67" ht="15" thickBot="1" x14ac:dyDescent="0.35">
      <c r="A51" s="18" t="s">
        <v>56</v>
      </c>
      <c r="B51" s="9"/>
      <c r="C51" s="28" t="s">
        <v>43</v>
      </c>
      <c r="D51" s="34">
        <f>SUM(D42,D45:D50)</f>
        <v>9.1352999999999991</v>
      </c>
      <c r="I51" s="93"/>
      <c r="J51" s="93"/>
      <c r="K51" s="93"/>
      <c r="L51" s="93"/>
      <c r="M51" s="93"/>
      <c r="N51" s="93"/>
      <c r="O51" s="135"/>
      <c r="P51" s="93"/>
      <c r="Q51" s="47"/>
      <c r="Z51" s="53"/>
      <c r="AA51" s="53"/>
      <c r="AB51" s="53"/>
      <c r="AC51" s="53"/>
      <c r="AD51" s="53"/>
      <c r="AF51" s="145" t="str">
        <f t="shared" si="21"/>
        <v/>
      </c>
      <c r="BJ51">
        <f t="shared" si="14"/>
        <v>110</v>
      </c>
      <c r="BK51" t="str">
        <f t="shared" si="15"/>
        <v xml:space="preserve">LittlePigs_up_to_31_1_conv </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110</v>
      </c>
      <c r="BK52" t="str">
        <f t="shared" si="15"/>
        <v xml:space="preserve">LittlePigs_up_to_31_1_conv </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110</v>
      </c>
      <c r="BK53" t="str">
        <f t="shared" si="15"/>
        <v xml:space="preserve">LittlePigs_up_to_31_1_conv </v>
      </c>
      <c r="BL53" t="s">
        <v>127</v>
      </c>
      <c r="BM53">
        <f t="shared" ref="BM53:BM58" si="23">$B$46</f>
        <v>0</v>
      </c>
      <c r="BN53" t="str">
        <f>C46</f>
        <v>Kg</v>
      </c>
      <c r="BO53" s="64">
        <f>P46</f>
        <v>0</v>
      </c>
    </row>
    <row r="54" spans="1:67" x14ac:dyDescent="0.3">
      <c r="A54" s="18" t="s">
        <v>220</v>
      </c>
      <c r="B54" s="50" t="s">
        <v>415</v>
      </c>
      <c r="C54" s="50" t="s">
        <v>43</v>
      </c>
      <c r="D54" s="138"/>
      <c r="E54" s="53"/>
      <c r="F54" s="138"/>
      <c r="G54" s="53"/>
      <c r="H54" s="138"/>
      <c r="I54" s="138"/>
      <c r="AF54" s="32"/>
      <c r="BJ54">
        <f t="shared" si="14"/>
        <v>110</v>
      </c>
      <c r="BK54" t="str">
        <f t="shared" si="15"/>
        <v xml:space="preserve">LittlePigs_up_to_31_1_conv </v>
      </c>
      <c r="BL54" t="s">
        <v>127</v>
      </c>
      <c r="BM54">
        <f t="shared" si="23"/>
        <v>0</v>
      </c>
      <c r="BN54" t="str">
        <f>$AF$34</f>
        <v/>
      </c>
      <c r="BO54" s="32" t="str">
        <f>AF$46</f>
        <v/>
      </c>
    </row>
    <row r="55" spans="1:67" x14ac:dyDescent="0.3">
      <c r="A55" s="18" t="s">
        <v>254</v>
      </c>
      <c r="B55" s="50" t="s">
        <v>738</v>
      </c>
      <c r="C55" s="50" t="s">
        <v>43</v>
      </c>
      <c r="D55" s="138"/>
      <c r="E55" s="53"/>
      <c r="F55" s="138"/>
      <c r="G55" s="53"/>
      <c r="H55" s="138"/>
      <c r="I55" s="138"/>
      <c r="BJ55">
        <f t="shared" si="14"/>
        <v>110</v>
      </c>
      <c r="BK55" t="str">
        <f t="shared" si="15"/>
        <v xml:space="preserve">LittlePigs_up_to_31_1_conv </v>
      </c>
      <c r="BL55" t="s">
        <v>127</v>
      </c>
      <c r="BM55">
        <f t="shared" si="23"/>
        <v>0</v>
      </c>
      <c r="BN55">
        <f>$AG$34</f>
        <v>0</v>
      </c>
      <c r="BO55" s="32">
        <f>AG$46</f>
        <v>0</v>
      </c>
    </row>
    <row r="56" spans="1:67" x14ac:dyDescent="0.3">
      <c r="A56" s="18" t="s">
        <v>35</v>
      </c>
      <c r="B56" s="50"/>
      <c r="C56" s="50"/>
      <c r="D56" s="138"/>
      <c r="E56" s="53"/>
      <c r="F56" s="138"/>
      <c r="G56" s="53"/>
      <c r="H56" s="138"/>
      <c r="I56" s="138"/>
      <c r="BJ56">
        <f t="shared" si="14"/>
        <v>110</v>
      </c>
      <c r="BK56" t="str">
        <f t="shared" si="15"/>
        <v xml:space="preserve">LittlePigs_up_to_31_1_conv </v>
      </c>
      <c r="BL56" t="s">
        <v>127</v>
      </c>
      <c r="BM56">
        <f t="shared" si="23"/>
        <v>0</v>
      </c>
      <c r="BN56" s="32">
        <f>$AH$34</f>
        <v>0</v>
      </c>
      <c r="BO56" s="32">
        <f>AH$46</f>
        <v>0</v>
      </c>
    </row>
    <row r="57" spans="1:67" x14ac:dyDescent="0.3">
      <c r="A57" s="18" t="s">
        <v>36</v>
      </c>
      <c r="B57" s="50"/>
      <c r="C57" s="50"/>
      <c r="D57" s="138"/>
      <c r="E57" s="53"/>
      <c r="F57" s="138"/>
      <c r="G57" s="53"/>
      <c r="H57" s="138"/>
      <c r="I57" s="138"/>
      <c r="BJ57">
        <f t="shared" si="14"/>
        <v>110</v>
      </c>
      <c r="BK57" t="str">
        <f t="shared" si="15"/>
        <v xml:space="preserve">LittlePigs_up_to_31_1_conv </v>
      </c>
      <c r="BL57" t="s">
        <v>127</v>
      </c>
      <c r="BM57">
        <f t="shared" si="23"/>
        <v>0</v>
      </c>
      <c r="BN57">
        <f>$AI$34</f>
        <v>0</v>
      </c>
      <c r="BO57" s="32">
        <f>AI$46</f>
        <v>0</v>
      </c>
    </row>
    <row r="58" spans="1:67" x14ac:dyDescent="0.3">
      <c r="A58" s="18" t="s">
        <v>37</v>
      </c>
      <c r="B58" s="50"/>
      <c r="C58" s="50"/>
      <c r="D58" s="138"/>
      <c r="E58" s="53"/>
      <c r="F58" s="138"/>
      <c r="G58" s="53"/>
      <c r="H58" s="138"/>
      <c r="I58" s="138"/>
      <c r="BJ58">
        <f t="shared" si="14"/>
        <v>110</v>
      </c>
      <c r="BK58" t="str">
        <f t="shared" si="15"/>
        <v xml:space="preserve">LittlePigs_up_to_31_1_conv </v>
      </c>
      <c r="BL58" t="s">
        <v>127</v>
      </c>
      <c r="BM58">
        <f t="shared" si="23"/>
        <v>0</v>
      </c>
      <c r="BN58">
        <f>$AJ$34</f>
        <v>0</v>
      </c>
      <c r="BO58" s="32">
        <f>AJ$46</f>
        <v>0</v>
      </c>
    </row>
    <row r="59" spans="1:67" x14ac:dyDescent="0.3">
      <c r="A59" s="18" t="s">
        <v>56</v>
      </c>
      <c r="B59" s="24"/>
      <c r="D59" s="32"/>
      <c r="F59" s="32"/>
      <c r="H59" s="138"/>
      <c r="I59" s="138"/>
      <c r="BJ59">
        <f t="shared" si="14"/>
        <v>110</v>
      </c>
      <c r="BK59" t="str">
        <f t="shared" si="15"/>
        <v xml:space="preserve">LittlePigs_up_to_31_1_conv </v>
      </c>
      <c r="BL59" t="s">
        <v>127</v>
      </c>
      <c r="BM59">
        <f t="shared" ref="BL59:BM62" si="24">$B$47</f>
        <v>0</v>
      </c>
      <c r="BN59">
        <f>$AG$34</f>
        <v>0</v>
      </c>
      <c r="BO59" s="32">
        <f>AG$47</f>
        <v>0</v>
      </c>
    </row>
    <row r="60" spans="1:67" x14ac:dyDescent="0.3">
      <c r="BJ60">
        <f t="shared" si="14"/>
        <v>110</v>
      </c>
      <c r="BK60" t="str">
        <f t="shared" si="15"/>
        <v xml:space="preserve">LittlePigs_up_to_31_1_conv </v>
      </c>
      <c r="BL60" t="s">
        <v>127</v>
      </c>
      <c r="BM60">
        <f t="shared" si="24"/>
        <v>0</v>
      </c>
      <c r="BN60" s="32">
        <f>$AH$34</f>
        <v>0</v>
      </c>
      <c r="BO60" s="32">
        <f>AH$47</f>
        <v>0</v>
      </c>
    </row>
    <row r="61" spans="1:67" ht="17.399999999999999" x14ac:dyDescent="0.3">
      <c r="A61" s="31" t="s">
        <v>104</v>
      </c>
      <c r="BJ61">
        <f t="shared" si="14"/>
        <v>110</v>
      </c>
      <c r="BK61" t="str">
        <f t="shared" si="15"/>
        <v xml:space="preserve">LittlePigs_up_to_31_1_conv </v>
      </c>
      <c r="BL61" t="s">
        <v>127</v>
      </c>
      <c r="BM61">
        <f t="shared" si="24"/>
        <v>0</v>
      </c>
      <c r="BN61">
        <f>$AI$34</f>
        <v>0</v>
      </c>
      <c r="BO61" s="32">
        <f>AI$47</f>
        <v>0</v>
      </c>
    </row>
    <row r="62" spans="1:67" x14ac:dyDescent="0.3">
      <c r="A62" s="21" t="s">
        <v>280</v>
      </c>
      <c r="B62" s="10" t="s">
        <v>101</v>
      </c>
      <c r="C62" s="10" t="s">
        <v>102</v>
      </c>
      <c r="D62" s="10" t="s">
        <v>103</v>
      </c>
      <c r="BI62">
        <f t="shared" si="14"/>
        <v>110</v>
      </c>
      <c r="BJ62" t="str">
        <f t="shared" si="15"/>
        <v xml:space="preserve">LittlePigs_up_to_31_1_conv </v>
      </c>
      <c r="BK62" t="s">
        <v>127</v>
      </c>
      <c r="BL62">
        <f t="shared" si="24"/>
        <v>0</v>
      </c>
      <c r="BM62">
        <f>$AJ$34</f>
        <v>0</v>
      </c>
      <c r="BN62" s="32">
        <f>AJ$47</f>
        <v>0</v>
      </c>
    </row>
    <row r="63" spans="1:67" x14ac:dyDescent="0.3">
      <c r="A63" s="18" t="s">
        <v>86</v>
      </c>
      <c r="B63" s="19">
        <v>26.2</v>
      </c>
      <c r="C63" s="11">
        <v>1.8</v>
      </c>
      <c r="D63" s="11"/>
      <c r="E63" t="s">
        <v>383</v>
      </c>
      <c r="BI63">
        <f t="shared" ref="BI63:BJ91" si="25">$BM$32</f>
        <v>110</v>
      </c>
      <c r="BJ63" t="str">
        <f t="shared" ref="BJ63:BK91" si="26">$BM$33</f>
        <v xml:space="preserve">LittlePigs_up_to_31_1_conv </v>
      </c>
      <c r="BK63" t="s">
        <v>127</v>
      </c>
      <c r="BL63">
        <f t="shared" ref="BL63:BM68" si="27">$B$48</f>
        <v>0</v>
      </c>
      <c r="BM63" s="64" t="str">
        <f>C48</f>
        <v>Kg</v>
      </c>
      <c r="BN63" s="32">
        <f>P48</f>
        <v>0</v>
      </c>
    </row>
    <row r="64" spans="1:67" x14ac:dyDescent="0.3">
      <c r="A64" s="18" t="s">
        <v>87</v>
      </c>
      <c r="B64" s="19"/>
      <c r="C64" s="11"/>
      <c r="D64" s="11"/>
      <c r="BI64">
        <f t="shared" si="25"/>
        <v>110</v>
      </c>
      <c r="BJ64" t="str">
        <f t="shared" si="26"/>
        <v xml:space="preserve">LittlePigs_up_to_31_1_conv </v>
      </c>
      <c r="BK64" t="s">
        <v>127</v>
      </c>
      <c r="BL64">
        <f t="shared" si="27"/>
        <v>0</v>
      </c>
      <c r="BM64" t="str">
        <f>$AF$34</f>
        <v/>
      </c>
      <c r="BN64" s="32" t="str">
        <f>AF$48</f>
        <v/>
      </c>
    </row>
    <row r="65" spans="1:67" x14ac:dyDescent="0.3">
      <c r="A65" s="156" t="s">
        <v>56</v>
      </c>
      <c r="B65" s="159">
        <f>SUM(B63:B64)</f>
        <v>26.2</v>
      </c>
      <c r="C65" s="159">
        <f>SUM(C63:C64)</f>
        <v>1.8</v>
      </c>
      <c r="D65" s="159">
        <f>SUM(D63:D64)</f>
        <v>0</v>
      </c>
      <c r="BJ65">
        <f t="shared" si="25"/>
        <v>110</v>
      </c>
      <c r="BK65" t="str">
        <f t="shared" si="26"/>
        <v xml:space="preserve">LittlePigs_up_to_31_1_conv </v>
      </c>
      <c r="BL65" t="s">
        <v>127</v>
      </c>
      <c r="BM65">
        <f t="shared" si="27"/>
        <v>0</v>
      </c>
      <c r="BN65">
        <f>$AG$34</f>
        <v>0</v>
      </c>
      <c r="BO65" s="32">
        <f>AG$48</f>
        <v>0</v>
      </c>
    </row>
    <row r="66" spans="1:67" ht="17.399999999999999" x14ac:dyDescent="0.3">
      <c r="P66" s="31" t="s">
        <v>266</v>
      </c>
      <c r="Q66" s="31"/>
      <c r="BJ66">
        <f t="shared" si="25"/>
        <v>110</v>
      </c>
      <c r="BK66" t="str">
        <f t="shared" si="26"/>
        <v xml:space="preserve">LittlePigs_up_to_31_1_conv </v>
      </c>
      <c r="BL66" t="s">
        <v>127</v>
      </c>
      <c r="BM66">
        <f t="shared" si="27"/>
        <v>0</v>
      </c>
      <c r="BN66" s="32">
        <f>$AH$34</f>
        <v>0</v>
      </c>
      <c r="BO66" s="32">
        <f>AH$48</f>
        <v>0</v>
      </c>
    </row>
    <row r="67" spans="1:67" x14ac:dyDescent="0.3">
      <c r="A67" s="21" t="s">
        <v>18</v>
      </c>
      <c r="B67" s="37" t="s">
        <v>69</v>
      </c>
      <c r="C67" s="17" t="s">
        <v>70</v>
      </c>
      <c r="D67" s="17" t="s">
        <v>74</v>
      </c>
      <c r="E67" s="17" t="s">
        <v>80</v>
      </c>
      <c r="F67" s="17" t="s">
        <v>227</v>
      </c>
      <c r="G67" s="174" t="s">
        <v>684</v>
      </c>
      <c r="I67" s="42"/>
      <c r="K67" s="17" t="s">
        <v>82</v>
      </c>
      <c r="L67" s="17" t="s">
        <v>17</v>
      </c>
      <c r="P67" s="17" t="str">
        <f>Other_tables!L4</f>
        <v>Transportmiddel</v>
      </c>
      <c r="Q67" s="54"/>
      <c r="R67" s="17" t="s">
        <v>119</v>
      </c>
      <c r="S67" s="17" t="s">
        <v>83</v>
      </c>
      <c r="T67" s="17" t="s">
        <v>97</v>
      </c>
      <c r="BJ67">
        <f t="shared" si="25"/>
        <v>110</v>
      </c>
      <c r="BK67" t="str">
        <f t="shared" si="26"/>
        <v xml:space="preserve">LittlePigs_up_to_31_1_conv </v>
      </c>
      <c r="BL67" t="s">
        <v>127</v>
      </c>
      <c r="BM67">
        <f t="shared" si="27"/>
        <v>0</v>
      </c>
      <c r="BN67">
        <f>$AI$34</f>
        <v>0</v>
      </c>
      <c r="BO67" s="32">
        <f>AI$48</f>
        <v>0</v>
      </c>
    </row>
    <row r="68" spans="1:67" x14ac:dyDescent="0.3">
      <c r="A68" s="18" t="s">
        <v>44</v>
      </c>
      <c r="B68" s="38" t="s">
        <v>284</v>
      </c>
      <c r="C68" s="19">
        <v>168</v>
      </c>
      <c r="D68" s="11" t="s">
        <v>225</v>
      </c>
      <c r="E68" s="11" t="s">
        <v>81</v>
      </c>
      <c r="F68" s="5">
        <v>100</v>
      </c>
      <c r="G68" t="s">
        <v>681</v>
      </c>
      <c r="K68" s="49">
        <f t="shared" ref="K68:K72" si="28">IF(B68="",0,((((VLOOKUP(B68,$B$12:$D$18,3,FALSE))/1000)*C68)/(VLOOKUP(B68,$B$12:$R$18,17,FALSE)/1000))*(F68/100))</f>
        <v>3.7635833755578227</v>
      </c>
      <c r="L68" s="49">
        <f>IF(E68="Diesel",VLOOKUP(D68,Other_tables!$L$5:$O$13,2,FALSE)*K68,0)</f>
        <v>0</v>
      </c>
      <c r="P68" s="30" t="str">
        <f>Other_tables!L5</f>
        <v>Traktor</v>
      </c>
      <c r="Q68" s="44"/>
      <c r="R68" s="159">
        <f t="shared" ref="R68:R76" si="29">SUMPRODUCT(($D$68:$D$81=P68)*$L$68:$L$81)</f>
        <v>5.4085125819757131E-3</v>
      </c>
      <c r="S68" s="49">
        <f t="shared" ref="S68:S76" si="30">IF(P68="","0",SUMPRODUCT(($D$68:$D$81=P68)*$K$68:$K$81))</f>
        <v>2.7042562909878564E-2</v>
      </c>
      <c r="T68" s="49">
        <f>IF(R68&gt;0,0,(S68*VLOOKUP(P68,Other_tables!$L$5:$O$13,2,FALSE))/1000)</f>
        <v>0</v>
      </c>
      <c r="U68" s="95"/>
      <c r="BJ68">
        <f t="shared" si="25"/>
        <v>110</v>
      </c>
      <c r="BK68" t="str">
        <f t="shared" si="26"/>
        <v xml:space="preserve">LittlePigs_up_to_31_1_conv </v>
      </c>
      <c r="BL68" t="s">
        <v>127</v>
      </c>
      <c r="BM68">
        <f t="shared" si="27"/>
        <v>0</v>
      </c>
      <c r="BN68">
        <f>$AJ$34</f>
        <v>0</v>
      </c>
      <c r="BO68" s="32">
        <f>AJ$48</f>
        <v>0</v>
      </c>
    </row>
    <row r="69" spans="1:67" x14ac:dyDescent="0.3">
      <c r="A69" s="18" t="s">
        <v>45</v>
      </c>
      <c r="B69" s="38" t="s">
        <v>285</v>
      </c>
      <c r="C69" s="19">
        <v>168</v>
      </c>
      <c r="D69" s="11" t="s">
        <v>225</v>
      </c>
      <c r="E69" s="11" t="s">
        <v>81</v>
      </c>
      <c r="F69" s="5">
        <v>100</v>
      </c>
      <c r="G69" t="s">
        <v>682</v>
      </c>
      <c r="K69" s="49">
        <f t="shared" si="28"/>
        <v>0.36298172710413079</v>
      </c>
      <c r="L69" s="49">
        <f>IF(E69="Diesel",VLOOKUP(D69,Other_tables!$L$5:$O$13,2,FALSE)*K69,0)</f>
        <v>0</v>
      </c>
      <c r="P69" s="30" t="str">
        <f>Other_tables!L6</f>
        <v>Lastbil &gt; 20 T</v>
      </c>
      <c r="Q69" s="44"/>
      <c r="R69" s="159">
        <f t="shared" si="29"/>
        <v>0</v>
      </c>
      <c r="S69" s="49">
        <f t="shared" si="30"/>
        <v>4.3281651026619539</v>
      </c>
      <c r="T69" s="49">
        <f>IF(R69&gt;0,0,(S69*VLOOKUP(P69,Other_tables!$L$5:$O$13,2,FALSE))/1000)</f>
        <v>0.43281651026619539</v>
      </c>
      <c r="U69" s="95"/>
      <c r="BJ69">
        <f t="shared" si="25"/>
        <v>110</v>
      </c>
      <c r="BK69" t="str">
        <f t="shared" si="26"/>
        <v xml:space="preserve">LittlePigs_up_to_31_1_conv </v>
      </c>
      <c r="BL69" t="s">
        <v>127</v>
      </c>
      <c r="BM69">
        <f t="shared" ref="BM69:BM74" si="31">$B$49</f>
        <v>0</v>
      </c>
      <c r="BN69" s="64" t="str">
        <f>C49</f>
        <v>Kg</v>
      </c>
      <c r="BO69" s="32">
        <f>P49</f>
        <v>0</v>
      </c>
    </row>
    <row r="70" spans="1:67" x14ac:dyDescent="0.3">
      <c r="A70" s="18" t="s">
        <v>46</v>
      </c>
      <c r="B70" s="38"/>
      <c r="C70" s="19"/>
      <c r="D70" s="11"/>
      <c r="E70" s="11"/>
      <c r="F70" s="5"/>
      <c r="K70" s="49">
        <f t="shared" si="28"/>
        <v>0</v>
      </c>
      <c r="L70" s="49">
        <f>IF(E70="Diesel",VLOOKUP(D70,Other_tables!$L$5:$O$13,2,FALSE)*K70,0)</f>
        <v>0</v>
      </c>
      <c r="P70" s="30" t="str">
        <f>Other_tables!L7</f>
        <v>Lastbil 10-20 T</v>
      </c>
      <c r="Q70" s="44"/>
      <c r="R70" s="159">
        <f t="shared" si="29"/>
        <v>0</v>
      </c>
      <c r="S70" s="49">
        <f t="shared" si="30"/>
        <v>0.71933217340276989</v>
      </c>
      <c r="T70" s="49">
        <f>IF(R70&gt;0,0,(S70*VLOOKUP(P70,Other_tables!$L$5:$O$13,2,FALSE))/1000)</f>
        <v>0.18271037204430354</v>
      </c>
      <c r="BJ70">
        <f t="shared" si="25"/>
        <v>110</v>
      </c>
      <c r="BK70" t="str">
        <f t="shared" si="26"/>
        <v xml:space="preserve">LittlePigs_up_to_31_1_conv </v>
      </c>
      <c r="BL70" t="s">
        <v>127</v>
      </c>
      <c r="BM70">
        <f t="shared" si="31"/>
        <v>0</v>
      </c>
      <c r="BN70" t="str">
        <f>$AF$34</f>
        <v/>
      </c>
      <c r="BO70" s="32" t="str">
        <f>AF$49</f>
        <v/>
      </c>
    </row>
    <row r="71" spans="1:67" x14ac:dyDescent="0.3">
      <c r="A71" s="18" t="s">
        <v>47</v>
      </c>
      <c r="B71" s="38" t="s">
        <v>408</v>
      </c>
      <c r="C71" s="19">
        <v>133</v>
      </c>
      <c r="D71" s="11" t="s">
        <v>226</v>
      </c>
      <c r="E71" s="11" t="s">
        <v>81</v>
      </c>
      <c r="F71" s="5">
        <v>50</v>
      </c>
      <c r="G71" t="s">
        <v>685</v>
      </c>
      <c r="K71" s="49">
        <f t="shared" si="28"/>
        <v>0.71933217340276989</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110</v>
      </c>
      <c r="BK71" t="str">
        <f t="shared" si="26"/>
        <v xml:space="preserve">LittlePigs_up_to_31_1_conv </v>
      </c>
      <c r="BL71" t="s">
        <v>127</v>
      </c>
      <c r="BM71">
        <f t="shared" si="31"/>
        <v>0</v>
      </c>
      <c r="BN71">
        <f>$AG$34</f>
        <v>0</v>
      </c>
      <c r="BO71" s="32">
        <f>AG$49</f>
        <v>0</v>
      </c>
    </row>
    <row r="72" spans="1:67" x14ac:dyDescent="0.3">
      <c r="A72" s="18" t="s">
        <v>67</v>
      </c>
      <c r="B72" s="38" t="s">
        <v>408</v>
      </c>
      <c r="C72" s="19">
        <v>5</v>
      </c>
      <c r="D72" s="11" t="s">
        <v>229</v>
      </c>
      <c r="E72" s="11" t="s">
        <v>17</v>
      </c>
      <c r="F72" s="5">
        <v>50</v>
      </c>
      <c r="K72" s="49">
        <f t="shared" si="28"/>
        <v>2.7042562909878564E-2</v>
      </c>
      <c r="L72" s="49">
        <f>IF(E72="Diesel",VLOOKUP(D72,Other_tables!$L$5:$O$13,2,FALSE)*K72,0)</f>
        <v>5.4085125819757131E-3</v>
      </c>
      <c r="P72" s="30" t="str">
        <f>Other_tables!L9</f>
        <v>Fragttog Europa</v>
      </c>
      <c r="Q72" s="44"/>
      <c r="R72" s="159">
        <f t="shared" si="29"/>
        <v>0</v>
      </c>
      <c r="S72" s="49">
        <f t="shared" si="30"/>
        <v>0</v>
      </c>
      <c r="T72" s="49">
        <f>IF(R72&gt;0,0,(S72*VLOOKUP(P72,Other_tables!$L$5:$O$13,2,FALSE))/1000)</f>
        <v>0</v>
      </c>
      <c r="BJ72">
        <f t="shared" si="25"/>
        <v>110</v>
      </c>
      <c r="BK72" t="str">
        <f t="shared" si="26"/>
        <v xml:space="preserve">LittlePigs_up_to_31_1_conv </v>
      </c>
      <c r="BL72" t="s">
        <v>127</v>
      </c>
      <c r="BM72">
        <f t="shared" si="31"/>
        <v>0</v>
      </c>
      <c r="BN72" s="32">
        <f>$AH$34</f>
        <v>0</v>
      </c>
      <c r="BO72" s="32">
        <f>AH$49</f>
        <v>0</v>
      </c>
    </row>
    <row r="73" spans="1:67" x14ac:dyDescent="0.3">
      <c r="A73" s="18" t="s">
        <v>68</v>
      </c>
      <c r="B73" s="38" t="s">
        <v>382</v>
      </c>
      <c r="C73" s="19">
        <v>168</v>
      </c>
      <c r="D73" s="11" t="s">
        <v>225</v>
      </c>
      <c r="E73" s="11" t="s">
        <v>81</v>
      </c>
      <c r="F73" s="5">
        <v>100</v>
      </c>
      <c r="G73" t="s">
        <v>634</v>
      </c>
      <c r="K73" s="49">
        <f>IF(B73="",0,((((VLOOKUP(B73,$B$12:$D$18,3,FALSE))/1000)*C73)/(VLOOKUP(B73,$B$12:$R$18,17,FALSE)/1000))*(F73/100))</f>
        <v>0.20159999999999997</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110</v>
      </c>
      <c r="BK73" t="str">
        <f t="shared" si="26"/>
        <v xml:space="preserve">LittlePigs_up_to_31_1_conv </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110</v>
      </c>
      <c r="BK74" t="str">
        <f t="shared" si="26"/>
        <v xml:space="preserve">LittlePigs_up_to_31_1_conv </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110</v>
      </c>
      <c r="BK75" t="str">
        <f t="shared" si="26"/>
        <v xml:space="preserve">LittlePigs_up_to_31_1_conv </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110</v>
      </c>
      <c r="BK76" t="str">
        <f t="shared" si="26"/>
        <v xml:space="preserve">LittlePigs_up_to_31_1_conv </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5.4085125819757131E-3</v>
      </c>
      <c r="S77" s="57"/>
      <c r="T77" s="58">
        <f>SUM(T68:T76)</f>
        <v>0.6155268823104989</v>
      </c>
      <c r="BJ77">
        <f t="shared" si="25"/>
        <v>110</v>
      </c>
      <c r="BK77" t="str">
        <f t="shared" si="26"/>
        <v xml:space="preserve">LittlePigs_up_to_31_1_conv </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110</v>
      </c>
      <c r="BK78" t="str">
        <f t="shared" si="26"/>
        <v xml:space="preserve">LittlePigs_up_to_31_1_conv </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110</v>
      </c>
      <c r="BK79" t="str">
        <f t="shared" si="26"/>
        <v xml:space="preserve">LittlePigs_up_to_31_1_conv </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110</v>
      </c>
      <c r="BK80" t="str">
        <f t="shared" si="26"/>
        <v xml:space="preserve">LittlePigs_up_to_31_1_conv </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110</v>
      </c>
      <c r="BK81" t="str">
        <f t="shared" si="26"/>
        <v xml:space="preserve">LittlePigs_up_to_31_1_conv </v>
      </c>
      <c r="BL81" t="s">
        <v>118</v>
      </c>
      <c r="BM81" t="s">
        <v>118</v>
      </c>
      <c r="BN81">
        <f>I53</f>
        <v>0</v>
      </c>
      <c r="BO81" s="47">
        <f>I59</f>
        <v>0</v>
      </c>
    </row>
    <row r="82" spans="1:67" ht="17.399999999999999" x14ac:dyDescent="0.3">
      <c r="A82" s="25"/>
      <c r="B82" s="25"/>
      <c r="C82" s="24"/>
      <c r="D82" s="24"/>
      <c r="P82" s="31" t="s">
        <v>95</v>
      </c>
      <c r="Q82" s="55"/>
      <c r="BJ82">
        <f t="shared" si="25"/>
        <v>110</v>
      </c>
      <c r="BK82" t="str">
        <f t="shared" si="26"/>
        <v xml:space="preserve">LittlePigs_up_to_31_1_conv </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110</v>
      </c>
      <c r="BK83" t="str">
        <f t="shared" si="26"/>
        <v xml:space="preserve">LittlePigs_up_to_31_1_conv </v>
      </c>
      <c r="BL83" t="str">
        <f>$A$67</f>
        <v>Transport</v>
      </c>
      <c r="BM83" t="str">
        <f>BL83</f>
        <v>Transport</v>
      </c>
      <c r="BN83" t="str">
        <f>R67</f>
        <v>Diesel (L)</v>
      </c>
      <c r="BO83" s="47">
        <f>R77</f>
        <v>5.4085125819757131E-3</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0.1976296296296296</v>
      </c>
      <c r="S84" s="49">
        <f>IF(E84="",0,VLOOKUP(P84,$B$12:$D$18,3,FALSE)*E84)</f>
        <v>2.6123456790123453E-2</v>
      </c>
      <c r="BJ84">
        <f t="shared" si="25"/>
        <v>110</v>
      </c>
      <c r="BK84" t="str">
        <f t="shared" si="26"/>
        <v xml:space="preserve">LittlePigs_up_to_31_1_conv </v>
      </c>
      <c r="BL84" t="str">
        <f>$A$67</f>
        <v>Transport</v>
      </c>
      <c r="BM84" t="str">
        <f>BL84</f>
        <v>Transport</v>
      </c>
      <c r="BN84" t="str">
        <f>T67</f>
        <v>kg CO₂eq for T/km</v>
      </c>
      <c r="BO84" s="47">
        <f>T77</f>
        <v>0.6155268823104989</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110</v>
      </c>
      <c r="BK85" t="str">
        <f t="shared" si="26"/>
        <v xml:space="preserve">LittlePigs_up_to_31_1_conv </v>
      </c>
      <c r="BL85" t="s">
        <v>120</v>
      </c>
      <c r="BM85" t="s">
        <v>120</v>
      </c>
      <c r="BN85" t="str">
        <f>R83</f>
        <v>EL (KWh)</v>
      </c>
      <c r="BO85" s="47">
        <f>R93</f>
        <v>0.1976296296296296</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110</v>
      </c>
      <c r="BK86" t="str">
        <f t="shared" si="26"/>
        <v xml:space="preserve">LittlePigs_up_to_31_1_conv </v>
      </c>
      <c r="BL86" t="s">
        <v>120</v>
      </c>
      <c r="BM86" t="s">
        <v>120</v>
      </c>
      <c r="BN86" t="str">
        <f>S83</f>
        <v>Diesel (L)</v>
      </c>
      <c r="BO86" s="47">
        <f>S93</f>
        <v>2.6123456790123453E-2</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110</v>
      </c>
      <c r="BK87" t="str">
        <f t="shared" si="26"/>
        <v xml:space="preserve">LittlePigs_up_to_31_1_conv </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110</v>
      </c>
      <c r="BK88" t="str">
        <f t="shared" si="26"/>
        <v xml:space="preserve">LittlePigs_up_to_31_1_conv </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110</v>
      </c>
      <c r="BK89" t="str">
        <f t="shared" si="26"/>
        <v xml:space="preserve">LittlePigs_up_to_31_1_conv </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110</v>
      </c>
      <c r="BK90" t="str">
        <f t="shared" si="26"/>
        <v xml:space="preserve">LittlePigs_up_to_31_1_conv </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110</v>
      </c>
      <c r="BK91" t="str">
        <f t="shared" si="26"/>
        <v xml:space="preserve">LittlePigs_up_to_31_1_conv </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0.1976296296296296</v>
      </c>
      <c r="S93" s="58">
        <f>SUM(S84:S92)</f>
        <v>2.6123456790123453E-2</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475</v>
      </c>
      <c r="B122" s="158"/>
      <c r="C122" s="248">
        <v>81.550710566475814</v>
      </c>
      <c r="D122" s="6" t="s">
        <v>409</v>
      </c>
      <c r="E122" s="165">
        <v>0.85</v>
      </c>
      <c r="F122" s="164">
        <f>VLOOKUP(A122,'Stable systems'!$A$4:$AK$105,35,FALSE)</f>
        <v>0</v>
      </c>
      <c r="G122" s="164">
        <f>VLOOKUP(A122,'Stable systems'!$A$4:$AK$105,36,FALSE)</f>
        <v>0</v>
      </c>
      <c r="H122" s="164">
        <f>VLOOKUP(A122,'Stable systems'!$A$4:$AK$105,37,FALSE)</f>
        <v>0.85</v>
      </c>
      <c r="M122" s="173">
        <f>(C122/100)*E122</f>
        <v>0.69318103981504442</v>
      </c>
    </row>
    <row r="123" spans="1:13" x14ac:dyDescent="0.3">
      <c r="A123" s="158" t="s">
        <v>476</v>
      </c>
      <c r="B123" s="158"/>
      <c r="C123" s="248">
        <v>17.33243863889825</v>
      </c>
      <c r="D123" s="6"/>
      <c r="E123" s="165">
        <v>0</v>
      </c>
      <c r="F123" s="164">
        <f>VLOOKUP(A123,'Stable systems'!$A$4:$AK$105,35,FALSE)</f>
        <v>0</v>
      </c>
      <c r="G123" s="164">
        <f>VLOOKUP(A123,'Stable systems'!$A$4:$AK$105,36,FALSE)</f>
        <v>0</v>
      </c>
      <c r="H123" s="164">
        <f>VLOOKUP(A123,'Stable systems'!$A$4:$AK$105,37,FALSE)</f>
        <v>0</v>
      </c>
      <c r="M123" s="173">
        <f t="shared" ref="M123:M131" si="41">(C123/100)*E123</f>
        <v>0</v>
      </c>
    </row>
    <row r="124" spans="1:13" x14ac:dyDescent="0.3">
      <c r="A124" s="158" t="s">
        <v>477</v>
      </c>
      <c r="B124" s="158"/>
      <c r="C124" s="248">
        <v>1.116850794625935</v>
      </c>
      <c r="D124" s="6" t="s">
        <v>409</v>
      </c>
      <c r="E124" s="165">
        <v>11.049999999999999</v>
      </c>
      <c r="F124" s="164">
        <f>VLOOKUP(A124,'Stable systems'!$A$4:$AK$105,35,FALSE)</f>
        <v>0</v>
      </c>
      <c r="G124" s="164">
        <f>VLOOKUP(A124,'Stable systems'!$A$4:$AK$105,36,FALSE)</f>
        <v>0</v>
      </c>
      <c r="H124" s="164">
        <f>VLOOKUP(A124,'Stable systems'!$A$4:$AK$105,37,FALSE)</f>
        <v>11.05</v>
      </c>
      <c r="M124" s="173">
        <f t="shared" si="41"/>
        <v>0.1234120128061658</v>
      </c>
    </row>
    <row r="125" spans="1:13" x14ac:dyDescent="0.3">
      <c r="A125" s="158"/>
      <c r="B125" s="158"/>
      <c r="C125" s="19"/>
      <c r="D125" s="6"/>
      <c r="E125" s="165"/>
      <c r="F125" s="164" t="e">
        <f>VLOOKUP(A125,'Stable systems'!$A$4:$AK$105,35,FALSE)</f>
        <v>#N/A</v>
      </c>
      <c r="G125" s="164" t="e">
        <f>VLOOKUP(A125,'Stable systems'!$A$4:$AK$105,36,FALSE)</f>
        <v>#N/A</v>
      </c>
      <c r="H125" s="164" t="e">
        <f>VLOOKUP(A125,'Stable systems'!$A$4:$AK$105,37,FALSE)</f>
        <v>#N/A</v>
      </c>
      <c r="M125" s="173">
        <f t="shared" si="41"/>
        <v>0</v>
      </c>
    </row>
    <row r="126" spans="1:13" x14ac:dyDescent="0.3">
      <c r="A126" s="158"/>
      <c r="B126" s="158"/>
      <c r="C126" s="19"/>
      <c r="D126" s="6"/>
      <c r="E126" s="165"/>
      <c r="F126" s="164" t="e">
        <f>VLOOKUP(A126,'Stable systems'!$A$4:$AK$105,35,FALSE)</f>
        <v>#N/A</v>
      </c>
      <c r="G126" s="164" t="e">
        <f>VLOOKUP(A126,'Stable systems'!$A$4:$AK$105,36,FALSE)</f>
        <v>#N/A</v>
      </c>
      <c r="H126" s="164" t="e">
        <f>VLOOKUP(A126,'Stable systems'!$A$4:$AK$105,37,FALSE)</f>
        <v>#N/A</v>
      </c>
      <c r="M126" s="173">
        <f t="shared" si="41"/>
        <v>0</v>
      </c>
    </row>
    <row r="127" spans="1:13" x14ac:dyDescent="0.3">
      <c r="A127" s="158"/>
      <c r="B127" s="158"/>
      <c r="C127" s="19"/>
      <c r="D127" s="6"/>
      <c r="E127" s="165"/>
      <c r="F127" s="164" t="e">
        <f>VLOOKUP(A127,'Stable systems'!$A$4:$AK$105,35,FALSE)</f>
        <v>#N/A</v>
      </c>
      <c r="G127" s="164" t="e">
        <f>VLOOKUP(A127,'Stable systems'!$A$4:$AK$105,36,FALSE)</f>
        <v>#N/A</v>
      </c>
      <c r="H127" s="164" t="e">
        <f>VLOOKUP(A127,'Stable systems'!$A$4:$AK$105,37,FALSE)</f>
        <v>#N/A</v>
      </c>
      <c r="M127" s="173">
        <f t="shared" si="41"/>
        <v>0</v>
      </c>
    </row>
    <row r="128" spans="1:13" x14ac:dyDescent="0.3">
      <c r="A128" s="158"/>
      <c r="B128" s="158"/>
      <c r="C128" s="19"/>
      <c r="D128" s="6"/>
      <c r="E128" s="165"/>
      <c r="F128" s="164" t="e">
        <f>VLOOKUP(A128,'Stable systems'!$A$4:$AK$105,35,FALSE)</f>
        <v>#N/A</v>
      </c>
      <c r="G128" s="164" t="e">
        <f>VLOOKUP(A128,'Stable systems'!$A$4:$AK$105,36,FALSE)</f>
        <v>#N/A</v>
      </c>
      <c r="H128" s="164" t="e">
        <f>VLOOKUP(A128,'Stable systems'!$A$4:$AK$105,37,FALSE)</f>
        <v>#N/A</v>
      </c>
      <c r="M128" s="173">
        <f t="shared" si="41"/>
        <v>0</v>
      </c>
    </row>
    <row r="129" spans="1:16" x14ac:dyDescent="0.3">
      <c r="A129" s="158"/>
      <c r="B129" s="158"/>
      <c r="C129" s="19"/>
      <c r="D129" s="6"/>
      <c r="E129" s="165"/>
      <c r="F129" s="164" t="e">
        <f>VLOOKUP(A129,'Stable systems'!$A$4:$AK$105,35,FALSE)</f>
        <v>#N/A</v>
      </c>
      <c r="G129" s="164" t="e">
        <f>VLOOKUP(A129,'Stable systems'!$A$4:$AK$105,36,FALSE)</f>
        <v>#N/A</v>
      </c>
      <c r="H129" s="164" t="e">
        <f>VLOOKUP(A129,'Stable systems'!$A$4:$AK$105,37,FALSE)</f>
        <v>#N/A</v>
      </c>
      <c r="M129" s="173">
        <f t="shared" si="41"/>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v>
      </c>
      <c r="E137" s="154"/>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0.81659305262121018</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4.8031823140261432E-3</v>
      </c>
      <c r="L146" s="49">
        <f>IF(E146="Diesel",VLOOKUP(D146,Other_tables!$L$5:$O$13,2,FALSE)*K146,0)</f>
        <v>9.6063646280522867E-4</v>
      </c>
      <c r="P146" s="30" t="str">
        <f>Other_tables!L5</f>
        <v>Traktor</v>
      </c>
      <c r="Q146" s="44"/>
      <c r="R146" s="103">
        <f t="shared" ref="R146:R154" si="44">SUMPRODUCT(($D$146:$D$149=P146)*$L$146:$L$149)</f>
        <v>9.6063646280522867E-4</v>
      </c>
      <c r="S146" s="114">
        <f t="shared" ref="S146:S154" si="45">IF(P146="","0",SUMPRODUCT(($D$146:$D$149=P146)*$K$146:$K$149))</f>
        <v>4.8031823140261432E-3</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9.6063646280522867E-4</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4.8368045902243259E-4</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1.9347218360897304E-3</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4.8368045902243259E-4</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2.9020827541345958E-3</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6.3691490447809421E-3</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0.43281651026619539</v>
      </c>
    </row>
    <row r="173" spans="1:20" x14ac:dyDescent="0.3">
      <c r="A173" s="25"/>
      <c r="B173" s="138"/>
      <c r="C173" s="138"/>
      <c r="P173" s="30" t="s">
        <v>226</v>
      </c>
      <c r="Q173" s="44"/>
      <c r="R173" s="103">
        <f t="shared" si="46"/>
        <v>0</v>
      </c>
      <c r="S173" s="179"/>
      <c r="T173" s="103">
        <f t="shared" si="47"/>
        <v>0.18271037204430354</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6:20" x14ac:dyDescent="0.3">
      <c r="F177" s="183" t="s">
        <v>279</v>
      </c>
      <c r="G177" s="81">
        <f>B65+R106+C156</f>
        <v>26.2</v>
      </c>
      <c r="H177" s="81">
        <f>AC31+C65+R93+S106+D118+D156+D168</f>
        <v>1.9976296296296296</v>
      </c>
      <c r="I177" s="81">
        <f>AB31+R77+D65+S93+T106+E118+R155+E156+E168</f>
        <v>3.5394688589038985E-2</v>
      </c>
      <c r="J177" s="114">
        <f>AD31+T77+T155</f>
        <v>0.6155268823104989</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6.3691490447809421E-3</v>
      </c>
      <c r="S180" s="47"/>
      <c r="T180" s="178">
        <f>SUM(T171:T179)</f>
        <v>0.6155268823104989</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09:B117 B84:B92 B68:B81" xr:uid="{00000000-0002-0000-0000-000000000000}">
      <formula1>$AF$3:$AF$51</formula1>
    </dataValidation>
    <dataValidation type="list" allowBlank="1" showInputMessage="1" showErrorMessage="1" sqref="B97:B105 B82 B144:B145" xr:uid="{00000000-0002-0000-0000-000001000000}">
      <formula1>$B$24:$B$30</formula1>
    </dataValidation>
    <dataValidation type="list" allowBlank="1" showInputMessage="1" showErrorMessage="1" sqref="B146:B149 B152:B155 B159:B167" xr:uid="{00000000-0002-0000-0000-000002000000}">
      <formula1>$B$140:$B$143</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3000000}">
          <x14:formula1>
            <xm:f>'Processed products'!$AJ$5:$AJ$104</xm:f>
          </x14:formula1>
          <xm:sqref>A136</xm:sqref>
        </x14:dataValidation>
        <x14:dataValidation type="list" allowBlank="1" showInputMessage="1" showErrorMessage="1" xr:uid="{00000000-0002-0000-0000-000004000000}">
          <x14:formula1>
            <xm:f>'Imported products'!$B$5:$B$54</xm:f>
          </x14:formula1>
          <xm:sqref>F12:F18 B17:B18 G24:G30</xm:sqref>
        </x14:dataValidation>
        <x14:dataValidation type="list" allowBlank="1" showInputMessage="1" showErrorMessage="1" xr:uid="{00000000-0002-0000-0000-000005000000}">
          <x14:formula1>
            <xm:f>Converted_feedstuff!$C$5:$C$54</xm:f>
          </x14:formula1>
          <xm:sqref>B24:B30 E24:E30</xm:sqref>
        </x14:dataValidation>
        <x14:dataValidation type="list" allowBlank="1" showInputMessage="1" showErrorMessage="1" xr:uid="{00000000-0002-0000-0000-000006000000}">
          <x14:formula1>
            <xm:f>Other_tables!$G$5:$G$12</xm:f>
          </x14:formula1>
          <xm:sqref>C54:C58 C172:C174</xm:sqref>
        </x14:dataValidation>
        <x14:dataValidation type="list" allowBlank="1" showInputMessage="1" showErrorMessage="1" xr:uid="{00000000-0002-0000-0000-000007000000}">
          <x14:formula1>
            <xm:f>'Diesel consumption for field op'!$B$4:$B$78</xm:f>
          </x14:formula1>
          <xm:sqref>C109:C117 C159:C167</xm:sqref>
        </x14:dataValidation>
        <x14:dataValidation type="list" allowBlank="1" showInputMessage="1" showErrorMessage="1" xr:uid="{00000000-0002-0000-0000-000008000000}">
          <x14:formula1>
            <xm:f>Other_tables!$S$5:$S$22</xm:f>
          </x14:formula1>
          <xm:sqref>C84:C92</xm:sqref>
        </x14:dataValidation>
        <x14:dataValidation type="list" allowBlank="1" showInputMessage="1" showErrorMessage="1" xr:uid="{00000000-0002-0000-0000-000009000000}">
          <x14:formula1>
            <xm:f>'Processed products'!$B$5:$B$104</xm:f>
          </x14:formula1>
          <xm:sqref>B35:B42 L35:M37</xm:sqref>
        </x14:dataValidation>
        <x14:dataValidation type="list" allowBlank="1" showInputMessage="1" showErrorMessage="1" xr:uid="{00000000-0002-0000-0000-00000A000000}">
          <x14:formula1>
            <xm:f>Other_tables!$A$5:$A$50</xm:f>
          </x14:formula1>
          <xm:sqref>C19 C33</xm:sqref>
        </x14:dataValidation>
        <x14:dataValidation type="list" allowBlank="1" showInputMessage="1" showErrorMessage="1" xr:uid="{00000000-0002-0000-0000-00000B000000}">
          <x14:formula1>
            <xm:f>Biomass_pool_output_Tech1_modul!$A$3:$A$100</xm:f>
          </x14:formula1>
          <xm:sqref>B12:B16 B140:B143 D122:D135 E12:E18 F24:F30</xm:sqref>
        </x14:dataValidation>
        <x14:dataValidation type="list" allowBlank="1" showInputMessage="1" showErrorMessage="1" xr:uid="{00000000-0002-0000-0000-00000D000000}">
          <x14:formula1>
            <xm:f>Other_tables!$L$5:$L$13</xm:f>
          </x14:formula1>
          <xm:sqref>D146:D149 D68:D82</xm:sqref>
        </x14:dataValidation>
        <x14:dataValidation type="list" allowBlank="1" showInputMessage="1" showErrorMessage="1" xr:uid="{00000000-0002-0000-0000-00000E000000}">
          <x14:formula1>
            <xm:f>Other_tables!$Q$5:$Q$6</xm:f>
          </x14:formula1>
          <xm:sqref>E146:E149 E68:E82</xm:sqref>
        </x14:dataValidation>
        <x14:dataValidation type="list" allowBlank="1" showInputMessage="1" showErrorMessage="1" xr:uid="{00000000-0002-0000-0000-00000F000000}">
          <x14:formula1>
            <xm:f>'Respiration and enteric gas los'!$A$4:$A$35</xm:f>
          </x14:formula1>
          <xm:sqref>B54</xm:sqref>
        </x14:dataValidation>
        <x14:dataValidation type="list" allowBlank="1" showInputMessage="1" showErrorMessage="1" xr:uid="{00000000-0002-0000-0000-000010000000}">
          <x14:formula1>
            <xm:f>'Respiration and enteric gas los'!$M$4:$M$35</xm:f>
          </x14:formula1>
          <xm:sqref>B55</xm:sqref>
        </x14:dataValidation>
        <x14:dataValidation type="list" allowBlank="1" showInputMessage="1" showErrorMessage="1" xr:uid="{00000000-0002-0000-0000-000012000000}">
          <x14:formula1>
            <xm:f>'Processed products'!$C$5:$C$104</xm:f>
          </x14:formula1>
          <xm:sqref>D4</xm:sqref>
        </x14:dataValidation>
        <x14:dataValidation type="list" allowBlank="1" showInputMessage="1" showErrorMessage="1" xr:uid="{93A6F9E7-591C-44B4-BD4D-D1CD31868FAD}">
          <x14:formula1>
            <xm:f>'Processed products'!$AJ$5:$AJ$250</xm:f>
          </x14:formula1>
          <xm:sqref>B45:B49</xm:sqref>
        </x14:dataValidation>
        <x14:dataValidation type="list" allowBlank="1" showInputMessage="1" showErrorMessage="1" xr:uid="{00000000-0002-0000-0000-000011000000}">
          <x14:formula1>
            <xm:f>'Stable systems'!$A$4:$A$105</xm:f>
          </x14:formula1>
          <xm:sqref>A122:A134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tabColor theme="0" tint="-0.14999847407452621"/>
  </sheetPr>
  <dimension ref="A1:W54"/>
  <sheetViews>
    <sheetView topLeftCell="B1" workbookViewId="0">
      <selection activeCell="I38" sqref="I38"/>
    </sheetView>
  </sheetViews>
  <sheetFormatPr defaultRowHeight="14.4" x14ac:dyDescent="0.3"/>
  <cols>
    <col min="1" max="1" width="9.33203125" style="12"/>
    <col min="2" max="2" width="32.33203125" bestFit="1" customWidth="1"/>
    <col min="3" max="3" width="27" bestFit="1" customWidth="1"/>
    <col min="4" max="4" width="21.6640625" bestFit="1" customWidth="1"/>
    <col min="5" max="5" width="20.33203125" bestFit="1" customWidth="1"/>
    <col min="17" max="17" width="11.33203125" bestFit="1" customWidth="1"/>
    <col min="18" max="18" width="16.6640625" bestFit="1" customWidth="1"/>
    <col min="19" max="19" width="12" bestFit="1" customWidth="1"/>
  </cols>
  <sheetData>
    <row r="1" spans="1:23" ht="32.4" x14ac:dyDescent="0.6">
      <c r="A1" s="2" t="s">
        <v>1023</v>
      </c>
    </row>
    <row r="3" spans="1:23" ht="15.6" customHeight="1" x14ac:dyDescent="0.3">
      <c r="A3" s="292" t="s">
        <v>0</v>
      </c>
      <c r="B3" s="293"/>
      <c r="C3" s="293"/>
      <c r="D3" s="293"/>
      <c r="E3" s="293"/>
      <c r="F3" s="313" t="s">
        <v>1</v>
      </c>
      <c r="G3" s="65"/>
      <c r="H3" s="291"/>
      <c r="I3" s="324" t="s">
        <v>1093</v>
      </c>
      <c r="J3" s="291" t="s">
        <v>7</v>
      </c>
      <c r="K3" s="291"/>
      <c r="L3" s="291"/>
      <c r="M3" s="291"/>
      <c r="N3" s="291"/>
      <c r="O3" s="291"/>
      <c r="P3" s="327"/>
      <c r="Q3" s="291" t="s">
        <v>1096</v>
      </c>
      <c r="R3" s="291"/>
      <c r="S3" s="291"/>
      <c r="T3" s="291"/>
      <c r="U3" s="291"/>
      <c r="V3" s="291"/>
      <c r="W3" s="326" t="s">
        <v>1097</v>
      </c>
    </row>
    <row r="4" spans="1:23" ht="15.6" x14ac:dyDescent="0.3">
      <c r="A4" s="66" t="s">
        <v>2</v>
      </c>
      <c r="B4" s="66" t="s">
        <v>3</v>
      </c>
      <c r="C4" s="66" t="s">
        <v>4</v>
      </c>
      <c r="D4" s="66" t="s">
        <v>54</v>
      </c>
      <c r="E4" s="66" t="s">
        <v>6</v>
      </c>
      <c r="F4" s="313"/>
      <c r="G4" s="65" t="s">
        <v>799</v>
      </c>
      <c r="H4" s="291"/>
      <c r="I4" s="325"/>
      <c r="J4" s="66" t="s">
        <v>9</v>
      </c>
      <c r="K4" s="66" t="s">
        <v>10</v>
      </c>
      <c r="L4" s="66" t="s">
        <v>11</v>
      </c>
      <c r="M4" s="66" t="s">
        <v>12</v>
      </c>
      <c r="N4" s="66" t="s">
        <v>13</v>
      </c>
      <c r="O4" s="66" t="s">
        <v>14</v>
      </c>
      <c r="P4" s="327"/>
      <c r="Q4" s="66" t="s">
        <v>1098</v>
      </c>
      <c r="R4" s="66" t="s">
        <v>1099</v>
      </c>
      <c r="S4" s="66" t="s">
        <v>18</v>
      </c>
      <c r="T4" s="66" t="s">
        <v>1100</v>
      </c>
      <c r="U4" s="66" t="s">
        <v>1101</v>
      </c>
      <c r="V4" s="66" t="s">
        <v>1102</v>
      </c>
      <c r="W4" s="326"/>
    </row>
    <row r="5" spans="1:23" x14ac:dyDescent="0.3">
      <c r="A5" s="74">
        <v>1</v>
      </c>
      <c r="B5" s="74" t="s">
        <v>192</v>
      </c>
      <c r="C5" s="74" t="s">
        <v>1024</v>
      </c>
      <c r="D5" s="74" t="s">
        <v>1025</v>
      </c>
      <c r="E5" s="74" t="s">
        <v>189</v>
      </c>
      <c r="F5" s="74">
        <v>923</v>
      </c>
      <c r="G5" s="74" t="s">
        <v>43</v>
      </c>
      <c r="H5" s="314"/>
      <c r="I5" s="111">
        <v>0</v>
      </c>
      <c r="J5" s="111">
        <v>450</v>
      </c>
      <c r="K5" s="112">
        <v>74.72</v>
      </c>
      <c r="L5" s="112">
        <v>7</v>
      </c>
      <c r="M5" s="112">
        <v>21.6</v>
      </c>
      <c r="N5" s="112">
        <v>21.5</v>
      </c>
      <c r="O5" s="111">
        <v>467</v>
      </c>
      <c r="P5" s="314"/>
      <c r="Q5" s="78">
        <v>214</v>
      </c>
      <c r="R5" s="78">
        <v>69</v>
      </c>
      <c r="S5" s="78">
        <v>348</v>
      </c>
      <c r="T5" s="78">
        <v>129</v>
      </c>
      <c r="U5" s="78">
        <v>432</v>
      </c>
      <c r="V5" s="78">
        <v>4085</v>
      </c>
      <c r="W5" s="78">
        <v>3.02</v>
      </c>
    </row>
    <row r="6" spans="1:23" x14ac:dyDescent="0.3">
      <c r="A6" s="74">
        <v>2</v>
      </c>
      <c r="B6" s="74" t="s">
        <v>209</v>
      </c>
      <c r="C6" s="74" t="s">
        <v>1024</v>
      </c>
      <c r="D6" s="74" t="s">
        <v>1025</v>
      </c>
      <c r="E6" s="74" t="s">
        <v>189</v>
      </c>
      <c r="F6" s="74">
        <v>885</v>
      </c>
      <c r="G6" s="74" t="s">
        <v>43</v>
      </c>
      <c r="H6" s="314"/>
      <c r="I6" s="111">
        <v>0</v>
      </c>
      <c r="J6" s="111">
        <v>450</v>
      </c>
      <c r="K6" s="112">
        <v>55.04</v>
      </c>
      <c r="L6" s="112">
        <v>11.1</v>
      </c>
      <c r="M6" s="112">
        <v>14</v>
      </c>
      <c r="N6" s="112">
        <v>21.2</v>
      </c>
      <c r="O6" s="111">
        <v>344</v>
      </c>
      <c r="P6" s="314"/>
      <c r="Q6" s="78">
        <v>422</v>
      </c>
      <c r="R6" s="78">
        <v>17</v>
      </c>
      <c r="S6" s="78">
        <v>71</v>
      </c>
      <c r="T6" s="78">
        <v>44</v>
      </c>
      <c r="U6" s="78">
        <v>209</v>
      </c>
      <c r="V6" s="78">
        <v>0</v>
      </c>
      <c r="W6" s="78">
        <v>1.46</v>
      </c>
    </row>
    <row r="7" spans="1:23" x14ac:dyDescent="0.3">
      <c r="A7" s="74">
        <v>3</v>
      </c>
      <c r="B7" s="74" t="s">
        <v>344</v>
      </c>
      <c r="C7" s="74" t="s">
        <v>1026</v>
      </c>
      <c r="D7" s="74" t="s">
        <v>1027</v>
      </c>
      <c r="E7" s="74" t="s">
        <v>189</v>
      </c>
      <c r="F7" s="74">
        <v>862.5</v>
      </c>
      <c r="G7" s="74" t="s">
        <v>43</v>
      </c>
      <c r="H7" s="314"/>
      <c r="I7" s="111">
        <v>0</v>
      </c>
      <c r="J7" s="111">
        <v>450</v>
      </c>
      <c r="K7" s="112">
        <v>16.559999999999999</v>
      </c>
      <c r="L7" s="112">
        <v>3.2</v>
      </c>
      <c r="M7" s="112">
        <v>4.4000000000000004</v>
      </c>
      <c r="N7" s="112">
        <v>19.5</v>
      </c>
      <c r="O7" s="111">
        <v>103.5</v>
      </c>
      <c r="P7" s="314"/>
      <c r="Q7" s="78">
        <v>437</v>
      </c>
      <c r="R7" s="78">
        <v>0</v>
      </c>
      <c r="S7" s="78">
        <v>120</v>
      </c>
      <c r="T7" s="78">
        <v>64</v>
      </c>
      <c r="U7" s="78">
        <v>187</v>
      </c>
      <c r="V7" s="78">
        <v>0</v>
      </c>
      <c r="W7" s="78">
        <v>1.31</v>
      </c>
    </row>
    <row r="8" spans="1:23" x14ac:dyDescent="0.3">
      <c r="A8" s="74">
        <v>4</v>
      </c>
      <c r="B8" s="74" t="s">
        <v>709</v>
      </c>
      <c r="C8" s="74" t="s">
        <v>1028</v>
      </c>
      <c r="D8" s="74" t="s">
        <v>1025</v>
      </c>
      <c r="E8" s="74" t="s">
        <v>189</v>
      </c>
      <c r="F8" s="74">
        <v>923</v>
      </c>
      <c r="G8" s="74" t="s">
        <v>43</v>
      </c>
      <c r="H8" s="314"/>
      <c r="I8" s="111">
        <v>0</v>
      </c>
      <c r="J8" s="111">
        <v>450</v>
      </c>
      <c r="K8" s="112">
        <v>74.72</v>
      </c>
      <c r="L8" s="112">
        <v>7</v>
      </c>
      <c r="M8" s="112">
        <v>21.6</v>
      </c>
      <c r="N8" s="112">
        <v>21.5</v>
      </c>
      <c r="O8" s="111">
        <v>467</v>
      </c>
      <c r="P8" s="314"/>
      <c r="Q8" s="78">
        <v>214</v>
      </c>
      <c r="R8" s="78">
        <v>69</v>
      </c>
      <c r="S8" s="78">
        <v>348</v>
      </c>
      <c r="T8" s="78">
        <v>129</v>
      </c>
      <c r="U8" s="78">
        <v>432</v>
      </c>
      <c r="V8" s="78">
        <v>0</v>
      </c>
      <c r="W8" s="78">
        <v>3.02</v>
      </c>
    </row>
    <row r="9" spans="1:23" x14ac:dyDescent="0.3">
      <c r="A9" s="74">
        <v>5</v>
      </c>
      <c r="B9" s="74" t="s">
        <v>443</v>
      </c>
      <c r="C9" s="74" t="s">
        <v>1028</v>
      </c>
      <c r="D9" s="74" t="s">
        <v>1025</v>
      </c>
      <c r="E9" s="74" t="s">
        <v>189</v>
      </c>
      <c r="F9" s="74">
        <v>885</v>
      </c>
      <c r="G9" s="74" t="s">
        <v>43</v>
      </c>
      <c r="H9" s="314"/>
      <c r="I9" s="111">
        <v>0</v>
      </c>
      <c r="J9" s="111">
        <v>450</v>
      </c>
      <c r="K9" s="112">
        <v>55.04</v>
      </c>
      <c r="L9" s="112">
        <v>11.1</v>
      </c>
      <c r="M9" s="112">
        <v>14</v>
      </c>
      <c r="N9" s="112">
        <v>21.2</v>
      </c>
      <c r="O9" s="111">
        <v>344</v>
      </c>
      <c r="P9" s="314"/>
      <c r="Q9" s="78">
        <v>422</v>
      </c>
      <c r="R9" s="78">
        <v>17</v>
      </c>
      <c r="S9" s="78">
        <v>71</v>
      </c>
      <c r="T9" s="78">
        <v>44</v>
      </c>
      <c r="U9" s="78">
        <v>276</v>
      </c>
      <c r="V9" s="78">
        <v>0</v>
      </c>
      <c r="W9" s="78">
        <v>1.93</v>
      </c>
    </row>
    <row r="10" spans="1:23" x14ac:dyDescent="0.3">
      <c r="A10" s="74">
        <v>6</v>
      </c>
      <c r="B10" s="74" t="s">
        <v>538</v>
      </c>
      <c r="C10" s="74" t="s">
        <v>1029</v>
      </c>
      <c r="D10" s="74" t="s">
        <v>1027</v>
      </c>
      <c r="E10" s="74" t="s">
        <v>189</v>
      </c>
      <c r="F10" s="74">
        <v>862.5</v>
      </c>
      <c r="G10" s="74" t="s">
        <v>43</v>
      </c>
      <c r="H10" s="314"/>
      <c r="I10" s="111">
        <v>0</v>
      </c>
      <c r="J10" s="111">
        <v>450</v>
      </c>
      <c r="K10" s="112">
        <v>16.559999999999999</v>
      </c>
      <c r="L10" s="112">
        <v>3.2</v>
      </c>
      <c r="M10" s="112">
        <v>4.4000000000000004</v>
      </c>
      <c r="N10" s="112">
        <v>19.5</v>
      </c>
      <c r="O10" s="111">
        <v>103.5</v>
      </c>
      <c r="P10" s="314"/>
      <c r="Q10" s="78">
        <v>437</v>
      </c>
      <c r="R10" s="78">
        <v>0</v>
      </c>
      <c r="S10" s="78">
        <v>120</v>
      </c>
      <c r="T10" s="78">
        <v>64</v>
      </c>
      <c r="U10" s="78">
        <v>347</v>
      </c>
      <c r="V10" s="78">
        <v>0</v>
      </c>
      <c r="W10" s="78">
        <v>2.4300000000000002</v>
      </c>
    </row>
    <row r="11" spans="1:23" x14ac:dyDescent="0.3">
      <c r="A11" s="74">
        <v>7</v>
      </c>
      <c r="B11" s="74" t="s">
        <v>1030</v>
      </c>
      <c r="C11" s="74" t="s">
        <v>1031</v>
      </c>
      <c r="D11" s="74" t="s">
        <v>1032</v>
      </c>
      <c r="E11" s="74" t="s">
        <v>1033</v>
      </c>
      <c r="F11" s="74">
        <v>990</v>
      </c>
      <c r="G11" s="74" t="s">
        <v>43</v>
      </c>
      <c r="H11" s="314"/>
      <c r="I11" s="111">
        <v>0</v>
      </c>
      <c r="J11" s="111">
        <v>0</v>
      </c>
      <c r="K11" s="112">
        <v>1000</v>
      </c>
      <c r="L11" s="112">
        <v>0</v>
      </c>
      <c r="M11" s="112">
        <v>0</v>
      </c>
      <c r="N11" s="112">
        <v>0</v>
      </c>
      <c r="O11" s="111">
        <v>0</v>
      </c>
      <c r="P11" s="314"/>
      <c r="Q11" s="78">
        <v>0</v>
      </c>
      <c r="R11" s="78">
        <v>6600</v>
      </c>
      <c r="S11" s="78">
        <v>0</v>
      </c>
      <c r="T11" s="78">
        <v>0</v>
      </c>
      <c r="U11" s="78">
        <v>0</v>
      </c>
      <c r="V11" s="78">
        <v>0</v>
      </c>
      <c r="W11" s="78">
        <v>0</v>
      </c>
    </row>
    <row r="12" spans="1:23" x14ac:dyDescent="0.3">
      <c r="A12" s="74">
        <v>8</v>
      </c>
      <c r="B12" s="74" t="s">
        <v>1034</v>
      </c>
      <c r="C12" s="74" t="s">
        <v>1035</v>
      </c>
      <c r="D12" s="74" t="s">
        <v>1036</v>
      </c>
      <c r="E12" s="74" t="s">
        <v>1033</v>
      </c>
      <c r="F12" s="74">
        <v>990</v>
      </c>
      <c r="G12" s="74" t="s">
        <v>43</v>
      </c>
      <c r="H12" s="314"/>
      <c r="I12" s="111">
        <v>0</v>
      </c>
      <c r="J12" s="111">
        <v>0</v>
      </c>
      <c r="K12" s="112">
        <v>0</v>
      </c>
      <c r="L12" s="112">
        <v>1000</v>
      </c>
      <c r="M12" s="112">
        <v>0</v>
      </c>
      <c r="N12" s="112">
        <v>0</v>
      </c>
      <c r="O12" s="111">
        <v>0</v>
      </c>
      <c r="P12" s="314"/>
      <c r="Q12" s="78">
        <v>0</v>
      </c>
      <c r="R12" s="78">
        <v>3600</v>
      </c>
      <c r="S12" s="78">
        <v>0</v>
      </c>
      <c r="T12" s="78">
        <v>0</v>
      </c>
      <c r="U12" s="78">
        <v>0</v>
      </c>
      <c r="V12" s="78">
        <v>0</v>
      </c>
      <c r="W12" s="78">
        <v>0</v>
      </c>
    </row>
    <row r="13" spans="1:23" x14ac:dyDescent="0.3">
      <c r="A13" s="74">
        <v>9</v>
      </c>
      <c r="B13" s="74" t="s">
        <v>1037</v>
      </c>
      <c r="C13" s="74" t="s">
        <v>1038</v>
      </c>
      <c r="D13" s="74" t="s">
        <v>1039</v>
      </c>
      <c r="E13" s="74" t="s">
        <v>1033</v>
      </c>
      <c r="F13" s="74">
        <v>990</v>
      </c>
      <c r="G13" s="74" t="s">
        <v>43</v>
      </c>
      <c r="H13" s="314"/>
      <c r="I13" s="111">
        <v>0</v>
      </c>
      <c r="J13" s="111">
        <v>0</v>
      </c>
      <c r="K13" s="112">
        <v>0</v>
      </c>
      <c r="L13" s="112">
        <v>0</v>
      </c>
      <c r="M13" s="112">
        <v>1000</v>
      </c>
      <c r="N13" s="112">
        <v>0</v>
      </c>
      <c r="O13" s="111">
        <v>0</v>
      </c>
      <c r="P13" s="314"/>
      <c r="Q13" s="78">
        <v>0</v>
      </c>
      <c r="R13" s="78">
        <v>700</v>
      </c>
      <c r="S13" s="78">
        <v>0</v>
      </c>
      <c r="T13" s="78">
        <v>0</v>
      </c>
      <c r="U13" s="78">
        <v>0</v>
      </c>
      <c r="V13" s="78">
        <v>0</v>
      </c>
      <c r="W13" s="78">
        <v>0</v>
      </c>
    </row>
    <row r="14" spans="1:23" x14ac:dyDescent="0.3">
      <c r="A14" s="74">
        <v>10</v>
      </c>
      <c r="B14" s="74" t="s">
        <v>411</v>
      </c>
      <c r="C14" s="74" t="s">
        <v>1040</v>
      </c>
      <c r="D14" s="74" t="s">
        <v>1041</v>
      </c>
      <c r="E14" s="74" t="s">
        <v>189</v>
      </c>
      <c r="F14" s="74">
        <v>1000</v>
      </c>
      <c r="G14" s="74" t="s">
        <v>43</v>
      </c>
      <c r="H14" s="314"/>
      <c r="I14" s="111">
        <v>0</v>
      </c>
      <c r="J14" s="111">
        <v>0</v>
      </c>
      <c r="K14" s="112">
        <v>0</v>
      </c>
      <c r="L14" s="112">
        <v>50</v>
      </c>
      <c r="M14" s="112">
        <v>1.5</v>
      </c>
      <c r="N14" s="112">
        <v>0</v>
      </c>
      <c r="O14" s="111">
        <v>0</v>
      </c>
      <c r="P14" s="314"/>
      <c r="Q14" s="78">
        <v>0</v>
      </c>
      <c r="R14" s="78">
        <v>819</v>
      </c>
      <c r="S14" s="78">
        <v>0</v>
      </c>
      <c r="T14" s="78">
        <v>0</v>
      </c>
      <c r="U14" s="78">
        <v>0</v>
      </c>
      <c r="V14" s="78">
        <v>0</v>
      </c>
      <c r="W14" s="78">
        <v>0</v>
      </c>
    </row>
    <row r="15" spans="1:23" x14ac:dyDescent="0.3">
      <c r="A15" s="74">
        <v>11</v>
      </c>
      <c r="B15" s="74" t="s">
        <v>421</v>
      </c>
      <c r="C15" s="74" t="s">
        <v>1042</v>
      </c>
      <c r="D15" s="74" t="s">
        <v>1043</v>
      </c>
      <c r="E15" s="74" t="s">
        <v>189</v>
      </c>
      <c r="F15" s="74">
        <v>960</v>
      </c>
      <c r="G15" s="74" t="s">
        <v>43</v>
      </c>
      <c r="H15" s="314"/>
      <c r="I15" s="111">
        <v>0</v>
      </c>
      <c r="J15" s="111">
        <v>450</v>
      </c>
      <c r="K15" s="112">
        <v>57.836990595611283</v>
      </c>
      <c r="L15" s="112">
        <v>10.199999999999999</v>
      </c>
      <c r="M15" s="112">
        <v>14</v>
      </c>
      <c r="N15" s="112">
        <v>19.100000000000001</v>
      </c>
      <c r="O15" s="111">
        <v>369</v>
      </c>
      <c r="P15" s="314"/>
      <c r="Q15" s="78">
        <v>0</v>
      </c>
      <c r="R15" s="78">
        <v>8200</v>
      </c>
      <c r="S15" s="78">
        <v>0</v>
      </c>
      <c r="T15" s="78">
        <v>0</v>
      </c>
      <c r="U15" s="78">
        <v>0</v>
      </c>
      <c r="V15" s="78">
        <v>0</v>
      </c>
      <c r="W15" s="78">
        <v>0</v>
      </c>
    </row>
    <row r="16" spans="1:23" x14ac:dyDescent="0.3">
      <c r="A16" s="74">
        <v>12</v>
      </c>
      <c r="B16" s="74" t="s">
        <v>1044</v>
      </c>
      <c r="C16" s="74" t="s">
        <v>1045</v>
      </c>
      <c r="D16" s="74" t="s">
        <v>1046</v>
      </c>
      <c r="E16" s="74" t="s">
        <v>189</v>
      </c>
      <c r="F16" s="74">
        <v>135</v>
      </c>
      <c r="G16" s="74" t="s">
        <v>43</v>
      </c>
      <c r="H16" s="314"/>
      <c r="I16" s="111">
        <v>0</v>
      </c>
      <c r="J16" s="111">
        <v>450</v>
      </c>
      <c r="K16" s="112">
        <v>42.4</v>
      </c>
      <c r="L16" s="112">
        <v>7.2</v>
      </c>
      <c r="M16" s="112">
        <v>11</v>
      </c>
      <c r="N16" s="112">
        <v>24.5</v>
      </c>
      <c r="O16" s="111">
        <v>265</v>
      </c>
      <c r="P16" s="314"/>
      <c r="Q16" s="78">
        <v>0</v>
      </c>
      <c r="R16" s="78">
        <v>0</v>
      </c>
      <c r="S16" s="78">
        <v>0</v>
      </c>
      <c r="T16" s="78">
        <v>0</v>
      </c>
      <c r="U16" s="78">
        <v>0</v>
      </c>
      <c r="V16" s="78">
        <v>0</v>
      </c>
      <c r="W16" s="78">
        <v>0</v>
      </c>
    </row>
    <row r="17" spans="1:23" x14ac:dyDescent="0.3">
      <c r="A17" s="74">
        <v>13</v>
      </c>
      <c r="B17" s="74" t="s">
        <v>1047</v>
      </c>
      <c r="C17" s="74" t="s">
        <v>1045</v>
      </c>
      <c r="D17" s="74" t="s">
        <v>1046</v>
      </c>
      <c r="E17" s="74" t="s">
        <v>189</v>
      </c>
      <c r="F17" s="74">
        <v>155</v>
      </c>
      <c r="G17" s="74" t="s">
        <v>43</v>
      </c>
      <c r="H17" s="314"/>
      <c r="I17" s="111">
        <v>0</v>
      </c>
      <c r="J17" s="111">
        <v>450</v>
      </c>
      <c r="K17" s="112">
        <v>41.28</v>
      </c>
      <c r="L17" s="112">
        <v>7.2</v>
      </c>
      <c r="M17" s="112">
        <v>11</v>
      </c>
      <c r="N17" s="112">
        <v>26.3</v>
      </c>
      <c r="O17" s="111">
        <v>258</v>
      </c>
      <c r="P17" s="314"/>
      <c r="Q17" s="78">
        <v>0</v>
      </c>
      <c r="R17" s="78">
        <v>0</v>
      </c>
      <c r="S17" s="78">
        <v>0</v>
      </c>
      <c r="T17" s="78">
        <v>0</v>
      </c>
      <c r="U17" s="78">
        <v>0</v>
      </c>
      <c r="V17" s="78">
        <v>0</v>
      </c>
      <c r="W17" s="78">
        <v>0</v>
      </c>
    </row>
    <row r="18" spans="1:23" x14ac:dyDescent="0.3">
      <c r="A18" s="74">
        <v>14</v>
      </c>
      <c r="B18" s="74" t="s">
        <v>708</v>
      </c>
      <c r="C18" s="74" t="s">
        <v>1048</v>
      </c>
      <c r="D18" s="74" t="s">
        <v>1041</v>
      </c>
      <c r="E18" s="74" t="s">
        <v>189</v>
      </c>
      <c r="F18" s="74">
        <v>1000</v>
      </c>
      <c r="G18" s="74" t="s">
        <v>43</v>
      </c>
      <c r="H18" s="314"/>
      <c r="I18" s="111">
        <v>0</v>
      </c>
      <c r="J18" s="111">
        <v>0</v>
      </c>
      <c r="K18" s="112">
        <v>0</v>
      </c>
      <c r="L18" s="112">
        <v>50</v>
      </c>
      <c r="M18" s="112">
        <v>1.5</v>
      </c>
      <c r="N18" s="112">
        <v>0</v>
      </c>
      <c r="O18" s="111">
        <v>0</v>
      </c>
      <c r="P18" s="314"/>
      <c r="Q18" s="78">
        <v>0</v>
      </c>
      <c r="R18" s="78">
        <v>819</v>
      </c>
      <c r="S18" s="78">
        <v>0</v>
      </c>
      <c r="T18" s="78">
        <v>0</v>
      </c>
      <c r="U18" s="78">
        <v>0</v>
      </c>
      <c r="V18" s="78">
        <v>0</v>
      </c>
      <c r="W18" s="78">
        <v>0</v>
      </c>
    </row>
    <row r="19" spans="1:23" x14ac:dyDescent="0.3">
      <c r="A19" s="74">
        <v>15</v>
      </c>
      <c r="B19" s="74" t="s">
        <v>608</v>
      </c>
      <c r="C19" s="74" t="s">
        <v>1049</v>
      </c>
      <c r="D19" s="74" t="s">
        <v>1043</v>
      </c>
      <c r="E19" s="74" t="s">
        <v>189</v>
      </c>
      <c r="F19" s="74">
        <v>960</v>
      </c>
      <c r="G19" s="74" t="s">
        <v>43</v>
      </c>
      <c r="H19" s="314"/>
      <c r="I19" s="111">
        <v>0</v>
      </c>
      <c r="J19" s="111">
        <v>450</v>
      </c>
      <c r="K19" s="112">
        <v>57.836990595611283</v>
      </c>
      <c r="L19" s="112">
        <v>10.199999999999999</v>
      </c>
      <c r="M19" s="112">
        <v>14</v>
      </c>
      <c r="N19" s="112">
        <v>19.100000000000001</v>
      </c>
      <c r="O19" s="111">
        <v>369</v>
      </c>
      <c r="P19" s="314"/>
      <c r="Q19" s="78">
        <v>0</v>
      </c>
      <c r="R19" s="78">
        <v>8200</v>
      </c>
      <c r="S19" s="78">
        <v>0</v>
      </c>
      <c r="T19" s="78">
        <v>0</v>
      </c>
      <c r="U19" s="78">
        <v>0</v>
      </c>
      <c r="V19" s="78">
        <v>0</v>
      </c>
      <c r="W19" s="78">
        <v>0</v>
      </c>
    </row>
    <row r="20" spans="1:23" x14ac:dyDescent="0.3">
      <c r="A20" s="74">
        <v>16</v>
      </c>
      <c r="B20" s="74" t="s">
        <v>539</v>
      </c>
      <c r="C20" s="74" t="s">
        <v>1050</v>
      </c>
      <c r="D20" s="74" t="s">
        <v>1046</v>
      </c>
      <c r="E20" s="74" t="s">
        <v>189</v>
      </c>
      <c r="F20" s="74">
        <v>135</v>
      </c>
      <c r="G20" s="74" t="s">
        <v>43</v>
      </c>
      <c r="H20" s="314"/>
      <c r="I20" s="111">
        <v>0</v>
      </c>
      <c r="J20" s="111">
        <v>450</v>
      </c>
      <c r="K20" s="112">
        <v>42.4</v>
      </c>
      <c r="L20" s="112">
        <v>7.2</v>
      </c>
      <c r="M20" s="112">
        <v>11</v>
      </c>
      <c r="N20" s="112">
        <v>24.5</v>
      </c>
      <c r="O20" s="111">
        <v>265</v>
      </c>
      <c r="P20" s="314"/>
      <c r="Q20" s="78">
        <v>0</v>
      </c>
      <c r="R20" s="78">
        <v>0</v>
      </c>
      <c r="S20" s="78">
        <v>0</v>
      </c>
      <c r="T20" s="78">
        <v>0</v>
      </c>
      <c r="U20" s="78">
        <v>0</v>
      </c>
      <c r="V20" s="78">
        <v>0</v>
      </c>
      <c r="W20" s="78">
        <v>0</v>
      </c>
    </row>
    <row r="21" spans="1:23" x14ac:dyDescent="0.3">
      <c r="A21" s="74">
        <v>17</v>
      </c>
      <c r="B21" s="74" t="s">
        <v>1051</v>
      </c>
      <c r="C21" s="74" t="s">
        <v>1050</v>
      </c>
      <c r="D21" s="74" t="s">
        <v>1046</v>
      </c>
      <c r="E21" s="74" t="s">
        <v>189</v>
      </c>
      <c r="F21" s="74">
        <v>155</v>
      </c>
      <c r="G21" s="74" t="s">
        <v>43</v>
      </c>
      <c r="H21" s="314"/>
      <c r="I21" s="111">
        <v>0</v>
      </c>
      <c r="J21" s="111">
        <v>450</v>
      </c>
      <c r="K21" s="112">
        <v>41.28</v>
      </c>
      <c r="L21" s="112">
        <v>7.2</v>
      </c>
      <c r="M21" s="112">
        <v>11</v>
      </c>
      <c r="N21" s="112">
        <v>26.3</v>
      </c>
      <c r="O21" s="111">
        <v>258</v>
      </c>
      <c r="P21" s="314"/>
      <c r="Q21" s="78">
        <v>0</v>
      </c>
      <c r="R21" s="78">
        <v>0</v>
      </c>
      <c r="S21" s="78">
        <v>0</v>
      </c>
      <c r="T21" s="78">
        <v>0</v>
      </c>
      <c r="U21" s="78">
        <v>0</v>
      </c>
      <c r="V21" s="78">
        <v>0</v>
      </c>
      <c r="W21" s="78">
        <v>0</v>
      </c>
    </row>
    <row r="22" spans="1:23" x14ac:dyDescent="0.3">
      <c r="A22" s="74">
        <v>18</v>
      </c>
      <c r="B22" s="74" t="s">
        <v>666</v>
      </c>
      <c r="C22" s="74" t="s">
        <v>1052</v>
      </c>
      <c r="D22" s="74" t="s">
        <v>1053</v>
      </c>
      <c r="E22" s="74" t="s">
        <v>189</v>
      </c>
      <c r="F22" s="74">
        <v>1000</v>
      </c>
      <c r="G22" s="74" t="s">
        <v>43</v>
      </c>
      <c r="H22" s="314"/>
      <c r="I22" s="111">
        <v>0</v>
      </c>
      <c r="J22" s="111">
        <v>450</v>
      </c>
      <c r="K22" s="112">
        <v>0</v>
      </c>
      <c r="L22" s="112">
        <v>0</v>
      </c>
      <c r="M22" s="112">
        <v>0</v>
      </c>
      <c r="N22" s="112">
        <v>36.6</v>
      </c>
      <c r="O22" s="111">
        <v>0</v>
      </c>
      <c r="P22" s="314"/>
      <c r="Q22" s="78">
        <v>729</v>
      </c>
      <c r="R22" s="78">
        <v>852</v>
      </c>
      <c r="S22" s="78">
        <v>349</v>
      </c>
      <c r="T22" s="78">
        <v>2645</v>
      </c>
      <c r="U22" s="78">
        <v>290</v>
      </c>
      <c r="V22" s="78">
        <v>1933</v>
      </c>
      <c r="W22" s="78">
        <v>2.0299999999999998</v>
      </c>
    </row>
    <row r="23" spans="1:23" x14ac:dyDescent="0.3">
      <c r="A23" s="74">
        <v>19</v>
      </c>
      <c r="B23" s="74" t="s">
        <v>1054</v>
      </c>
      <c r="C23" s="74" t="s">
        <v>1055</v>
      </c>
      <c r="D23" s="74" t="s">
        <v>1053</v>
      </c>
      <c r="E23" s="74" t="s">
        <v>189</v>
      </c>
      <c r="F23" s="74">
        <v>1000</v>
      </c>
      <c r="G23" s="74" t="s">
        <v>43</v>
      </c>
      <c r="H23" s="314"/>
      <c r="I23" s="111">
        <v>0</v>
      </c>
      <c r="J23" s="111">
        <v>450</v>
      </c>
      <c r="K23" s="112">
        <v>0</v>
      </c>
      <c r="L23" s="112">
        <v>0</v>
      </c>
      <c r="M23" s="112">
        <v>0</v>
      </c>
      <c r="N23" s="112">
        <v>36.6</v>
      </c>
      <c r="O23" s="111">
        <v>0</v>
      </c>
      <c r="P23" s="314"/>
      <c r="Q23" s="78">
        <v>729</v>
      </c>
      <c r="R23" s="78">
        <v>852</v>
      </c>
      <c r="S23" s="78">
        <v>349</v>
      </c>
      <c r="T23" s="78">
        <v>2645</v>
      </c>
      <c r="U23" s="78">
        <v>290</v>
      </c>
      <c r="V23" s="78">
        <v>1933</v>
      </c>
      <c r="W23" s="78">
        <v>2.0299999999999998</v>
      </c>
    </row>
    <row r="24" spans="1:23" x14ac:dyDescent="0.3">
      <c r="A24" s="74">
        <v>20</v>
      </c>
      <c r="B24" s="74" t="s">
        <v>1056</v>
      </c>
      <c r="C24" s="74" t="s">
        <v>1057</v>
      </c>
      <c r="D24" s="74" t="s">
        <v>51</v>
      </c>
      <c r="E24" s="74" t="s">
        <v>1058</v>
      </c>
      <c r="F24" s="74">
        <v>1000</v>
      </c>
      <c r="G24" s="74" t="s">
        <v>1094</v>
      </c>
      <c r="H24" s="314"/>
      <c r="I24" s="111">
        <v>0</v>
      </c>
      <c r="J24" s="111">
        <v>0</v>
      </c>
      <c r="K24" s="112">
        <v>0</v>
      </c>
      <c r="L24" s="112">
        <v>0</v>
      </c>
      <c r="M24" s="112">
        <v>0</v>
      </c>
      <c r="N24" s="112">
        <v>35.200000000000003</v>
      </c>
      <c r="O24" s="111">
        <v>0</v>
      </c>
      <c r="P24" s="314"/>
      <c r="Q24" s="78">
        <v>0</v>
      </c>
      <c r="R24" s="78">
        <v>3380</v>
      </c>
      <c r="S24" s="78">
        <v>0</v>
      </c>
      <c r="T24" s="78">
        <v>0</v>
      </c>
      <c r="U24" s="78">
        <v>0</v>
      </c>
      <c r="V24" s="78">
        <v>0</v>
      </c>
      <c r="W24" s="78">
        <v>0</v>
      </c>
    </row>
    <row r="25" spans="1:23" x14ac:dyDescent="0.3">
      <c r="A25" s="74">
        <v>21</v>
      </c>
      <c r="B25" s="74" t="s">
        <v>1059</v>
      </c>
      <c r="C25" s="74" t="s">
        <v>1060</v>
      </c>
      <c r="D25" s="74" t="s">
        <v>51</v>
      </c>
      <c r="E25" s="74" t="s">
        <v>1058</v>
      </c>
      <c r="F25" s="74">
        <v>1000</v>
      </c>
      <c r="G25" s="74" t="s">
        <v>66</v>
      </c>
      <c r="H25" s="314"/>
      <c r="I25" s="111">
        <v>0</v>
      </c>
      <c r="J25" s="111">
        <v>0</v>
      </c>
      <c r="K25" s="112">
        <v>0</v>
      </c>
      <c r="L25" s="112">
        <v>0</v>
      </c>
      <c r="M25" s="112">
        <v>0</v>
      </c>
      <c r="N25" s="112">
        <v>1</v>
      </c>
      <c r="O25" s="111">
        <v>0</v>
      </c>
      <c r="P25" s="314"/>
      <c r="Q25" s="78">
        <v>0</v>
      </c>
      <c r="R25" s="78">
        <v>70</v>
      </c>
      <c r="S25" s="78">
        <v>0</v>
      </c>
      <c r="T25" s="78">
        <v>0</v>
      </c>
      <c r="U25" s="78">
        <v>0</v>
      </c>
      <c r="V25" s="78">
        <v>0</v>
      </c>
      <c r="W25" s="78">
        <v>0</v>
      </c>
    </row>
    <row r="26" spans="1:23" x14ac:dyDescent="0.3">
      <c r="A26" s="74">
        <v>22</v>
      </c>
      <c r="B26" s="74" t="s">
        <v>1061</v>
      </c>
      <c r="C26" s="74" t="s">
        <v>1062</v>
      </c>
      <c r="D26" s="74" t="s">
        <v>51</v>
      </c>
      <c r="E26" s="74" t="s">
        <v>1058</v>
      </c>
      <c r="F26" s="74">
        <v>1000</v>
      </c>
      <c r="G26" s="74" t="s">
        <v>1095</v>
      </c>
      <c r="H26" s="314"/>
      <c r="I26" s="111">
        <v>0</v>
      </c>
      <c r="J26" s="111">
        <v>0</v>
      </c>
      <c r="K26" s="112">
        <v>0</v>
      </c>
      <c r="L26" s="112">
        <v>0</v>
      </c>
      <c r="M26" s="112">
        <v>0</v>
      </c>
      <c r="N26" s="112">
        <v>3.5714285714285712</v>
      </c>
      <c r="O26" s="111">
        <v>0</v>
      </c>
      <c r="P26" s="314"/>
      <c r="Q26" s="78">
        <v>0</v>
      </c>
      <c r="R26" s="78">
        <v>207</v>
      </c>
      <c r="S26" s="78">
        <v>0</v>
      </c>
      <c r="T26" s="78">
        <v>0</v>
      </c>
      <c r="U26" s="78">
        <v>0</v>
      </c>
      <c r="V26" s="78">
        <v>0</v>
      </c>
      <c r="W26" s="78">
        <v>0</v>
      </c>
    </row>
    <row r="27" spans="1:23" x14ac:dyDescent="0.3">
      <c r="A27" s="74">
        <v>23</v>
      </c>
      <c r="B27" s="74" t="s">
        <v>1063</v>
      </c>
      <c r="C27" s="74" t="s">
        <v>1062</v>
      </c>
      <c r="D27" s="74" t="s">
        <v>51</v>
      </c>
      <c r="E27" s="74" t="s">
        <v>1058</v>
      </c>
      <c r="F27" s="74">
        <v>0</v>
      </c>
      <c r="G27" s="74" t="s">
        <v>1094</v>
      </c>
      <c r="H27" s="314"/>
      <c r="I27" s="111">
        <v>0</v>
      </c>
      <c r="J27" s="111">
        <v>0</v>
      </c>
      <c r="K27" s="112">
        <v>0</v>
      </c>
      <c r="L27" s="112">
        <v>0</v>
      </c>
      <c r="M27" s="112">
        <v>0</v>
      </c>
      <c r="N27" s="112">
        <v>0</v>
      </c>
      <c r="O27" s="111">
        <v>0</v>
      </c>
      <c r="P27" s="314"/>
      <c r="Q27" s="78">
        <v>0</v>
      </c>
      <c r="R27" s="78">
        <v>0.10350000000000001</v>
      </c>
      <c r="S27" s="78">
        <v>0</v>
      </c>
      <c r="T27" s="78">
        <v>0</v>
      </c>
      <c r="U27" s="78">
        <v>0</v>
      </c>
      <c r="V27" s="78">
        <v>0</v>
      </c>
      <c r="W27" s="78">
        <v>0</v>
      </c>
    </row>
    <row r="28" spans="1:23" x14ac:dyDescent="0.3">
      <c r="A28" s="74">
        <v>24</v>
      </c>
      <c r="B28" s="74" t="s">
        <v>1064</v>
      </c>
      <c r="C28" s="74" t="s">
        <v>1065</v>
      </c>
      <c r="D28" s="74" t="s">
        <v>1066</v>
      </c>
      <c r="E28" s="74" t="s">
        <v>1033</v>
      </c>
      <c r="F28" s="74">
        <v>1000</v>
      </c>
      <c r="G28" s="74" t="s">
        <v>43</v>
      </c>
      <c r="H28" s="314"/>
      <c r="I28" s="111">
        <v>0</v>
      </c>
      <c r="J28" s="111">
        <v>0</v>
      </c>
      <c r="K28" s="112">
        <v>0</v>
      </c>
      <c r="L28" s="112">
        <v>0</v>
      </c>
      <c r="M28" s="112">
        <v>0</v>
      </c>
      <c r="N28" s="112">
        <v>0</v>
      </c>
      <c r="O28" s="111">
        <v>0</v>
      </c>
      <c r="P28" s="314"/>
      <c r="Q28" s="78">
        <v>0</v>
      </c>
      <c r="R28" s="78">
        <v>484</v>
      </c>
      <c r="S28" s="78">
        <v>0</v>
      </c>
      <c r="T28" s="78">
        <v>0</v>
      </c>
      <c r="U28" s="78">
        <v>0</v>
      </c>
      <c r="V28" s="78">
        <v>0</v>
      </c>
      <c r="W28" s="78">
        <v>0</v>
      </c>
    </row>
    <row r="29" spans="1:23" x14ac:dyDescent="0.3">
      <c r="A29" s="74">
        <v>25</v>
      </c>
      <c r="B29" s="74" t="s">
        <v>673</v>
      </c>
      <c r="C29" s="74" t="s">
        <v>1067</v>
      </c>
      <c r="D29" s="74" t="s">
        <v>1068</v>
      </c>
      <c r="E29" s="74" t="s">
        <v>1033</v>
      </c>
      <c r="F29" s="74">
        <v>1000</v>
      </c>
      <c r="G29" s="74" t="s">
        <v>43</v>
      </c>
      <c r="H29" s="314"/>
      <c r="I29" s="111">
        <v>0</v>
      </c>
      <c r="J29" s="111">
        <v>0</v>
      </c>
      <c r="K29" s="112">
        <v>0</v>
      </c>
      <c r="L29" s="112">
        <v>0</v>
      </c>
      <c r="M29" s="112">
        <v>0</v>
      </c>
      <c r="N29" s="112">
        <v>0</v>
      </c>
      <c r="O29" s="111">
        <v>0</v>
      </c>
      <c r="P29" s="314"/>
      <c r="Q29" s="78">
        <v>0</v>
      </c>
      <c r="R29" s="78">
        <v>2380</v>
      </c>
      <c r="S29" s="78">
        <v>0</v>
      </c>
      <c r="T29" s="78">
        <v>0</v>
      </c>
      <c r="U29" s="78">
        <v>0</v>
      </c>
      <c r="V29" s="78">
        <v>0</v>
      </c>
      <c r="W29" s="78">
        <v>0</v>
      </c>
    </row>
    <row r="30" spans="1:23" x14ac:dyDescent="0.3">
      <c r="A30" s="74">
        <v>26</v>
      </c>
      <c r="B30" s="74" t="s">
        <v>679</v>
      </c>
      <c r="C30" s="74" t="s">
        <v>1048</v>
      </c>
      <c r="D30" s="74" t="s">
        <v>1041</v>
      </c>
      <c r="E30" s="74" t="s">
        <v>189</v>
      </c>
      <c r="F30" s="74">
        <v>1000</v>
      </c>
      <c r="G30" s="74" t="s">
        <v>43</v>
      </c>
      <c r="H30" s="314"/>
      <c r="I30" s="111">
        <v>0</v>
      </c>
      <c r="J30" s="111">
        <v>0</v>
      </c>
      <c r="K30" s="112">
        <v>0</v>
      </c>
      <c r="L30" s="112">
        <v>0</v>
      </c>
      <c r="M30" s="112">
        <v>0</v>
      </c>
      <c r="N30" s="112">
        <v>0</v>
      </c>
      <c r="O30" s="111">
        <v>0</v>
      </c>
      <c r="P30" s="314"/>
      <c r="Q30" s="78">
        <v>0</v>
      </c>
      <c r="R30" s="78">
        <v>819</v>
      </c>
      <c r="S30" s="78">
        <v>0</v>
      </c>
      <c r="T30" s="78">
        <v>0</v>
      </c>
      <c r="U30" s="78">
        <v>0</v>
      </c>
      <c r="V30" s="78">
        <v>0</v>
      </c>
      <c r="W30" s="78">
        <v>0</v>
      </c>
    </row>
    <row r="31" spans="1:23" x14ac:dyDescent="0.3">
      <c r="A31" s="74">
        <v>27</v>
      </c>
      <c r="B31" s="74" t="s">
        <v>680</v>
      </c>
      <c r="C31" s="74" t="s">
        <v>1040</v>
      </c>
      <c r="D31" s="74" t="s">
        <v>1041</v>
      </c>
      <c r="E31" s="74" t="s">
        <v>189</v>
      </c>
      <c r="F31" s="74">
        <v>1000</v>
      </c>
      <c r="G31" s="74" t="s">
        <v>43</v>
      </c>
      <c r="H31" s="314"/>
      <c r="I31" s="111">
        <v>0</v>
      </c>
      <c r="J31" s="111">
        <v>0</v>
      </c>
      <c r="K31" s="112">
        <v>0</v>
      </c>
      <c r="L31" s="112">
        <v>0</v>
      </c>
      <c r="M31" s="112">
        <v>0</v>
      </c>
      <c r="N31" s="112">
        <v>0</v>
      </c>
      <c r="O31" s="111">
        <v>0</v>
      </c>
      <c r="P31" s="314"/>
      <c r="Q31" s="78">
        <v>0</v>
      </c>
      <c r="R31" s="78">
        <v>819</v>
      </c>
      <c r="S31" s="78">
        <v>0</v>
      </c>
      <c r="T31" s="78">
        <v>0</v>
      </c>
      <c r="U31" s="78">
        <v>0</v>
      </c>
      <c r="V31" s="78">
        <v>0</v>
      </c>
      <c r="W31" s="78">
        <v>0</v>
      </c>
    </row>
    <row r="32" spans="1:23" x14ac:dyDescent="0.3">
      <c r="A32" s="74">
        <v>28</v>
      </c>
      <c r="B32" s="74" t="s">
        <v>1069</v>
      </c>
      <c r="C32" s="74" t="s">
        <v>1070</v>
      </c>
      <c r="D32" s="74" t="s">
        <v>1039</v>
      </c>
      <c r="E32" s="74" t="s">
        <v>1033</v>
      </c>
      <c r="F32" s="74">
        <v>990</v>
      </c>
      <c r="G32" s="74" t="s">
        <v>43</v>
      </c>
      <c r="H32" s="314"/>
      <c r="I32" s="111">
        <v>0</v>
      </c>
      <c r="J32" s="111">
        <v>0</v>
      </c>
      <c r="K32" s="112">
        <v>0</v>
      </c>
      <c r="L32" s="112">
        <v>0</v>
      </c>
      <c r="M32" s="112">
        <v>1000</v>
      </c>
      <c r="N32" s="112">
        <v>0</v>
      </c>
      <c r="O32" s="111">
        <v>0</v>
      </c>
      <c r="P32" s="314"/>
      <c r="Q32" s="78">
        <v>0</v>
      </c>
      <c r="R32" s="78">
        <v>700</v>
      </c>
      <c r="S32" s="78">
        <v>0</v>
      </c>
      <c r="T32" s="78">
        <v>0</v>
      </c>
      <c r="U32" s="78">
        <v>0</v>
      </c>
      <c r="V32" s="78">
        <v>0</v>
      </c>
      <c r="W32" s="78">
        <v>0</v>
      </c>
    </row>
    <row r="33" spans="1:23" x14ac:dyDescent="0.3">
      <c r="A33" s="74">
        <v>29</v>
      </c>
      <c r="B33" s="74" t="s">
        <v>1071</v>
      </c>
      <c r="C33" s="74">
        <v>0</v>
      </c>
      <c r="D33" s="74" t="e">
        <v>#N/A</v>
      </c>
      <c r="E33" s="74" t="e">
        <v>#N/A</v>
      </c>
      <c r="F33" s="74">
        <v>0</v>
      </c>
      <c r="G33" s="74">
        <v>0</v>
      </c>
      <c r="H33" s="314"/>
      <c r="I33" s="111">
        <v>0</v>
      </c>
      <c r="J33" s="111">
        <v>0</v>
      </c>
      <c r="K33" s="112">
        <v>0</v>
      </c>
      <c r="L33" s="112">
        <v>0</v>
      </c>
      <c r="M33" s="112">
        <v>0</v>
      </c>
      <c r="N33" s="112">
        <v>0</v>
      </c>
      <c r="O33" s="111">
        <v>0</v>
      </c>
      <c r="P33" s="314"/>
      <c r="Q33" s="78">
        <v>0</v>
      </c>
      <c r="R33" s="78">
        <v>0</v>
      </c>
      <c r="S33" s="78">
        <v>0</v>
      </c>
      <c r="T33" s="78">
        <v>0</v>
      </c>
      <c r="U33" s="78">
        <v>0</v>
      </c>
      <c r="V33" s="78">
        <v>0</v>
      </c>
      <c r="W33" s="78">
        <v>0</v>
      </c>
    </row>
    <row r="34" spans="1:23" x14ac:dyDescent="0.3">
      <c r="A34" s="74">
        <v>30</v>
      </c>
      <c r="B34" s="74" t="s">
        <v>1072</v>
      </c>
      <c r="C34" s="74">
        <v>0</v>
      </c>
      <c r="D34" s="74" t="e">
        <v>#N/A</v>
      </c>
      <c r="E34" s="74" t="e">
        <v>#N/A</v>
      </c>
      <c r="F34" s="74">
        <v>0</v>
      </c>
      <c r="G34" s="74">
        <v>0</v>
      </c>
      <c r="H34" s="314"/>
      <c r="I34" s="111">
        <v>0</v>
      </c>
      <c r="J34" s="111">
        <v>0</v>
      </c>
      <c r="K34" s="112">
        <v>0</v>
      </c>
      <c r="L34" s="112">
        <v>0</v>
      </c>
      <c r="M34" s="112">
        <v>0</v>
      </c>
      <c r="N34" s="112">
        <v>0</v>
      </c>
      <c r="O34" s="111">
        <v>0</v>
      </c>
      <c r="P34" s="314"/>
      <c r="Q34" s="78">
        <v>0</v>
      </c>
      <c r="R34" s="78">
        <v>0</v>
      </c>
      <c r="S34" s="78">
        <v>0</v>
      </c>
      <c r="T34" s="78">
        <v>0</v>
      </c>
      <c r="U34" s="78">
        <v>0</v>
      </c>
      <c r="V34" s="78">
        <v>0</v>
      </c>
      <c r="W34" s="78">
        <v>0</v>
      </c>
    </row>
    <row r="35" spans="1:23" x14ac:dyDescent="0.3">
      <c r="A35" s="74">
        <v>31</v>
      </c>
      <c r="B35" s="74" t="s">
        <v>1073</v>
      </c>
      <c r="C35" s="74">
        <v>0</v>
      </c>
      <c r="D35" s="74" t="e">
        <v>#N/A</v>
      </c>
      <c r="E35" s="74" t="e">
        <v>#N/A</v>
      </c>
      <c r="F35" s="74">
        <v>0</v>
      </c>
      <c r="G35" s="74">
        <v>0</v>
      </c>
      <c r="H35" s="314"/>
      <c r="I35" s="111">
        <v>0</v>
      </c>
      <c r="J35" s="111">
        <v>0</v>
      </c>
      <c r="K35" s="112">
        <v>0</v>
      </c>
      <c r="L35" s="112">
        <v>0</v>
      </c>
      <c r="M35" s="112">
        <v>0</v>
      </c>
      <c r="N35" s="112">
        <v>0</v>
      </c>
      <c r="O35" s="111">
        <v>0</v>
      </c>
      <c r="P35" s="314"/>
      <c r="Q35" s="78">
        <v>0</v>
      </c>
      <c r="R35" s="78">
        <v>0</v>
      </c>
      <c r="S35" s="78">
        <v>0</v>
      </c>
      <c r="T35" s="78">
        <v>0</v>
      </c>
      <c r="U35" s="78">
        <v>0</v>
      </c>
      <c r="V35" s="78">
        <v>0</v>
      </c>
      <c r="W35" s="78">
        <v>0</v>
      </c>
    </row>
    <row r="36" spans="1:23" x14ac:dyDescent="0.3">
      <c r="A36" s="74">
        <v>32</v>
      </c>
      <c r="B36" s="74" t="s">
        <v>1074</v>
      </c>
      <c r="C36" s="74">
        <v>0</v>
      </c>
      <c r="D36" s="74" t="e">
        <v>#N/A</v>
      </c>
      <c r="E36" s="74" t="e">
        <v>#N/A</v>
      </c>
      <c r="F36" s="74">
        <v>0</v>
      </c>
      <c r="G36" s="74">
        <v>0</v>
      </c>
      <c r="H36" s="314"/>
      <c r="I36" s="111">
        <v>0</v>
      </c>
      <c r="J36" s="111">
        <v>0</v>
      </c>
      <c r="K36" s="112">
        <v>0</v>
      </c>
      <c r="L36" s="112">
        <v>0</v>
      </c>
      <c r="M36" s="112">
        <v>0</v>
      </c>
      <c r="N36" s="112">
        <v>0</v>
      </c>
      <c r="O36" s="111">
        <v>0</v>
      </c>
      <c r="P36" s="314"/>
      <c r="Q36" s="78">
        <v>0</v>
      </c>
      <c r="R36" s="78">
        <v>0</v>
      </c>
      <c r="S36" s="78">
        <v>0</v>
      </c>
      <c r="T36" s="78">
        <v>0</v>
      </c>
      <c r="U36" s="78">
        <v>0</v>
      </c>
      <c r="V36" s="78">
        <v>0</v>
      </c>
      <c r="W36" s="78">
        <v>0</v>
      </c>
    </row>
    <row r="37" spans="1:23" x14ac:dyDescent="0.3">
      <c r="A37" s="74">
        <v>33</v>
      </c>
      <c r="B37" s="74" t="s">
        <v>1075</v>
      </c>
      <c r="C37" s="74">
        <v>0</v>
      </c>
      <c r="D37" s="74" t="e">
        <v>#N/A</v>
      </c>
      <c r="E37" s="74" t="e">
        <v>#N/A</v>
      </c>
      <c r="F37" s="74">
        <v>0</v>
      </c>
      <c r="G37" s="74">
        <v>0</v>
      </c>
      <c r="H37" s="314"/>
      <c r="I37" s="111">
        <v>0</v>
      </c>
      <c r="J37" s="111">
        <v>0</v>
      </c>
      <c r="K37" s="112">
        <v>0</v>
      </c>
      <c r="L37" s="112">
        <v>0</v>
      </c>
      <c r="M37" s="112">
        <v>0</v>
      </c>
      <c r="N37" s="112">
        <v>0</v>
      </c>
      <c r="O37" s="111">
        <v>0</v>
      </c>
      <c r="P37" s="314"/>
      <c r="Q37" s="78">
        <v>0</v>
      </c>
      <c r="R37" s="78">
        <v>0</v>
      </c>
      <c r="S37" s="78">
        <v>0</v>
      </c>
      <c r="T37" s="78">
        <v>0</v>
      </c>
      <c r="U37" s="78">
        <v>0</v>
      </c>
      <c r="V37" s="78">
        <v>0</v>
      </c>
      <c r="W37" s="78">
        <v>0</v>
      </c>
    </row>
    <row r="38" spans="1:23" x14ac:dyDescent="0.3">
      <c r="A38" s="74">
        <v>34</v>
      </c>
      <c r="B38" s="74" t="s">
        <v>1076</v>
      </c>
      <c r="C38" s="74">
        <v>0</v>
      </c>
      <c r="D38" s="74" t="e">
        <v>#N/A</v>
      </c>
      <c r="E38" s="74" t="e">
        <v>#N/A</v>
      </c>
      <c r="F38" s="74">
        <v>0</v>
      </c>
      <c r="G38" s="74">
        <v>0</v>
      </c>
      <c r="H38" s="314"/>
      <c r="I38" s="111">
        <v>0</v>
      </c>
      <c r="J38" s="111">
        <v>0</v>
      </c>
      <c r="K38" s="112">
        <v>0</v>
      </c>
      <c r="L38" s="112">
        <v>0</v>
      </c>
      <c r="M38" s="112">
        <v>0</v>
      </c>
      <c r="N38" s="112">
        <v>0</v>
      </c>
      <c r="O38" s="111">
        <v>0</v>
      </c>
      <c r="P38" s="314"/>
      <c r="Q38" s="78">
        <v>0</v>
      </c>
      <c r="R38" s="78">
        <v>0</v>
      </c>
      <c r="S38" s="78">
        <v>0</v>
      </c>
      <c r="T38" s="78">
        <v>0</v>
      </c>
      <c r="U38" s="78">
        <v>0</v>
      </c>
      <c r="V38" s="78">
        <v>0</v>
      </c>
      <c r="W38" s="78">
        <v>0</v>
      </c>
    </row>
    <row r="39" spans="1:23" x14ac:dyDescent="0.3">
      <c r="A39" s="74">
        <v>35</v>
      </c>
      <c r="B39" s="74" t="s">
        <v>1077</v>
      </c>
      <c r="C39" s="74">
        <v>0</v>
      </c>
      <c r="D39" s="74" t="e">
        <v>#N/A</v>
      </c>
      <c r="E39" s="74" t="e">
        <v>#N/A</v>
      </c>
      <c r="F39" s="74">
        <v>0</v>
      </c>
      <c r="G39" s="74">
        <v>0</v>
      </c>
      <c r="H39" s="314"/>
      <c r="I39" s="111">
        <v>0</v>
      </c>
      <c r="J39" s="111">
        <v>0</v>
      </c>
      <c r="K39" s="112">
        <v>0</v>
      </c>
      <c r="L39" s="112">
        <v>0</v>
      </c>
      <c r="M39" s="112">
        <v>0</v>
      </c>
      <c r="N39" s="112">
        <v>0</v>
      </c>
      <c r="O39" s="111">
        <v>0</v>
      </c>
      <c r="P39" s="314"/>
      <c r="Q39" s="78">
        <v>0</v>
      </c>
      <c r="R39" s="78">
        <v>0</v>
      </c>
      <c r="S39" s="78">
        <v>0</v>
      </c>
      <c r="T39" s="78">
        <v>0</v>
      </c>
      <c r="U39" s="78">
        <v>0</v>
      </c>
      <c r="V39" s="78">
        <v>0</v>
      </c>
      <c r="W39" s="78">
        <v>0</v>
      </c>
    </row>
    <row r="40" spans="1:23" x14ac:dyDescent="0.3">
      <c r="A40" s="74">
        <v>36</v>
      </c>
      <c r="B40" s="74" t="s">
        <v>1078</v>
      </c>
      <c r="C40" s="74">
        <v>0</v>
      </c>
      <c r="D40" s="74" t="e">
        <v>#N/A</v>
      </c>
      <c r="E40" s="74" t="e">
        <v>#N/A</v>
      </c>
      <c r="F40" s="74">
        <v>0</v>
      </c>
      <c r="G40" s="74">
        <v>0</v>
      </c>
      <c r="H40" s="314"/>
      <c r="I40" s="111">
        <v>0</v>
      </c>
      <c r="J40" s="111">
        <v>0</v>
      </c>
      <c r="K40" s="112">
        <v>0</v>
      </c>
      <c r="L40" s="112">
        <v>0</v>
      </c>
      <c r="M40" s="112">
        <v>0</v>
      </c>
      <c r="N40" s="112">
        <v>0</v>
      </c>
      <c r="O40" s="111">
        <v>0</v>
      </c>
      <c r="P40" s="314"/>
      <c r="Q40" s="78">
        <v>0</v>
      </c>
      <c r="R40" s="78">
        <v>0</v>
      </c>
      <c r="S40" s="78">
        <v>0</v>
      </c>
      <c r="T40" s="78">
        <v>0</v>
      </c>
      <c r="U40" s="78">
        <v>0</v>
      </c>
      <c r="V40" s="78">
        <v>0</v>
      </c>
      <c r="W40" s="78">
        <v>0</v>
      </c>
    </row>
    <row r="41" spans="1:23" x14ac:dyDescent="0.3">
      <c r="A41" s="74">
        <v>37</v>
      </c>
      <c r="B41" s="74" t="s">
        <v>1079</v>
      </c>
      <c r="C41" s="74">
        <v>0</v>
      </c>
      <c r="D41" s="74" t="e">
        <v>#N/A</v>
      </c>
      <c r="E41" s="74" t="e">
        <v>#N/A</v>
      </c>
      <c r="F41" s="74">
        <v>0</v>
      </c>
      <c r="G41" s="74">
        <v>0</v>
      </c>
      <c r="H41" s="314"/>
      <c r="I41" s="111">
        <v>0</v>
      </c>
      <c r="J41" s="111">
        <v>0</v>
      </c>
      <c r="K41" s="112">
        <v>0</v>
      </c>
      <c r="L41" s="112">
        <v>0</v>
      </c>
      <c r="M41" s="112">
        <v>0</v>
      </c>
      <c r="N41" s="112">
        <v>0</v>
      </c>
      <c r="O41" s="111">
        <v>0</v>
      </c>
      <c r="P41" s="314"/>
      <c r="Q41" s="78">
        <v>0</v>
      </c>
      <c r="R41" s="78">
        <v>0</v>
      </c>
      <c r="S41" s="78">
        <v>0</v>
      </c>
      <c r="T41" s="78">
        <v>0</v>
      </c>
      <c r="U41" s="78">
        <v>0</v>
      </c>
      <c r="V41" s="78">
        <v>0</v>
      </c>
      <c r="W41" s="78">
        <v>0</v>
      </c>
    </row>
    <row r="42" spans="1:23" x14ac:dyDescent="0.3">
      <c r="A42" s="74">
        <v>38</v>
      </c>
      <c r="B42" s="74" t="s">
        <v>1080</v>
      </c>
      <c r="C42" s="74">
        <v>0</v>
      </c>
      <c r="D42" s="74" t="e">
        <v>#N/A</v>
      </c>
      <c r="E42" s="74" t="e">
        <v>#N/A</v>
      </c>
      <c r="F42" s="74">
        <v>0</v>
      </c>
      <c r="G42" s="74">
        <v>0</v>
      </c>
      <c r="H42" s="314"/>
      <c r="I42" s="111">
        <v>0</v>
      </c>
      <c r="J42" s="111">
        <v>0</v>
      </c>
      <c r="K42" s="112">
        <v>0</v>
      </c>
      <c r="L42" s="112">
        <v>0</v>
      </c>
      <c r="M42" s="112">
        <v>0</v>
      </c>
      <c r="N42" s="112">
        <v>0</v>
      </c>
      <c r="O42" s="111">
        <v>0</v>
      </c>
      <c r="P42" s="314"/>
      <c r="Q42" s="78">
        <v>0</v>
      </c>
      <c r="R42" s="78">
        <v>0</v>
      </c>
      <c r="S42" s="78">
        <v>0</v>
      </c>
      <c r="T42" s="78">
        <v>0</v>
      </c>
      <c r="U42" s="78">
        <v>0</v>
      </c>
      <c r="V42" s="78">
        <v>0</v>
      </c>
      <c r="W42" s="78">
        <v>0</v>
      </c>
    </row>
    <row r="43" spans="1:23" x14ac:dyDescent="0.3">
      <c r="A43" s="74">
        <v>39</v>
      </c>
      <c r="B43" s="74" t="s">
        <v>1081</v>
      </c>
      <c r="C43" s="74">
        <v>0</v>
      </c>
      <c r="D43" s="74" t="e">
        <v>#N/A</v>
      </c>
      <c r="E43" s="74" t="e">
        <v>#N/A</v>
      </c>
      <c r="F43" s="74">
        <v>0</v>
      </c>
      <c r="G43" s="74">
        <v>0</v>
      </c>
      <c r="H43" s="314"/>
      <c r="I43" s="111">
        <v>0</v>
      </c>
      <c r="J43" s="111">
        <v>0</v>
      </c>
      <c r="K43" s="112">
        <v>0</v>
      </c>
      <c r="L43" s="112">
        <v>0</v>
      </c>
      <c r="M43" s="112">
        <v>0</v>
      </c>
      <c r="N43" s="112">
        <v>0</v>
      </c>
      <c r="O43" s="111">
        <v>0</v>
      </c>
      <c r="P43" s="314"/>
      <c r="Q43" s="78">
        <v>0</v>
      </c>
      <c r="R43" s="78">
        <v>0</v>
      </c>
      <c r="S43" s="78">
        <v>0</v>
      </c>
      <c r="T43" s="78">
        <v>0</v>
      </c>
      <c r="U43" s="78">
        <v>0</v>
      </c>
      <c r="V43" s="78">
        <v>0</v>
      </c>
      <c r="W43" s="78">
        <v>0</v>
      </c>
    </row>
    <row r="44" spans="1:23" x14ac:dyDescent="0.3">
      <c r="A44" s="74">
        <v>40</v>
      </c>
      <c r="B44" s="74" t="s">
        <v>1082</v>
      </c>
      <c r="C44" s="74">
        <v>0</v>
      </c>
      <c r="D44" s="74" t="e">
        <v>#N/A</v>
      </c>
      <c r="E44" s="74" t="e">
        <v>#N/A</v>
      </c>
      <c r="F44" s="74">
        <v>0</v>
      </c>
      <c r="G44" s="74">
        <v>0</v>
      </c>
      <c r="H44" s="314"/>
      <c r="I44" s="111">
        <v>0</v>
      </c>
      <c r="J44" s="111">
        <v>0</v>
      </c>
      <c r="K44" s="112">
        <v>0</v>
      </c>
      <c r="L44" s="112">
        <v>0</v>
      </c>
      <c r="M44" s="112">
        <v>0</v>
      </c>
      <c r="N44" s="112">
        <v>0</v>
      </c>
      <c r="O44" s="111">
        <v>0</v>
      </c>
      <c r="P44" s="314"/>
      <c r="Q44" s="78">
        <v>0</v>
      </c>
      <c r="R44" s="78">
        <v>0</v>
      </c>
      <c r="S44" s="78">
        <v>0</v>
      </c>
      <c r="T44" s="78">
        <v>0</v>
      </c>
      <c r="U44" s="78">
        <v>0</v>
      </c>
      <c r="V44" s="78">
        <v>0</v>
      </c>
      <c r="W44" s="78">
        <v>0</v>
      </c>
    </row>
    <row r="45" spans="1:23" x14ac:dyDescent="0.3">
      <c r="A45" s="74">
        <v>41</v>
      </c>
      <c r="B45" s="74" t="s">
        <v>1083</v>
      </c>
      <c r="C45" s="74">
        <v>0</v>
      </c>
      <c r="D45" s="74" t="e">
        <v>#N/A</v>
      </c>
      <c r="E45" s="74" t="e">
        <v>#N/A</v>
      </c>
      <c r="F45" s="74">
        <v>0</v>
      </c>
      <c r="G45" s="74">
        <v>0</v>
      </c>
      <c r="H45" s="314"/>
      <c r="I45" s="111">
        <v>0</v>
      </c>
      <c r="J45" s="111">
        <v>0</v>
      </c>
      <c r="K45" s="112">
        <v>0</v>
      </c>
      <c r="L45" s="112">
        <v>0</v>
      </c>
      <c r="M45" s="112">
        <v>0</v>
      </c>
      <c r="N45" s="112">
        <v>0</v>
      </c>
      <c r="O45" s="111">
        <v>0</v>
      </c>
      <c r="P45" s="314"/>
      <c r="Q45" s="78">
        <v>0</v>
      </c>
      <c r="R45" s="78">
        <v>0</v>
      </c>
      <c r="S45" s="78">
        <v>0</v>
      </c>
      <c r="T45" s="78">
        <v>0</v>
      </c>
      <c r="U45" s="78">
        <v>0</v>
      </c>
      <c r="V45" s="78">
        <v>0</v>
      </c>
      <c r="W45" s="78">
        <v>0</v>
      </c>
    </row>
    <row r="46" spans="1:23" x14ac:dyDescent="0.3">
      <c r="A46" s="74">
        <v>42</v>
      </c>
      <c r="B46" s="74" t="s">
        <v>1084</v>
      </c>
      <c r="C46" s="74">
        <v>0</v>
      </c>
      <c r="D46" s="74" t="e">
        <v>#N/A</v>
      </c>
      <c r="E46" s="74" t="e">
        <v>#N/A</v>
      </c>
      <c r="F46" s="74">
        <v>0</v>
      </c>
      <c r="G46" s="74">
        <v>0</v>
      </c>
      <c r="H46" s="314"/>
      <c r="I46" s="111">
        <v>0</v>
      </c>
      <c r="J46" s="111">
        <v>0</v>
      </c>
      <c r="K46" s="112">
        <v>0</v>
      </c>
      <c r="L46" s="112">
        <v>0</v>
      </c>
      <c r="M46" s="112">
        <v>0</v>
      </c>
      <c r="N46" s="112">
        <v>0</v>
      </c>
      <c r="O46" s="111">
        <v>0</v>
      </c>
      <c r="P46" s="314"/>
      <c r="Q46" s="78">
        <v>0</v>
      </c>
      <c r="R46" s="78">
        <v>0</v>
      </c>
      <c r="S46" s="78">
        <v>0</v>
      </c>
      <c r="T46" s="78">
        <v>0</v>
      </c>
      <c r="U46" s="78">
        <v>0</v>
      </c>
      <c r="V46" s="78">
        <v>0</v>
      </c>
      <c r="W46" s="78">
        <v>0</v>
      </c>
    </row>
    <row r="47" spans="1:23" x14ac:dyDescent="0.3">
      <c r="A47" s="74">
        <v>43</v>
      </c>
      <c r="B47" s="74" t="s">
        <v>1085</v>
      </c>
      <c r="C47" s="74">
        <v>0</v>
      </c>
      <c r="D47" s="74" t="e">
        <v>#N/A</v>
      </c>
      <c r="E47" s="74" t="e">
        <v>#N/A</v>
      </c>
      <c r="F47" s="74">
        <v>0</v>
      </c>
      <c r="G47" s="74">
        <v>0</v>
      </c>
      <c r="H47" s="314"/>
      <c r="I47" s="111">
        <v>0</v>
      </c>
      <c r="J47" s="111">
        <v>0</v>
      </c>
      <c r="K47" s="112">
        <v>0</v>
      </c>
      <c r="L47" s="112">
        <v>0</v>
      </c>
      <c r="M47" s="112">
        <v>0</v>
      </c>
      <c r="N47" s="112">
        <v>0</v>
      </c>
      <c r="O47" s="111">
        <v>0</v>
      </c>
      <c r="P47" s="314"/>
      <c r="Q47" s="78">
        <v>0</v>
      </c>
      <c r="R47" s="78">
        <v>0</v>
      </c>
      <c r="S47" s="78">
        <v>0</v>
      </c>
      <c r="T47" s="78">
        <v>0</v>
      </c>
      <c r="U47" s="78">
        <v>0</v>
      </c>
      <c r="V47" s="78">
        <v>0</v>
      </c>
      <c r="W47" s="78">
        <v>0</v>
      </c>
    </row>
    <row r="48" spans="1:23" x14ac:dyDescent="0.3">
      <c r="A48" s="74">
        <v>44</v>
      </c>
      <c r="B48" s="74" t="s">
        <v>1086</v>
      </c>
      <c r="C48" s="74">
        <v>0</v>
      </c>
      <c r="D48" s="74" t="e">
        <v>#N/A</v>
      </c>
      <c r="E48" s="74" t="e">
        <v>#N/A</v>
      </c>
      <c r="F48" s="74">
        <v>0</v>
      </c>
      <c r="G48" s="74">
        <v>0</v>
      </c>
      <c r="H48" s="314"/>
      <c r="I48" s="111">
        <v>0</v>
      </c>
      <c r="J48" s="111">
        <v>0</v>
      </c>
      <c r="K48" s="112">
        <v>0</v>
      </c>
      <c r="L48" s="112">
        <v>0</v>
      </c>
      <c r="M48" s="112">
        <v>0</v>
      </c>
      <c r="N48" s="112">
        <v>0</v>
      </c>
      <c r="O48" s="111">
        <v>0</v>
      </c>
      <c r="P48" s="314"/>
      <c r="Q48" s="78">
        <v>0</v>
      </c>
      <c r="R48" s="78">
        <v>0</v>
      </c>
      <c r="S48" s="78">
        <v>0</v>
      </c>
      <c r="T48" s="78">
        <v>0</v>
      </c>
      <c r="U48" s="78">
        <v>0</v>
      </c>
      <c r="V48" s="78">
        <v>0</v>
      </c>
      <c r="W48" s="78">
        <v>0</v>
      </c>
    </row>
    <row r="49" spans="1:23" x14ac:dyDescent="0.3">
      <c r="A49" s="74">
        <v>45</v>
      </c>
      <c r="B49" s="74" t="s">
        <v>1087</v>
      </c>
      <c r="C49" s="74">
        <v>0</v>
      </c>
      <c r="D49" s="74" t="e">
        <v>#N/A</v>
      </c>
      <c r="E49" s="74" t="e">
        <v>#N/A</v>
      </c>
      <c r="F49" s="74">
        <v>0</v>
      </c>
      <c r="G49" s="74">
        <v>0</v>
      </c>
      <c r="H49" s="314"/>
      <c r="I49" s="111">
        <v>0</v>
      </c>
      <c r="J49" s="111">
        <v>0</v>
      </c>
      <c r="K49" s="112">
        <v>0</v>
      </c>
      <c r="L49" s="112">
        <v>0</v>
      </c>
      <c r="M49" s="112">
        <v>0</v>
      </c>
      <c r="N49" s="112">
        <v>0</v>
      </c>
      <c r="O49" s="111">
        <v>0</v>
      </c>
      <c r="P49" s="314"/>
      <c r="Q49" s="78">
        <v>0</v>
      </c>
      <c r="R49" s="78">
        <v>0</v>
      </c>
      <c r="S49" s="78">
        <v>0</v>
      </c>
      <c r="T49" s="78">
        <v>0</v>
      </c>
      <c r="U49" s="78">
        <v>0</v>
      </c>
      <c r="V49" s="78">
        <v>0</v>
      </c>
      <c r="W49" s="78">
        <v>0</v>
      </c>
    </row>
    <row r="50" spans="1:23" x14ac:dyDescent="0.3">
      <c r="A50" s="74">
        <v>46</v>
      </c>
      <c r="B50" s="74" t="s">
        <v>1088</v>
      </c>
      <c r="C50" s="74">
        <v>0</v>
      </c>
      <c r="D50" s="74" t="e">
        <v>#N/A</v>
      </c>
      <c r="E50" s="74" t="e">
        <v>#N/A</v>
      </c>
      <c r="F50" s="74">
        <v>0</v>
      </c>
      <c r="G50" s="74">
        <v>0</v>
      </c>
      <c r="H50" s="314"/>
      <c r="I50" s="111">
        <v>0</v>
      </c>
      <c r="J50" s="111">
        <v>0</v>
      </c>
      <c r="K50" s="112">
        <v>0</v>
      </c>
      <c r="L50" s="112">
        <v>0</v>
      </c>
      <c r="M50" s="112">
        <v>0</v>
      </c>
      <c r="N50" s="112">
        <v>0</v>
      </c>
      <c r="O50" s="111">
        <v>0</v>
      </c>
      <c r="P50" s="314"/>
      <c r="Q50" s="78">
        <v>0</v>
      </c>
      <c r="R50" s="78">
        <v>0</v>
      </c>
      <c r="S50" s="78">
        <v>0</v>
      </c>
      <c r="T50" s="78">
        <v>0</v>
      </c>
      <c r="U50" s="78">
        <v>0</v>
      </c>
      <c r="V50" s="78">
        <v>0</v>
      </c>
      <c r="W50" s="78">
        <v>0</v>
      </c>
    </row>
    <row r="51" spans="1:23" x14ac:dyDescent="0.3">
      <c r="A51" s="74">
        <v>47</v>
      </c>
      <c r="B51" s="74" t="s">
        <v>1089</v>
      </c>
      <c r="C51" s="74">
        <v>0</v>
      </c>
      <c r="D51" s="74" t="e">
        <v>#N/A</v>
      </c>
      <c r="E51" s="74" t="e">
        <v>#N/A</v>
      </c>
      <c r="F51" s="74">
        <v>0</v>
      </c>
      <c r="G51" s="74">
        <v>0</v>
      </c>
      <c r="H51" s="314"/>
      <c r="I51" s="111">
        <v>0</v>
      </c>
      <c r="J51" s="111">
        <v>0</v>
      </c>
      <c r="K51" s="112">
        <v>0</v>
      </c>
      <c r="L51" s="112">
        <v>0</v>
      </c>
      <c r="M51" s="112">
        <v>0</v>
      </c>
      <c r="N51" s="112">
        <v>0</v>
      </c>
      <c r="O51" s="111">
        <v>0</v>
      </c>
      <c r="P51" s="314"/>
      <c r="Q51" s="78">
        <v>0</v>
      </c>
      <c r="R51" s="78">
        <v>0</v>
      </c>
      <c r="S51" s="78">
        <v>0</v>
      </c>
      <c r="T51" s="78">
        <v>0</v>
      </c>
      <c r="U51" s="78">
        <v>0</v>
      </c>
      <c r="V51" s="78">
        <v>0</v>
      </c>
      <c r="W51" s="78">
        <v>0</v>
      </c>
    </row>
    <row r="52" spans="1:23" x14ac:dyDescent="0.3">
      <c r="A52" s="74">
        <v>48</v>
      </c>
      <c r="B52" s="74" t="s">
        <v>1090</v>
      </c>
      <c r="C52" s="74">
        <v>0</v>
      </c>
      <c r="D52" s="74" t="e">
        <v>#N/A</v>
      </c>
      <c r="E52" s="74" t="e">
        <v>#N/A</v>
      </c>
      <c r="F52" s="74">
        <v>0</v>
      </c>
      <c r="G52" s="74">
        <v>0</v>
      </c>
      <c r="H52" s="314"/>
      <c r="I52" s="111">
        <v>0</v>
      </c>
      <c r="J52" s="111">
        <v>0</v>
      </c>
      <c r="K52" s="112">
        <v>0</v>
      </c>
      <c r="L52" s="112">
        <v>0</v>
      </c>
      <c r="M52" s="112">
        <v>0</v>
      </c>
      <c r="N52" s="112">
        <v>0</v>
      </c>
      <c r="O52" s="111">
        <v>0</v>
      </c>
      <c r="P52" s="314"/>
      <c r="Q52" s="78">
        <v>0</v>
      </c>
      <c r="R52" s="78">
        <v>0</v>
      </c>
      <c r="S52" s="78">
        <v>0</v>
      </c>
      <c r="T52" s="78">
        <v>0</v>
      </c>
      <c r="U52" s="78">
        <v>0</v>
      </c>
      <c r="V52" s="78">
        <v>0</v>
      </c>
      <c r="W52" s="78">
        <v>0</v>
      </c>
    </row>
    <row r="53" spans="1:23" x14ac:dyDescent="0.3">
      <c r="A53" s="74">
        <v>49</v>
      </c>
      <c r="B53" s="74" t="s">
        <v>1091</v>
      </c>
      <c r="C53" s="74">
        <v>0</v>
      </c>
      <c r="D53" s="74" t="e">
        <v>#N/A</v>
      </c>
      <c r="E53" s="74" t="e">
        <v>#N/A</v>
      </c>
      <c r="F53" s="74">
        <v>0</v>
      </c>
      <c r="G53" s="74">
        <v>0</v>
      </c>
      <c r="H53" s="314"/>
      <c r="I53" s="111">
        <v>0</v>
      </c>
      <c r="J53" s="111">
        <v>0</v>
      </c>
      <c r="K53" s="112">
        <v>0</v>
      </c>
      <c r="L53" s="112">
        <v>0</v>
      </c>
      <c r="M53" s="112">
        <v>0</v>
      </c>
      <c r="N53" s="112">
        <v>0</v>
      </c>
      <c r="O53" s="111">
        <v>0</v>
      </c>
      <c r="P53" s="314"/>
      <c r="Q53" s="78">
        <v>0</v>
      </c>
      <c r="R53" s="78">
        <v>0</v>
      </c>
      <c r="S53" s="78">
        <v>0</v>
      </c>
      <c r="T53" s="78">
        <v>0</v>
      </c>
      <c r="U53" s="78">
        <v>0</v>
      </c>
      <c r="V53" s="78">
        <v>0</v>
      </c>
      <c r="W53" s="78">
        <v>0</v>
      </c>
    </row>
    <row r="54" spans="1:23" x14ac:dyDescent="0.3">
      <c r="A54" s="74">
        <v>50</v>
      </c>
      <c r="B54" s="74" t="s">
        <v>1092</v>
      </c>
      <c r="C54" s="74">
        <v>0</v>
      </c>
      <c r="D54" s="74" t="e">
        <v>#N/A</v>
      </c>
      <c r="E54" s="74" t="e">
        <v>#N/A</v>
      </c>
      <c r="F54" s="74">
        <v>0</v>
      </c>
      <c r="G54" s="74">
        <v>0</v>
      </c>
      <c r="H54" s="314"/>
      <c r="I54" s="111">
        <v>0</v>
      </c>
      <c r="J54" s="111">
        <v>0</v>
      </c>
      <c r="K54" s="112">
        <v>0</v>
      </c>
      <c r="L54" s="112">
        <v>0</v>
      </c>
      <c r="M54" s="112">
        <v>0</v>
      </c>
      <c r="N54" s="112">
        <v>0</v>
      </c>
      <c r="O54" s="111">
        <v>0</v>
      </c>
      <c r="P54" s="314"/>
      <c r="Q54" s="78">
        <v>0</v>
      </c>
      <c r="R54" s="78">
        <v>0</v>
      </c>
      <c r="S54" s="78">
        <v>0</v>
      </c>
      <c r="T54" s="78">
        <v>0</v>
      </c>
      <c r="U54" s="78">
        <v>0</v>
      </c>
      <c r="V54" s="78">
        <v>0</v>
      </c>
      <c r="W54" s="78">
        <v>0</v>
      </c>
    </row>
  </sheetData>
  <mergeCells count="10">
    <mergeCell ref="W3:W4"/>
    <mergeCell ref="H5:H54"/>
    <mergeCell ref="P5:P54"/>
    <mergeCell ref="A3:E3"/>
    <mergeCell ref="F3:F4"/>
    <mergeCell ref="H3:H4"/>
    <mergeCell ref="J3:O3"/>
    <mergeCell ref="Q3:V3"/>
    <mergeCell ref="P3:P4"/>
    <mergeCell ref="I3:I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theme="0" tint="-0.14999847407452621"/>
  </sheetPr>
  <dimension ref="A1:O78"/>
  <sheetViews>
    <sheetView topLeftCell="A18" workbookViewId="0">
      <selection activeCell="C29" sqref="C29"/>
    </sheetView>
  </sheetViews>
  <sheetFormatPr defaultRowHeight="14.4" x14ac:dyDescent="0.3"/>
  <cols>
    <col min="2" max="2" width="19.6640625" bestFit="1" customWidth="1"/>
    <col min="3" max="3" width="12.33203125" bestFit="1" customWidth="1"/>
    <col min="4" max="4" width="6.33203125" bestFit="1" customWidth="1"/>
    <col min="5" max="5" width="11.6640625" bestFit="1" customWidth="1"/>
    <col min="6" max="6" width="4.6640625" bestFit="1" customWidth="1"/>
    <col min="8" max="8" width="18.6640625" bestFit="1" customWidth="1"/>
    <col min="9" max="9" width="155.6640625" bestFit="1" customWidth="1"/>
  </cols>
  <sheetData>
    <row r="1" spans="1:15" ht="21" x14ac:dyDescent="0.4">
      <c r="A1" s="75" t="s">
        <v>1103</v>
      </c>
    </row>
    <row r="2" spans="1:15" x14ac:dyDescent="0.3">
      <c r="I2">
        <v>0</v>
      </c>
      <c r="J2">
        <v>0</v>
      </c>
      <c r="K2">
        <v>0</v>
      </c>
      <c r="L2">
        <v>0</v>
      </c>
      <c r="M2">
        <v>0</v>
      </c>
      <c r="N2">
        <v>0</v>
      </c>
      <c r="O2">
        <v>0</v>
      </c>
    </row>
    <row r="3" spans="1:15" x14ac:dyDescent="0.3">
      <c r="A3" s="76" t="s">
        <v>1104</v>
      </c>
      <c r="B3" s="76" t="s">
        <v>1105</v>
      </c>
      <c r="C3" s="76" t="s">
        <v>1106</v>
      </c>
      <c r="D3" s="76" t="s">
        <v>28</v>
      </c>
      <c r="E3" s="76" t="s">
        <v>1107</v>
      </c>
      <c r="F3" s="76" t="s">
        <v>1108</v>
      </c>
      <c r="G3" s="76">
        <v>0</v>
      </c>
      <c r="H3" s="76" t="s">
        <v>1109</v>
      </c>
      <c r="I3" s="76" t="s">
        <v>1108</v>
      </c>
      <c r="J3">
        <v>0</v>
      </c>
      <c r="K3">
        <v>0</v>
      </c>
      <c r="L3">
        <v>0</v>
      </c>
      <c r="M3">
        <v>0</v>
      </c>
      <c r="N3">
        <v>0</v>
      </c>
      <c r="O3">
        <v>0</v>
      </c>
    </row>
    <row r="4" spans="1:15" x14ac:dyDescent="0.3">
      <c r="A4" s="76">
        <v>1</v>
      </c>
      <c r="B4" s="72" t="s">
        <v>1110</v>
      </c>
      <c r="C4" s="72">
        <v>7</v>
      </c>
      <c r="D4" s="72" t="s">
        <v>1111</v>
      </c>
      <c r="E4" s="72" t="s">
        <v>71</v>
      </c>
      <c r="F4" s="72">
        <v>1</v>
      </c>
      <c r="G4" s="72">
        <v>1</v>
      </c>
      <c r="H4" s="72">
        <v>1</v>
      </c>
      <c r="I4" s="72" t="s">
        <v>1182</v>
      </c>
      <c r="J4">
        <v>0</v>
      </c>
      <c r="K4">
        <v>0</v>
      </c>
      <c r="L4">
        <v>0</v>
      </c>
      <c r="M4">
        <v>0</v>
      </c>
      <c r="N4">
        <v>0</v>
      </c>
      <c r="O4">
        <v>0</v>
      </c>
    </row>
    <row r="5" spans="1:15" x14ac:dyDescent="0.3">
      <c r="A5" s="76">
        <v>2</v>
      </c>
      <c r="B5" s="72" t="s">
        <v>1112</v>
      </c>
      <c r="C5" s="72">
        <v>23</v>
      </c>
      <c r="D5" s="72" t="s">
        <v>1111</v>
      </c>
      <c r="E5" s="72" t="s">
        <v>71</v>
      </c>
      <c r="F5" s="72">
        <v>1</v>
      </c>
      <c r="G5" s="72">
        <v>2</v>
      </c>
      <c r="H5" s="72">
        <v>2</v>
      </c>
      <c r="I5" s="72" t="s">
        <v>1183</v>
      </c>
      <c r="J5">
        <v>0</v>
      </c>
      <c r="K5">
        <v>0</v>
      </c>
      <c r="L5">
        <v>0</v>
      </c>
      <c r="M5">
        <v>0</v>
      </c>
      <c r="N5">
        <v>0</v>
      </c>
      <c r="O5">
        <v>0</v>
      </c>
    </row>
    <row r="6" spans="1:15" x14ac:dyDescent="0.3">
      <c r="A6" s="76">
        <v>3</v>
      </c>
      <c r="B6" s="72" t="s">
        <v>1113</v>
      </c>
      <c r="C6" s="72">
        <v>20</v>
      </c>
      <c r="D6" s="72" t="s">
        <v>1111</v>
      </c>
      <c r="E6" s="72" t="s">
        <v>71</v>
      </c>
      <c r="F6" s="72">
        <v>1</v>
      </c>
      <c r="G6" s="72">
        <v>3</v>
      </c>
      <c r="H6" s="72">
        <v>3</v>
      </c>
      <c r="I6" s="72" t="s">
        <v>1184</v>
      </c>
      <c r="J6">
        <v>0</v>
      </c>
      <c r="K6">
        <v>0</v>
      </c>
      <c r="L6">
        <v>0</v>
      </c>
      <c r="M6">
        <v>0</v>
      </c>
      <c r="N6">
        <v>0</v>
      </c>
      <c r="O6">
        <v>0</v>
      </c>
    </row>
    <row r="7" spans="1:15" x14ac:dyDescent="0.3">
      <c r="A7" s="76">
        <v>4</v>
      </c>
      <c r="B7" s="72" t="s">
        <v>1114</v>
      </c>
      <c r="C7" s="72">
        <v>2</v>
      </c>
      <c r="D7" s="72" t="s">
        <v>1111</v>
      </c>
      <c r="E7" s="72" t="s">
        <v>71</v>
      </c>
      <c r="F7" s="72">
        <v>1</v>
      </c>
      <c r="G7" s="72">
        <v>4</v>
      </c>
      <c r="H7" s="72">
        <v>4</v>
      </c>
      <c r="I7" s="72" t="s">
        <v>1185</v>
      </c>
      <c r="J7">
        <v>0</v>
      </c>
      <c r="K7">
        <v>0</v>
      </c>
      <c r="L7">
        <v>0</v>
      </c>
      <c r="M7">
        <v>0</v>
      </c>
      <c r="N7">
        <v>0</v>
      </c>
      <c r="O7">
        <v>0</v>
      </c>
    </row>
    <row r="8" spans="1:15" x14ac:dyDescent="0.3">
      <c r="A8" s="76">
        <v>5</v>
      </c>
      <c r="B8" s="72" t="s">
        <v>1115</v>
      </c>
      <c r="C8" s="72">
        <v>4</v>
      </c>
      <c r="D8" s="72" t="s">
        <v>1111</v>
      </c>
      <c r="E8" s="72" t="s">
        <v>71</v>
      </c>
      <c r="F8" s="72">
        <v>1</v>
      </c>
      <c r="G8" s="72">
        <v>5</v>
      </c>
      <c r="H8" s="72">
        <v>5</v>
      </c>
      <c r="I8" s="72">
        <v>0</v>
      </c>
      <c r="J8">
        <v>0</v>
      </c>
      <c r="K8">
        <v>0</v>
      </c>
      <c r="L8">
        <v>0</v>
      </c>
      <c r="M8">
        <v>0</v>
      </c>
      <c r="N8">
        <v>0</v>
      </c>
      <c r="O8">
        <v>0</v>
      </c>
    </row>
    <row r="9" spans="1:15" x14ac:dyDescent="0.3">
      <c r="A9" s="76">
        <v>6</v>
      </c>
      <c r="B9" s="72" t="s">
        <v>1116</v>
      </c>
      <c r="C9" s="72">
        <v>6</v>
      </c>
      <c r="D9" s="72" t="s">
        <v>1111</v>
      </c>
      <c r="E9" s="72" t="s">
        <v>71</v>
      </c>
      <c r="F9" s="72">
        <v>1</v>
      </c>
      <c r="G9" s="72">
        <v>6</v>
      </c>
      <c r="H9" s="72">
        <v>6</v>
      </c>
      <c r="I9" s="72">
        <v>0</v>
      </c>
      <c r="J9">
        <v>0</v>
      </c>
      <c r="K9">
        <v>0</v>
      </c>
      <c r="L9">
        <v>0</v>
      </c>
      <c r="M9">
        <v>0</v>
      </c>
      <c r="N9">
        <v>0</v>
      </c>
      <c r="O9">
        <v>0</v>
      </c>
    </row>
    <row r="10" spans="1:15" x14ac:dyDescent="0.3">
      <c r="A10" s="76">
        <v>7</v>
      </c>
      <c r="B10" s="72" t="s">
        <v>1117</v>
      </c>
      <c r="C10" s="72">
        <v>2</v>
      </c>
      <c r="D10" s="72" t="s">
        <v>1111</v>
      </c>
      <c r="E10" s="72" t="s">
        <v>71</v>
      </c>
      <c r="F10" s="72">
        <v>1</v>
      </c>
      <c r="G10" s="72">
        <v>7</v>
      </c>
      <c r="H10" s="72">
        <v>7</v>
      </c>
      <c r="I10" s="72">
        <v>0</v>
      </c>
      <c r="J10">
        <v>0</v>
      </c>
      <c r="K10">
        <v>0</v>
      </c>
      <c r="L10">
        <v>0</v>
      </c>
      <c r="M10">
        <v>0</v>
      </c>
      <c r="N10">
        <v>0</v>
      </c>
      <c r="O10">
        <v>0</v>
      </c>
    </row>
    <row r="11" spans="1:15" x14ac:dyDescent="0.3">
      <c r="A11" s="76">
        <v>8</v>
      </c>
      <c r="B11" s="72" t="s">
        <v>1118</v>
      </c>
      <c r="C11" s="72">
        <v>3</v>
      </c>
      <c r="D11" s="72" t="s">
        <v>1111</v>
      </c>
      <c r="E11" s="72" t="s">
        <v>71</v>
      </c>
      <c r="F11" s="72">
        <v>1</v>
      </c>
      <c r="G11" s="72">
        <v>8</v>
      </c>
      <c r="H11" s="72">
        <v>8</v>
      </c>
      <c r="I11" s="72">
        <v>0</v>
      </c>
      <c r="J11">
        <v>0</v>
      </c>
      <c r="K11">
        <v>0</v>
      </c>
      <c r="L11">
        <v>0</v>
      </c>
      <c r="M11">
        <v>0</v>
      </c>
      <c r="N11">
        <v>0</v>
      </c>
      <c r="O11">
        <v>0</v>
      </c>
    </row>
    <row r="12" spans="1:15" x14ac:dyDescent="0.3">
      <c r="A12" s="76">
        <v>9</v>
      </c>
      <c r="B12" s="72" t="s">
        <v>1119</v>
      </c>
      <c r="C12" s="72">
        <v>8</v>
      </c>
      <c r="D12" s="72" t="s">
        <v>1111</v>
      </c>
      <c r="E12" s="72" t="s">
        <v>71</v>
      </c>
      <c r="F12" s="72">
        <v>2</v>
      </c>
      <c r="G12" s="72">
        <v>9</v>
      </c>
      <c r="H12" s="72">
        <v>9</v>
      </c>
      <c r="I12" s="72">
        <v>0</v>
      </c>
      <c r="J12">
        <v>0</v>
      </c>
      <c r="K12">
        <v>0</v>
      </c>
      <c r="L12">
        <v>0</v>
      </c>
      <c r="M12">
        <v>0</v>
      </c>
      <c r="N12">
        <v>0</v>
      </c>
      <c r="O12">
        <v>0</v>
      </c>
    </row>
    <row r="13" spans="1:15" x14ac:dyDescent="0.3">
      <c r="A13" s="76">
        <v>10</v>
      </c>
      <c r="B13" s="72" t="s">
        <v>1120</v>
      </c>
      <c r="C13" s="72">
        <v>2</v>
      </c>
      <c r="D13" s="72" t="s">
        <v>1111</v>
      </c>
      <c r="E13" s="72" t="s">
        <v>72</v>
      </c>
      <c r="F13" s="72">
        <v>1</v>
      </c>
      <c r="G13" s="72">
        <v>10</v>
      </c>
      <c r="H13" s="72">
        <v>10</v>
      </c>
      <c r="I13" s="72">
        <v>0</v>
      </c>
      <c r="J13">
        <v>0</v>
      </c>
      <c r="K13">
        <v>0</v>
      </c>
      <c r="L13">
        <v>0</v>
      </c>
      <c r="M13">
        <v>0</v>
      </c>
      <c r="N13">
        <v>0</v>
      </c>
      <c r="O13">
        <v>0</v>
      </c>
    </row>
    <row r="14" spans="1:15" x14ac:dyDescent="0.3">
      <c r="A14" s="76">
        <v>11</v>
      </c>
      <c r="B14" s="72" t="s">
        <v>1121</v>
      </c>
      <c r="C14" s="72">
        <v>3</v>
      </c>
      <c r="D14" s="72" t="s">
        <v>1111</v>
      </c>
      <c r="E14" s="72" t="s">
        <v>71</v>
      </c>
      <c r="F14" s="72">
        <v>1</v>
      </c>
      <c r="G14" s="72">
        <v>11</v>
      </c>
      <c r="H14" s="72">
        <v>0</v>
      </c>
      <c r="I14" s="72">
        <v>0</v>
      </c>
      <c r="J14">
        <v>0</v>
      </c>
      <c r="K14">
        <v>0</v>
      </c>
      <c r="L14">
        <v>0</v>
      </c>
      <c r="M14">
        <v>0</v>
      </c>
      <c r="N14">
        <v>0</v>
      </c>
      <c r="O14">
        <v>0</v>
      </c>
    </row>
    <row r="15" spans="1:15" x14ac:dyDescent="0.3">
      <c r="A15" s="76">
        <v>12</v>
      </c>
      <c r="B15" s="72" t="s">
        <v>1122</v>
      </c>
      <c r="C15" s="72">
        <v>2</v>
      </c>
      <c r="D15" s="72" t="s">
        <v>1111</v>
      </c>
      <c r="E15" s="72" t="s">
        <v>71</v>
      </c>
      <c r="F15" s="72">
        <v>1</v>
      </c>
      <c r="G15" s="72">
        <v>12</v>
      </c>
      <c r="H15" s="72" t="s">
        <v>1123</v>
      </c>
      <c r="I15" s="72">
        <v>0</v>
      </c>
      <c r="J15">
        <v>0</v>
      </c>
      <c r="K15">
        <v>0</v>
      </c>
      <c r="L15">
        <v>0</v>
      </c>
      <c r="M15">
        <v>0</v>
      </c>
      <c r="N15">
        <v>0</v>
      </c>
      <c r="O15">
        <v>0</v>
      </c>
    </row>
    <row r="16" spans="1:15" x14ac:dyDescent="0.3">
      <c r="A16" s="76">
        <v>13</v>
      </c>
      <c r="B16" s="72" t="s">
        <v>1124</v>
      </c>
      <c r="C16" s="72">
        <v>1.5</v>
      </c>
      <c r="D16" s="72" t="s">
        <v>1111</v>
      </c>
      <c r="E16" s="72" t="s">
        <v>72</v>
      </c>
      <c r="F16" s="72">
        <v>1</v>
      </c>
      <c r="G16" s="72">
        <v>13</v>
      </c>
      <c r="H16" s="72">
        <v>0</v>
      </c>
      <c r="I16" s="72">
        <v>0</v>
      </c>
      <c r="J16">
        <v>0</v>
      </c>
      <c r="K16">
        <v>0</v>
      </c>
      <c r="L16">
        <v>0</v>
      </c>
      <c r="M16">
        <v>0</v>
      </c>
      <c r="N16">
        <v>0</v>
      </c>
      <c r="O16">
        <v>0</v>
      </c>
    </row>
    <row r="17" spans="1:15" x14ac:dyDescent="0.3">
      <c r="A17" s="76">
        <v>14</v>
      </c>
      <c r="B17" s="72" t="s">
        <v>1125</v>
      </c>
      <c r="C17" s="72">
        <v>14</v>
      </c>
      <c r="D17" s="72" t="s">
        <v>1111</v>
      </c>
      <c r="E17" s="72" t="s">
        <v>72</v>
      </c>
      <c r="F17" s="72">
        <v>1</v>
      </c>
      <c r="G17" s="72">
        <v>14</v>
      </c>
      <c r="H17" s="72" t="s">
        <v>1126</v>
      </c>
      <c r="I17" s="72" t="s">
        <v>30</v>
      </c>
      <c r="J17" t="s">
        <v>1186</v>
      </c>
      <c r="K17" t="s">
        <v>1187</v>
      </c>
      <c r="L17" t="s">
        <v>1188</v>
      </c>
      <c r="M17" t="s">
        <v>1189</v>
      </c>
      <c r="N17" t="s">
        <v>1190</v>
      </c>
      <c r="O17" t="s">
        <v>1191</v>
      </c>
    </row>
    <row r="18" spans="1:15" x14ac:dyDescent="0.3">
      <c r="A18" s="76">
        <v>15</v>
      </c>
      <c r="B18" s="72" t="s">
        <v>1127</v>
      </c>
      <c r="C18" s="72">
        <v>17</v>
      </c>
      <c r="D18" s="72" t="s">
        <v>1111</v>
      </c>
      <c r="E18" s="72" t="s">
        <v>71</v>
      </c>
      <c r="F18" s="72">
        <v>1</v>
      </c>
      <c r="G18" s="72">
        <v>15</v>
      </c>
      <c r="H18" s="72">
        <v>1</v>
      </c>
      <c r="I18" s="72" t="s">
        <v>1192</v>
      </c>
      <c r="J18">
        <v>0.9</v>
      </c>
      <c r="K18">
        <v>0.9</v>
      </c>
      <c r="L18">
        <v>0.9</v>
      </c>
      <c r="M18">
        <v>1</v>
      </c>
      <c r="N18">
        <v>1.1000000000000001</v>
      </c>
      <c r="O18">
        <v>1.1000000000000001</v>
      </c>
    </row>
    <row r="19" spans="1:15" x14ac:dyDescent="0.3">
      <c r="A19" s="76">
        <v>16</v>
      </c>
      <c r="B19" s="72" t="s">
        <v>1128</v>
      </c>
      <c r="C19" s="72">
        <v>10</v>
      </c>
      <c r="D19" s="72" t="s">
        <v>1111</v>
      </c>
      <c r="E19" s="72" t="s">
        <v>72</v>
      </c>
      <c r="F19" s="72">
        <v>1</v>
      </c>
      <c r="G19" s="72">
        <v>16</v>
      </c>
      <c r="H19" s="72">
        <v>2</v>
      </c>
      <c r="I19" s="72" t="s">
        <v>1193</v>
      </c>
      <c r="J19">
        <v>1.0069999999999999</v>
      </c>
      <c r="K19">
        <v>1.0069999999999999</v>
      </c>
      <c r="L19">
        <v>1.0069999999999999</v>
      </c>
      <c r="M19">
        <v>1.0069999999999999</v>
      </c>
      <c r="N19">
        <v>1.0069999999999999</v>
      </c>
      <c r="O19">
        <v>1.0069999999999999</v>
      </c>
    </row>
    <row r="20" spans="1:15" x14ac:dyDescent="0.3">
      <c r="A20" s="76">
        <v>17</v>
      </c>
      <c r="B20" s="72" t="s">
        <v>1129</v>
      </c>
      <c r="C20" s="72">
        <v>5</v>
      </c>
      <c r="D20" s="72" t="s">
        <v>1111</v>
      </c>
      <c r="E20" s="72" t="s">
        <v>72</v>
      </c>
      <c r="F20" s="72">
        <v>1</v>
      </c>
      <c r="G20" s="72"/>
      <c r="H20" s="72"/>
      <c r="I20" s="72"/>
    </row>
    <row r="21" spans="1:15" x14ac:dyDescent="0.3">
      <c r="A21" s="76">
        <v>18</v>
      </c>
      <c r="B21" s="72" t="s">
        <v>172</v>
      </c>
      <c r="C21" s="72">
        <v>0.2</v>
      </c>
      <c r="D21" s="72" t="s">
        <v>1130</v>
      </c>
      <c r="E21" s="72" t="s">
        <v>72</v>
      </c>
      <c r="F21" s="72">
        <v>1</v>
      </c>
      <c r="G21" s="72"/>
      <c r="H21" s="72"/>
      <c r="I21" s="72"/>
    </row>
    <row r="22" spans="1:15" x14ac:dyDescent="0.3">
      <c r="A22" s="76">
        <v>19</v>
      </c>
      <c r="B22" s="72" t="s">
        <v>167</v>
      </c>
      <c r="C22" s="72">
        <v>0.5</v>
      </c>
      <c r="D22" s="72" t="s">
        <v>1131</v>
      </c>
      <c r="E22" s="72" t="s">
        <v>72</v>
      </c>
      <c r="F22" s="72">
        <v>1</v>
      </c>
      <c r="G22" s="72"/>
      <c r="H22" s="72"/>
      <c r="I22" s="72"/>
    </row>
    <row r="23" spans="1:15" x14ac:dyDescent="0.3">
      <c r="A23" s="76">
        <v>20</v>
      </c>
      <c r="B23" s="72" t="s">
        <v>168</v>
      </c>
      <c r="C23" s="72">
        <v>0.2</v>
      </c>
      <c r="D23" s="72" t="s">
        <v>1131</v>
      </c>
      <c r="E23" s="72" t="s">
        <v>72</v>
      </c>
      <c r="F23" s="72">
        <v>0</v>
      </c>
      <c r="G23" s="72"/>
      <c r="H23" s="72"/>
      <c r="I23" s="72"/>
    </row>
    <row r="24" spans="1:15" x14ac:dyDescent="0.3">
      <c r="A24" s="76">
        <v>21</v>
      </c>
      <c r="B24" s="72" t="s">
        <v>169</v>
      </c>
      <c r="C24" s="72">
        <v>0.5</v>
      </c>
      <c r="D24" s="72" t="s">
        <v>1131</v>
      </c>
      <c r="E24" s="72" t="s">
        <v>72</v>
      </c>
      <c r="F24" s="72">
        <v>0</v>
      </c>
      <c r="G24" s="72"/>
      <c r="H24" s="72"/>
      <c r="I24" s="72"/>
    </row>
    <row r="25" spans="1:15" x14ac:dyDescent="0.3">
      <c r="A25" s="76">
        <v>22</v>
      </c>
      <c r="B25" s="72" t="s">
        <v>170</v>
      </c>
      <c r="C25" s="72">
        <v>1</v>
      </c>
      <c r="D25" s="72" t="s">
        <v>1131</v>
      </c>
      <c r="E25" s="72" t="s">
        <v>72</v>
      </c>
      <c r="F25" s="72">
        <v>1</v>
      </c>
      <c r="G25" s="72"/>
      <c r="H25" s="72"/>
      <c r="I25" s="72"/>
    </row>
    <row r="26" spans="1:15" x14ac:dyDescent="0.3">
      <c r="A26" s="76">
        <v>23</v>
      </c>
      <c r="B26" s="72" t="s">
        <v>1118</v>
      </c>
      <c r="C26" s="72">
        <v>0</v>
      </c>
      <c r="D26" s="72" t="s">
        <v>1131</v>
      </c>
      <c r="E26" s="72">
        <v>0</v>
      </c>
      <c r="F26" s="72">
        <v>0</v>
      </c>
      <c r="G26" s="72"/>
      <c r="H26" s="72"/>
      <c r="I26" s="72"/>
    </row>
    <row r="27" spans="1:15" x14ac:dyDescent="0.3">
      <c r="A27" s="76">
        <v>24</v>
      </c>
      <c r="B27" s="72" t="s">
        <v>1132</v>
      </c>
      <c r="C27" s="72">
        <v>6</v>
      </c>
      <c r="D27" s="72" t="s">
        <v>1131</v>
      </c>
      <c r="E27" s="72" t="s">
        <v>72</v>
      </c>
      <c r="F27" s="72">
        <v>0</v>
      </c>
      <c r="G27" s="72"/>
      <c r="H27" s="72"/>
      <c r="I27" s="72"/>
    </row>
    <row r="28" spans="1:15" x14ac:dyDescent="0.3">
      <c r="A28" s="76">
        <v>25</v>
      </c>
      <c r="B28" s="72" t="s">
        <v>219</v>
      </c>
      <c r="C28" s="72">
        <v>2</v>
      </c>
      <c r="D28" s="72" t="s">
        <v>1131</v>
      </c>
      <c r="E28" s="72" t="s">
        <v>72</v>
      </c>
      <c r="F28" s="72">
        <v>1</v>
      </c>
      <c r="G28" s="72"/>
      <c r="H28" s="72"/>
      <c r="I28" s="72"/>
    </row>
    <row r="29" spans="1:15" x14ac:dyDescent="0.3">
      <c r="A29" s="76">
        <v>26</v>
      </c>
      <c r="B29" s="72" t="s">
        <v>173</v>
      </c>
      <c r="C29" s="72">
        <v>0.5</v>
      </c>
      <c r="D29" s="72" t="s">
        <v>1131</v>
      </c>
      <c r="E29" s="72" t="s">
        <v>72</v>
      </c>
      <c r="F29" s="72">
        <v>1</v>
      </c>
      <c r="G29" s="72"/>
      <c r="H29" s="72"/>
      <c r="I29" s="72"/>
    </row>
    <row r="30" spans="1:15" x14ac:dyDescent="0.3">
      <c r="A30" s="76">
        <v>27</v>
      </c>
      <c r="B30" s="72" t="s">
        <v>1133</v>
      </c>
      <c r="C30" s="72">
        <v>0.55000000000000004</v>
      </c>
      <c r="D30" s="72" t="s">
        <v>1131</v>
      </c>
      <c r="E30" s="72" t="s">
        <v>72</v>
      </c>
      <c r="F30" s="72">
        <v>3</v>
      </c>
      <c r="G30" s="72"/>
      <c r="H30" s="72"/>
      <c r="I30" s="72"/>
    </row>
    <row r="31" spans="1:15" x14ac:dyDescent="0.3">
      <c r="A31" s="76">
        <v>28</v>
      </c>
      <c r="B31" s="72" t="s">
        <v>1134</v>
      </c>
      <c r="C31" s="72">
        <v>0.3</v>
      </c>
      <c r="D31" s="72" t="s">
        <v>1131</v>
      </c>
      <c r="E31" s="72" t="s">
        <v>72</v>
      </c>
      <c r="F31" s="72">
        <v>4</v>
      </c>
      <c r="G31" s="72"/>
      <c r="H31" s="72"/>
      <c r="I31" s="72"/>
    </row>
    <row r="32" spans="1:15" x14ac:dyDescent="0.3">
      <c r="A32" s="76">
        <v>29</v>
      </c>
      <c r="B32" s="72" t="s">
        <v>1135</v>
      </c>
      <c r="C32" s="72">
        <v>0</v>
      </c>
      <c r="D32" s="72">
        <v>0</v>
      </c>
      <c r="E32" s="72">
        <v>0</v>
      </c>
      <c r="F32" s="72">
        <v>0</v>
      </c>
      <c r="G32" s="72"/>
      <c r="H32" s="72"/>
      <c r="I32" s="72"/>
    </row>
    <row r="33" spans="1:9" x14ac:dyDescent="0.3">
      <c r="A33" s="76">
        <v>30</v>
      </c>
      <c r="B33" s="72" t="s">
        <v>1136</v>
      </c>
      <c r="C33" s="72">
        <v>0</v>
      </c>
      <c r="D33" s="72">
        <v>0</v>
      </c>
      <c r="E33" s="72">
        <v>0</v>
      </c>
      <c r="F33" s="72">
        <v>0</v>
      </c>
      <c r="G33" s="72"/>
      <c r="H33" s="72"/>
      <c r="I33" s="72"/>
    </row>
    <row r="34" spans="1:9" x14ac:dyDescent="0.3">
      <c r="A34" s="76">
        <v>31</v>
      </c>
      <c r="B34" s="72" t="s">
        <v>1137</v>
      </c>
      <c r="C34" s="72">
        <v>0</v>
      </c>
      <c r="D34" s="72">
        <v>0</v>
      </c>
      <c r="E34" s="72">
        <v>0</v>
      </c>
      <c r="F34" s="72">
        <v>0</v>
      </c>
      <c r="G34" s="72"/>
      <c r="H34" s="72"/>
      <c r="I34" s="72"/>
    </row>
    <row r="35" spans="1:9" x14ac:dyDescent="0.3">
      <c r="A35" s="76">
        <v>32</v>
      </c>
      <c r="B35" s="72" t="s">
        <v>1138</v>
      </c>
      <c r="C35" s="72">
        <v>0</v>
      </c>
      <c r="D35" s="72">
        <v>0</v>
      </c>
      <c r="E35" s="72">
        <v>0</v>
      </c>
      <c r="F35" s="72">
        <v>0</v>
      </c>
      <c r="G35" s="72"/>
      <c r="H35" s="72"/>
      <c r="I35" s="72"/>
    </row>
    <row r="36" spans="1:9" x14ac:dyDescent="0.3">
      <c r="A36" s="76">
        <v>33</v>
      </c>
      <c r="B36" s="72" t="s">
        <v>1139</v>
      </c>
      <c r="C36" s="72">
        <v>0</v>
      </c>
      <c r="D36" s="72">
        <v>0</v>
      </c>
      <c r="E36" s="72">
        <v>0</v>
      </c>
      <c r="F36" s="72">
        <v>0</v>
      </c>
      <c r="G36" s="72"/>
      <c r="H36" s="72"/>
      <c r="I36" s="72"/>
    </row>
    <row r="37" spans="1:9" x14ac:dyDescent="0.3">
      <c r="A37" s="76">
        <v>34</v>
      </c>
      <c r="B37" s="72" t="s">
        <v>1140</v>
      </c>
      <c r="C37" s="72">
        <v>0</v>
      </c>
      <c r="D37" s="72">
        <v>0</v>
      </c>
      <c r="E37" s="72">
        <v>0</v>
      </c>
      <c r="F37" s="72">
        <v>0</v>
      </c>
      <c r="G37" s="72"/>
      <c r="H37" s="72"/>
      <c r="I37" s="72"/>
    </row>
    <row r="38" spans="1:9" x14ac:dyDescent="0.3">
      <c r="A38" s="76">
        <v>35</v>
      </c>
      <c r="B38" s="72" t="s">
        <v>1141</v>
      </c>
      <c r="C38" s="72">
        <v>0</v>
      </c>
      <c r="D38" s="72">
        <v>0</v>
      </c>
      <c r="E38" s="72">
        <v>0</v>
      </c>
      <c r="F38" s="72">
        <v>0</v>
      </c>
      <c r="G38" s="72"/>
      <c r="H38" s="72"/>
      <c r="I38" s="72"/>
    </row>
    <row r="39" spans="1:9" x14ac:dyDescent="0.3">
      <c r="A39" s="76">
        <v>36</v>
      </c>
      <c r="B39" s="72" t="s">
        <v>1142</v>
      </c>
      <c r="C39" s="72">
        <v>0</v>
      </c>
      <c r="D39" s="72">
        <v>0</v>
      </c>
      <c r="E39" s="72">
        <v>0</v>
      </c>
      <c r="F39" s="72">
        <v>0</v>
      </c>
      <c r="G39" s="72"/>
      <c r="H39" s="72"/>
      <c r="I39" s="72"/>
    </row>
    <row r="40" spans="1:9" x14ac:dyDescent="0.3">
      <c r="A40" s="76">
        <v>37</v>
      </c>
      <c r="B40" s="72" t="s">
        <v>1143</v>
      </c>
      <c r="C40" s="72">
        <v>0</v>
      </c>
      <c r="D40" s="72">
        <v>0</v>
      </c>
      <c r="E40" s="72">
        <v>0</v>
      </c>
      <c r="F40" s="72">
        <v>0</v>
      </c>
      <c r="G40" s="72"/>
      <c r="H40" s="72"/>
      <c r="I40" s="72"/>
    </row>
    <row r="41" spans="1:9" x14ac:dyDescent="0.3">
      <c r="A41" s="76">
        <v>38</v>
      </c>
      <c r="B41" s="72" t="s">
        <v>1144</v>
      </c>
      <c r="C41" s="72">
        <v>0</v>
      </c>
      <c r="D41" s="72">
        <v>0</v>
      </c>
      <c r="E41" s="72">
        <v>0</v>
      </c>
      <c r="F41" s="72">
        <v>0</v>
      </c>
      <c r="G41" s="72"/>
      <c r="H41" s="72"/>
      <c r="I41" s="72"/>
    </row>
    <row r="42" spans="1:9" x14ac:dyDescent="0.3">
      <c r="A42" s="76">
        <v>39</v>
      </c>
      <c r="B42" s="72" t="s">
        <v>1145</v>
      </c>
      <c r="C42" s="72">
        <v>0</v>
      </c>
      <c r="D42" s="72">
        <v>0</v>
      </c>
      <c r="E42" s="72">
        <v>0</v>
      </c>
      <c r="F42" s="72">
        <v>0</v>
      </c>
      <c r="G42" s="72"/>
      <c r="H42" s="72"/>
      <c r="I42" s="72"/>
    </row>
    <row r="43" spans="1:9" x14ac:dyDescent="0.3">
      <c r="A43" s="76">
        <v>40</v>
      </c>
      <c r="B43" s="72" t="s">
        <v>1146</v>
      </c>
      <c r="C43" s="72">
        <v>0</v>
      </c>
      <c r="D43" s="72">
        <v>0</v>
      </c>
      <c r="E43" s="72">
        <v>0</v>
      </c>
      <c r="F43" s="72">
        <v>0</v>
      </c>
      <c r="G43" s="72"/>
      <c r="H43" s="72"/>
      <c r="I43" s="72"/>
    </row>
    <row r="44" spans="1:9" x14ac:dyDescent="0.3">
      <c r="A44" s="76">
        <v>41</v>
      </c>
      <c r="B44" s="72" t="s">
        <v>1147</v>
      </c>
      <c r="C44" s="72">
        <v>0</v>
      </c>
      <c r="D44" s="72">
        <v>0</v>
      </c>
      <c r="E44" s="72">
        <v>0</v>
      </c>
      <c r="F44" s="72">
        <v>0</v>
      </c>
      <c r="G44" s="72"/>
      <c r="H44" s="72"/>
      <c r="I44" s="72"/>
    </row>
    <row r="45" spans="1:9" x14ac:dyDescent="0.3">
      <c r="A45" s="76">
        <v>42</v>
      </c>
      <c r="B45" s="72" t="s">
        <v>1148</v>
      </c>
      <c r="C45" s="72">
        <v>0</v>
      </c>
      <c r="D45" s="72">
        <v>0</v>
      </c>
      <c r="E45" s="72">
        <v>0</v>
      </c>
      <c r="F45" s="72">
        <v>0</v>
      </c>
      <c r="G45" s="72"/>
      <c r="H45" s="72"/>
      <c r="I45" s="72"/>
    </row>
    <row r="46" spans="1:9" x14ac:dyDescent="0.3">
      <c r="A46" s="76">
        <v>43</v>
      </c>
      <c r="B46" s="72" t="s">
        <v>1149</v>
      </c>
      <c r="C46" s="72">
        <v>0</v>
      </c>
      <c r="D46" s="72">
        <v>0</v>
      </c>
      <c r="E46" s="72">
        <v>0</v>
      </c>
      <c r="F46" s="72">
        <v>0</v>
      </c>
      <c r="G46" s="72"/>
      <c r="H46" s="72"/>
      <c r="I46" s="72"/>
    </row>
    <row r="47" spans="1:9" x14ac:dyDescent="0.3">
      <c r="A47" s="76">
        <v>44</v>
      </c>
      <c r="B47" s="72" t="s">
        <v>1150</v>
      </c>
      <c r="C47" s="72">
        <v>0</v>
      </c>
      <c r="D47" s="72">
        <v>0</v>
      </c>
      <c r="E47" s="72">
        <v>0</v>
      </c>
      <c r="F47" s="72">
        <v>0</v>
      </c>
      <c r="G47" s="72"/>
      <c r="H47" s="72"/>
      <c r="I47" s="72"/>
    </row>
    <row r="48" spans="1:9" x14ac:dyDescent="0.3">
      <c r="A48" s="76">
        <v>45</v>
      </c>
      <c r="B48" s="72" t="s">
        <v>1151</v>
      </c>
      <c r="C48" s="72">
        <v>0</v>
      </c>
      <c r="D48" s="72">
        <v>0</v>
      </c>
      <c r="E48" s="72">
        <v>0</v>
      </c>
      <c r="F48" s="72">
        <v>0</v>
      </c>
      <c r="G48" s="72"/>
      <c r="H48" s="72"/>
      <c r="I48" s="72"/>
    </row>
    <row r="49" spans="1:9" x14ac:dyDescent="0.3">
      <c r="A49" s="76">
        <v>46</v>
      </c>
      <c r="B49" s="72" t="s">
        <v>1152</v>
      </c>
      <c r="C49" s="72">
        <v>0</v>
      </c>
      <c r="D49" s="72">
        <v>0</v>
      </c>
      <c r="E49" s="72">
        <v>0</v>
      </c>
      <c r="F49" s="72">
        <v>0</v>
      </c>
      <c r="G49" s="72"/>
      <c r="H49" s="72"/>
      <c r="I49" s="72"/>
    </row>
    <row r="50" spans="1:9" x14ac:dyDescent="0.3">
      <c r="A50" s="76">
        <v>47</v>
      </c>
      <c r="B50" s="72" t="s">
        <v>1153</v>
      </c>
      <c r="C50" s="72">
        <v>0</v>
      </c>
      <c r="D50" s="72">
        <v>0</v>
      </c>
      <c r="E50" s="72">
        <v>0</v>
      </c>
      <c r="F50" s="72">
        <v>0</v>
      </c>
      <c r="G50" s="72"/>
      <c r="H50" s="72"/>
      <c r="I50" s="72"/>
    </row>
    <row r="51" spans="1:9" x14ac:dyDescent="0.3">
      <c r="A51" s="76">
        <v>48</v>
      </c>
      <c r="B51" s="72" t="s">
        <v>1154</v>
      </c>
      <c r="C51" s="72">
        <v>0</v>
      </c>
      <c r="D51" s="72">
        <v>0</v>
      </c>
      <c r="E51" s="72">
        <v>0</v>
      </c>
      <c r="F51" s="72">
        <v>0</v>
      </c>
      <c r="G51" s="72"/>
      <c r="H51" s="72"/>
      <c r="I51" s="72"/>
    </row>
    <row r="52" spans="1:9" x14ac:dyDescent="0.3">
      <c r="A52" s="76">
        <v>49</v>
      </c>
      <c r="B52" s="72" t="s">
        <v>1155</v>
      </c>
      <c r="C52" s="72">
        <v>0</v>
      </c>
      <c r="D52" s="72">
        <v>0</v>
      </c>
      <c r="E52" s="72">
        <v>0</v>
      </c>
      <c r="F52" s="72">
        <v>0</v>
      </c>
      <c r="G52" s="72"/>
      <c r="H52" s="72"/>
      <c r="I52" s="72"/>
    </row>
    <row r="53" spans="1:9" x14ac:dyDescent="0.3">
      <c r="A53" s="76">
        <v>50</v>
      </c>
      <c r="B53" s="72" t="s">
        <v>1156</v>
      </c>
      <c r="C53" s="72">
        <v>0</v>
      </c>
      <c r="D53" s="72">
        <v>0</v>
      </c>
      <c r="E53" s="72">
        <v>0</v>
      </c>
      <c r="F53" s="72">
        <v>0</v>
      </c>
      <c r="G53" s="72"/>
      <c r="H53" s="72"/>
      <c r="I53" s="72"/>
    </row>
    <row r="54" spans="1:9" x14ac:dyDescent="0.3">
      <c r="A54" s="76">
        <v>51</v>
      </c>
      <c r="B54" s="72" t="s">
        <v>1157</v>
      </c>
      <c r="C54" s="72">
        <v>0</v>
      </c>
      <c r="D54" s="72">
        <v>0</v>
      </c>
      <c r="E54" s="72">
        <v>0</v>
      </c>
      <c r="F54" s="72">
        <v>0</v>
      </c>
      <c r="G54" s="72"/>
      <c r="H54" s="72"/>
      <c r="I54" s="72"/>
    </row>
    <row r="55" spans="1:9" x14ac:dyDescent="0.3">
      <c r="A55" s="76">
        <v>52</v>
      </c>
      <c r="B55" s="72" t="s">
        <v>1158</v>
      </c>
      <c r="C55" s="72">
        <v>0</v>
      </c>
      <c r="D55" s="72">
        <v>0</v>
      </c>
      <c r="E55" s="72">
        <v>0</v>
      </c>
      <c r="F55" s="72">
        <v>0</v>
      </c>
      <c r="G55" s="72"/>
      <c r="H55" s="72"/>
      <c r="I55" s="72"/>
    </row>
    <row r="56" spans="1:9" x14ac:dyDescent="0.3">
      <c r="A56" s="76">
        <v>53</v>
      </c>
      <c r="B56" s="72" t="s">
        <v>1159</v>
      </c>
      <c r="C56" s="72">
        <v>0</v>
      </c>
      <c r="D56" s="72">
        <v>0</v>
      </c>
      <c r="E56" s="72">
        <v>0</v>
      </c>
      <c r="F56" s="72">
        <v>0</v>
      </c>
      <c r="G56" s="72"/>
      <c r="H56" s="72"/>
      <c r="I56" s="72"/>
    </row>
    <row r="57" spans="1:9" x14ac:dyDescent="0.3">
      <c r="A57" s="76">
        <v>54</v>
      </c>
      <c r="B57" s="72" t="s">
        <v>1160</v>
      </c>
      <c r="C57" s="72">
        <v>0</v>
      </c>
      <c r="D57" s="72">
        <v>0</v>
      </c>
      <c r="E57" s="72">
        <v>0</v>
      </c>
      <c r="F57" s="72">
        <v>0</v>
      </c>
      <c r="G57" s="72"/>
      <c r="H57" s="72"/>
      <c r="I57" s="72"/>
    </row>
    <row r="58" spans="1:9" x14ac:dyDescent="0.3">
      <c r="A58" s="76">
        <v>55</v>
      </c>
      <c r="B58" s="72" t="s">
        <v>1161</v>
      </c>
      <c r="C58" s="72">
        <v>0</v>
      </c>
      <c r="D58" s="72">
        <v>0</v>
      </c>
      <c r="E58" s="72">
        <v>0</v>
      </c>
      <c r="F58" s="72">
        <v>0</v>
      </c>
      <c r="G58" s="72"/>
      <c r="H58" s="72"/>
      <c r="I58" s="72"/>
    </row>
    <row r="59" spans="1:9" x14ac:dyDescent="0.3">
      <c r="A59" s="76">
        <v>56</v>
      </c>
      <c r="B59" s="72" t="s">
        <v>1162</v>
      </c>
      <c r="C59" s="72">
        <v>0</v>
      </c>
      <c r="D59" s="72">
        <v>0</v>
      </c>
      <c r="E59" s="72">
        <v>0</v>
      </c>
      <c r="F59" s="72">
        <v>0</v>
      </c>
      <c r="G59" s="72"/>
      <c r="H59" s="72"/>
      <c r="I59" s="72"/>
    </row>
    <row r="60" spans="1:9" x14ac:dyDescent="0.3">
      <c r="A60" s="76">
        <v>57</v>
      </c>
      <c r="B60" s="72" t="s">
        <v>1163</v>
      </c>
      <c r="C60" s="72">
        <v>0</v>
      </c>
      <c r="D60" s="72">
        <v>0</v>
      </c>
      <c r="E60" s="72">
        <v>0</v>
      </c>
      <c r="F60" s="72">
        <v>0</v>
      </c>
      <c r="G60" s="72"/>
      <c r="H60" s="72"/>
      <c r="I60" s="72"/>
    </row>
    <row r="61" spans="1:9" x14ac:dyDescent="0.3">
      <c r="A61" s="76">
        <v>58</v>
      </c>
      <c r="B61" s="72" t="s">
        <v>1164</v>
      </c>
      <c r="C61" s="72">
        <v>0</v>
      </c>
      <c r="D61" s="72">
        <v>0</v>
      </c>
      <c r="E61" s="72">
        <v>0</v>
      </c>
      <c r="F61" s="72">
        <v>0</v>
      </c>
      <c r="G61" s="72"/>
      <c r="H61" s="72"/>
      <c r="I61" s="72"/>
    </row>
    <row r="62" spans="1:9" x14ac:dyDescent="0.3">
      <c r="A62" s="76">
        <v>59</v>
      </c>
      <c r="B62" s="72" t="s">
        <v>1165</v>
      </c>
      <c r="C62" s="72">
        <v>0</v>
      </c>
      <c r="D62" s="72">
        <v>0</v>
      </c>
      <c r="E62" s="72">
        <v>0</v>
      </c>
      <c r="F62" s="72">
        <v>0</v>
      </c>
      <c r="G62" s="72"/>
      <c r="H62" s="72"/>
      <c r="I62" s="72"/>
    </row>
    <row r="63" spans="1:9" x14ac:dyDescent="0.3">
      <c r="A63" s="76">
        <v>60</v>
      </c>
      <c r="B63" s="72" t="s">
        <v>1166</v>
      </c>
      <c r="C63" s="72">
        <v>0</v>
      </c>
      <c r="D63" s="72">
        <v>0</v>
      </c>
      <c r="E63" s="72">
        <v>0</v>
      </c>
      <c r="F63" s="72">
        <v>0</v>
      </c>
      <c r="G63" s="72"/>
      <c r="H63" s="72"/>
      <c r="I63" s="72"/>
    </row>
    <row r="64" spans="1:9" x14ac:dyDescent="0.3">
      <c r="A64" s="76">
        <v>61</v>
      </c>
      <c r="B64" s="72" t="s">
        <v>1167</v>
      </c>
      <c r="C64" s="72">
        <v>0</v>
      </c>
      <c r="D64" s="72">
        <v>0</v>
      </c>
      <c r="E64" s="72">
        <v>0</v>
      </c>
      <c r="F64" s="72">
        <v>0</v>
      </c>
      <c r="G64" s="72"/>
      <c r="H64" s="72"/>
      <c r="I64" s="72"/>
    </row>
    <row r="65" spans="1:9" x14ac:dyDescent="0.3">
      <c r="A65" s="76">
        <v>62</v>
      </c>
      <c r="B65" s="72" t="s">
        <v>1168</v>
      </c>
      <c r="C65" s="72">
        <v>0</v>
      </c>
      <c r="D65" s="72">
        <v>0</v>
      </c>
      <c r="E65" s="72">
        <v>0</v>
      </c>
      <c r="F65" s="72">
        <v>0</v>
      </c>
      <c r="G65" s="72"/>
      <c r="H65" s="72"/>
      <c r="I65" s="72"/>
    </row>
    <row r="66" spans="1:9" x14ac:dyDescent="0.3">
      <c r="A66" s="76">
        <v>63</v>
      </c>
      <c r="B66" s="72" t="s">
        <v>1169</v>
      </c>
      <c r="C66" s="72">
        <v>0</v>
      </c>
      <c r="D66" s="72">
        <v>0</v>
      </c>
      <c r="E66" s="72">
        <v>0</v>
      </c>
      <c r="F66" s="72">
        <v>0</v>
      </c>
      <c r="G66" s="72"/>
      <c r="H66" s="72"/>
      <c r="I66" s="72"/>
    </row>
    <row r="67" spans="1:9" x14ac:dyDescent="0.3">
      <c r="A67" s="76">
        <v>64</v>
      </c>
      <c r="B67" s="72" t="s">
        <v>1170</v>
      </c>
      <c r="C67" s="72">
        <v>0</v>
      </c>
      <c r="D67" s="72">
        <v>0</v>
      </c>
      <c r="E67" s="72">
        <v>0</v>
      </c>
      <c r="F67" s="72">
        <v>0</v>
      </c>
      <c r="G67" s="72"/>
      <c r="H67" s="72"/>
      <c r="I67" s="72"/>
    </row>
    <row r="68" spans="1:9" x14ac:dyDescent="0.3">
      <c r="A68" s="76">
        <v>65</v>
      </c>
      <c r="B68" s="72" t="s">
        <v>1171</v>
      </c>
      <c r="C68" s="72">
        <v>0</v>
      </c>
      <c r="D68" s="72">
        <v>0</v>
      </c>
      <c r="E68" s="72">
        <v>0</v>
      </c>
      <c r="F68" s="72">
        <v>0</v>
      </c>
      <c r="G68" s="72"/>
      <c r="H68" s="72"/>
      <c r="I68" s="72"/>
    </row>
    <row r="69" spans="1:9" x14ac:dyDescent="0.3">
      <c r="A69" s="76">
        <v>66</v>
      </c>
      <c r="B69" s="72" t="s">
        <v>1172</v>
      </c>
      <c r="C69" s="72">
        <v>0</v>
      </c>
      <c r="D69" s="72">
        <v>0</v>
      </c>
      <c r="E69" s="72">
        <v>0</v>
      </c>
      <c r="F69" s="72">
        <v>0</v>
      </c>
      <c r="G69" s="72"/>
      <c r="H69" s="72"/>
      <c r="I69" s="72"/>
    </row>
    <row r="70" spans="1:9" x14ac:dyDescent="0.3">
      <c r="A70" s="76">
        <v>67</v>
      </c>
      <c r="B70" s="72" t="s">
        <v>1173</v>
      </c>
      <c r="C70" s="72">
        <v>0</v>
      </c>
      <c r="D70" s="72">
        <v>0</v>
      </c>
      <c r="E70" s="72">
        <v>0</v>
      </c>
      <c r="F70" s="72">
        <v>0</v>
      </c>
      <c r="G70" s="72"/>
      <c r="H70" s="72"/>
      <c r="I70" s="72"/>
    </row>
    <row r="71" spans="1:9" x14ac:dyDescent="0.3">
      <c r="A71" s="76">
        <v>68</v>
      </c>
      <c r="B71" s="72" t="s">
        <v>1174</v>
      </c>
      <c r="C71" s="72">
        <v>0</v>
      </c>
      <c r="D71" s="72">
        <v>0</v>
      </c>
      <c r="E71" s="72">
        <v>0</v>
      </c>
      <c r="F71" s="72">
        <v>0</v>
      </c>
      <c r="G71" s="72"/>
      <c r="H71" s="72"/>
      <c r="I71" s="72"/>
    </row>
    <row r="72" spans="1:9" x14ac:dyDescent="0.3">
      <c r="A72" s="76">
        <v>69</v>
      </c>
      <c r="B72" s="72" t="s">
        <v>1175</v>
      </c>
      <c r="C72" s="72">
        <v>0</v>
      </c>
      <c r="D72" s="72">
        <v>0</v>
      </c>
      <c r="E72" s="72">
        <v>0</v>
      </c>
      <c r="F72" s="72">
        <v>0</v>
      </c>
      <c r="G72" s="72"/>
      <c r="H72" s="72"/>
      <c r="I72" s="72"/>
    </row>
    <row r="73" spans="1:9" x14ac:dyDescent="0.3">
      <c r="A73" s="76">
        <v>70</v>
      </c>
      <c r="B73" s="72" t="s">
        <v>1176</v>
      </c>
      <c r="C73" s="72">
        <v>0</v>
      </c>
      <c r="D73" s="72">
        <v>0</v>
      </c>
      <c r="E73" s="72">
        <v>0</v>
      </c>
      <c r="F73" s="72">
        <v>0</v>
      </c>
      <c r="G73" s="72"/>
      <c r="H73" s="72"/>
      <c r="I73" s="72"/>
    </row>
    <row r="74" spans="1:9" x14ac:dyDescent="0.3">
      <c r="A74" s="76">
        <v>71</v>
      </c>
      <c r="B74" s="72" t="s">
        <v>1177</v>
      </c>
      <c r="C74" s="72">
        <v>0</v>
      </c>
      <c r="D74" s="72">
        <v>0</v>
      </c>
      <c r="E74" s="72">
        <v>0</v>
      </c>
      <c r="F74" s="72">
        <v>0</v>
      </c>
      <c r="G74" s="72"/>
      <c r="H74" s="72"/>
      <c r="I74" s="72"/>
    </row>
    <row r="75" spans="1:9" x14ac:dyDescent="0.3">
      <c r="A75" s="76">
        <v>72</v>
      </c>
      <c r="B75" s="72" t="s">
        <v>1178</v>
      </c>
      <c r="C75" s="72">
        <v>0</v>
      </c>
      <c r="D75" s="72">
        <v>0</v>
      </c>
      <c r="E75" s="72">
        <v>0</v>
      </c>
      <c r="F75" s="72">
        <v>0</v>
      </c>
      <c r="G75" s="72"/>
      <c r="H75" s="72"/>
      <c r="I75" s="72"/>
    </row>
    <row r="76" spans="1:9" x14ac:dyDescent="0.3">
      <c r="A76" s="76">
        <v>73</v>
      </c>
      <c r="B76" s="72" t="s">
        <v>1179</v>
      </c>
      <c r="C76" s="72">
        <v>0</v>
      </c>
      <c r="D76" s="72">
        <v>0</v>
      </c>
      <c r="E76" s="72">
        <v>0</v>
      </c>
      <c r="F76" s="72">
        <v>0</v>
      </c>
      <c r="G76" s="72"/>
      <c r="H76" s="72"/>
      <c r="I76" s="72"/>
    </row>
    <row r="77" spans="1:9" x14ac:dyDescent="0.3">
      <c r="A77" s="76">
        <v>74</v>
      </c>
      <c r="B77" s="72" t="s">
        <v>1180</v>
      </c>
      <c r="C77" s="72">
        <v>0</v>
      </c>
      <c r="D77" s="72">
        <v>0</v>
      </c>
      <c r="E77" s="72">
        <v>0</v>
      </c>
      <c r="F77" s="72">
        <v>0</v>
      </c>
      <c r="G77" s="72"/>
      <c r="H77" s="72"/>
      <c r="I77" s="72"/>
    </row>
    <row r="78" spans="1:9" x14ac:dyDescent="0.3">
      <c r="A78" s="76">
        <v>75</v>
      </c>
      <c r="B78" s="72" t="s">
        <v>1181</v>
      </c>
      <c r="C78" s="72">
        <v>0</v>
      </c>
      <c r="D78" s="72">
        <v>0</v>
      </c>
      <c r="E78" s="72">
        <v>0</v>
      </c>
      <c r="F78" s="72">
        <v>0</v>
      </c>
      <c r="G78" s="72"/>
      <c r="H78" s="72"/>
      <c r="I78" s="72"/>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0">
    <tabColor theme="0" tint="-0.14999847407452621"/>
  </sheetPr>
  <dimension ref="A1:AN266"/>
  <sheetViews>
    <sheetView topLeftCell="V1" workbookViewId="0">
      <selection activeCell="AF41" sqref="AF41"/>
    </sheetView>
  </sheetViews>
  <sheetFormatPr defaultColWidth="9.33203125" defaultRowHeight="13.8" x14ac:dyDescent="0.25"/>
  <cols>
    <col min="1" max="1" width="23.6640625" style="8" customWidth="1"/>
    <col min="2" max="2" width="31.6640625" style="8" bestFit="1" customWidth="1"/>
    <col min="3" max="3" width="20" style="8" bestFit="1" customWidth="1"/>
    <col min="4" max="4" width="9.33203125" style="8"/>
    <col min="5" max="5" width="13.33203125" style="8" customWidth="1"/>
    <col min="6" max="11" width="9.33203125" style="8"/>
    <col min="12" max="12" width="18" style="8" bestFit="1" customWidth="1"/>
    <col min="13" max="13" width="19.44140625" style="8" bestFit="1" customWidth="1"/>
    <col min="14" max="16" width="9.33203125" style="8"/>
    <col min="17" max="17" width="16.33203125" style="8" bestFit="1" customWidth="1"/>
    <col min="18" max="18" width="9.33203125" style="8"/>
    <col min="19" max="19" width="24.33203125" style="8" bestFit="1" customWidth="1"/>
    <col min="20" max="20" width="18.44140625" style="8" bestFit="1" customWidth="1"/>
    <col min="21" max="21" width="13.6640625" style="8" bestFit="1" customWidth="1"/>
    <col min="22" max="22" width="7.5546875" style="8" bestFit="1" customWidth="1"/>
    <col min="23" max="23" width="6.6640625" style="8" bestFit="1" customWidth="1"/>
    <col min="24" max="24" width="18.44140625" style="8" bestFit="1" customWidth="1"/>
    <col min="25" max="25" width="13.6640625" style="8" bestFit="1" customWidth="1"/>
    <col min="26" max="26" width="7.5546875" style="8" bestFit="1" customWidth="1"/>
    <col min="27" max="27" width="6" style="8" bestFit="1" customWidth="1"/>
    <col min="28" max="29" width="9.33203125" style="8"/>
    <col min="30" max="30" width="13.33203125" style="8" customWidth="1"/>
    <col min="31" max="31" width="9.33203125" style="8"/>
    <col min="32" max="32" width="40.33203125" style="8" bestFit="1" customWidth="1"/>
    <col min="33" max="34" width="9.33203125" style="8"/>
    <col min="35" max="35" width="44.44140625" style="8" bestFit="1" customWidth="1"/>
    <col min="36" max="36" width="34.33203125" style="8" bestFit="1" customWidth="1"/>
    <col min="37" max="37" width="27.88671875" style="8" bestFit="1" customWidth="1"/>
    <col min="38" max="16384" width="9.33203125" style="8"/>
  </cols>
  <sheetData>
    <row r="1" spans="1:40" ht="31.8" x14ac:dyDescent="0.55000000000000004">
      <c r="A1" s="7" t="s">
        <v>276</v>
      </c>
    </row>
    <row r="3" spans="1:40" x14ac:dyDescent="0.25">
      <c r="S3" s="180" t="s">
        <v>1629</v>
      </c>
      <c r="T3" s="180"/>
      <c r="AC3" s="63" t="s">
        <v>1635</v>
      </c>
      <c r="AD3" s="63"/>
    </row>
    <row r="4" spans="1:40" x14ac:dyDescent="0.25">
      <c r="A4" s="3">
        <v>0</v>
      </c>
      <c r="B4" s="3" t="s">
        <v>1194</v>
      </c>
      <c r="C4" s="3" t="s">
        <v>1195</v>
      </c>
      <c r="E4" s="10" t="s">
        <v>19</v>
      </c>
      <c r="G4" s="22" t="s">
        <v>1195</v>
      </c>
      <c r="J4" s="3" t="s">
        <v>73</v>
      </c>
      <c r="L4" s="17" t="s">
        <v>74</v>
      </c>
      <c r="M4" s="17" t="s">
        <v>1636</v>
      </c>
      <c r="N4" s="17" t="s">
        <v>28</v>
      </c>
      <c r="O4" s="17" t="s">
        <v>1633</v>
      </c>
      <c r="Q4" s="3" t="s">
        <v>80</v>
      </c>
      <c r="S4" s="3" t="s">
        <v>1630</v>
      </c>
      <c r="T4" s="3" t="s">
        <v>1631</v>
      </c>
      <c r="U4" s="3" t="s">
        <v>1632</v>
      </c>
      <c r="V4" s="3" t="s">
        <v>28</v>
      </c>
      <c r="W4" s="3" t="s">
        <v>1633</v>
      </c>
      <c r="X4" s="3" t="s">
        <v>1631</v>
      </c>
      <c r="Y4" s="3" t="s">
        <v>1632</v>
      </c>
      <c r="Z4" s="3" t="s">
        <v>28</v>
      </c>
      <c r="AA4" s="3" t="s">
        <v>1633</v>
      </c>
      <c r="AC4" s="63" t="s">
        <v>66</v>
      </c>
      <c r="AD4" s="63" t="s">
        <v>1095</v>
      </c>
      <c r="AF4" s="68" t="s">
        <v>128</v>
      </c>
      <c r="AI4" s="68" t="s">
        <v>1231</v>
      </c>
      <c r="AJ4" s="68" t="s">
        <v>1194</v>
      </c>
      <c r="AK4" s="68" t="s">
        <v>1195</v>
      </c>
      <c r="AN4" s="8" t="s">
        <v>321</v>
      </c>
    </row>
    <row r="5" spans="1:40" x14ac:dyDescent="0.25">
      <c r="A5" s="9">
        <v>0</v>
      </c>
      <c r="B5" s="9" t="s">
        <v>921</v>
      </c>
      <c r="C5" s="9" t="s">
        <v>925</v>
      </c>
      <c r="E5" s="11" t="s">
        <v>27</v>
      </c>
      <c r="G5" s="77" t="s">
        <v>922</v>
      </c>
      <c r="J5" s="23" t="s">
        <v>71</v>
      </c>
      <c r="L5" s="41" t="s">
        <v>229</v>
      </c>
      <c r="M5" s="41">
        <v>0.2</v>
      </c>
      <c r="N5" s="41" t="s">
        <v>1094</v>
      </c>
      <c r="O5" s="41" t="s">
        <v>17</v>
      </c>
      <c r="Q5" s="23" t="s">
        <v>81</v>
      </c>
      <c r="S5" s="60" t="s">
        <v>217</v>
      </c>
      <c r="T5" s="60">
        <v>0.23</v>
      </c>
      <c r="U5" s="60">
        <v>2.839506172839506E-3</v>
      </c>
      <c r="V5" s="60" t="s">
        <v>1094</v>
      </c>
      <c r="W5" s="60" t="s">
        <v>17</v>
      </c>
      <c r="X5" s="60">
        <v>1.74</v>
      </c>
      <c r="Y5" s="60">
        <v>2.148148148148148E-2</v>
      </c>
      <c r="Z5" s="60" t="s">
        <v>1095</v>
      </c>
      <c r="AA5" s="60" t="s">
        <v>16</v>
      </c>
      <c r="AC5" s="63">
        <v>1</v>
      </c>
      <c r="AD5" s="63">
        <v>0.28000000000000003</v>
      </c>
      <c r="AF5" s="23" t="s">
        <v>119</v>
      </c>
      <c r="AI5" s="208" t="s">
        <v>1232</v>
      </c>
      <c r="AJ5" s="208" t="s">
        <v>921</v>
      </c>
      <c r="AK5" s="208" t="s">
        <v>922</v>
      </c>
    </row>
    <row r="6" spans="1:40" x14ac:dyDescent="0.25">
      <c r="A6" s="9">
        <v>0</v>
      </c>
      <c r="B6" s="9" t="s">
        <v>925</v>
      </c>
      <c r="C6" s="9" t="s">
        <v>922</v>
      </c>
      <c r="E6" s="11" t="s">
        <v>20</v>
      </c>
      <c r="G6" s="77" t="s">
        <v>918</v>
      </c>
      <c r="J6" s="23" t="s">
        <v>72</v>
      </c>
      <c r="L6" s="41" t="s">
        <v>225</v>
      </c>
      <c r="M6" s="41">
        <v>100</v>
      </c>
      <c r="N6" s="41" t="s">
        <v>1637</v>
      </c>
      <c r="O6" s="41" t="s">
        <v>1638</v>
      </c>
      <c r="Q6" s="23" t="s">
        <v>17</v>
      </c>
      <c r="S6" s="60" t="s">
        <v>1634</v>
      </c>
      <c r="T6" s="60">
        <v>0.23</v>
      </c>
      <c r="U6" s="60">
        <v>2.6558891454965356E-3</v>
      </c>
      <c r="V6" s="60" t="s">
        <v>1094</v>
      </c>
      <c r="W6" s="60" t="s">
        <v>17</v>
      </c>
      <c r="X6" s="60">
        <v>1.74</v>
      </c>
      <c r="Y6" s="60">
        <v>2.0092378752886834E-2</v>
      </c>
      <c r="Z6" s="60" t="s">
        <v>1095</v>
      </c>
      <c r="AA6" s="60" t="s">
        <v>16</v>
      </c>
      <c r="AF6" s="23" t="s">
        <v>129</v>
      </c>
      <c r="AI6" s="208" t="s">
        <v>408</v>
      </c>
      <c r="AJ6" s="208" t="s">
        <v>917</v>
      </c>
      <c r="AK6" s="208" t="s">
        <v>918</v>
      </c>
    </row>
    <row r="7" spans="1:40" x14ac:dyDescent="0.25">
      <c r="A7" s="9">
        <v>0</v>
      </c>
      <c r="B7" s="9" t="s">
        <v>105</v>
      </c>
      <c r="C7" s="9" t="s">
        <v>918</v>
      </c>
      <c r="E7" s="11" t="s">
        <v>21</v>
      </c>
      <c r="G7" s="77" t="s">
        <v>946</v>
      </c>
      <c r="L7" s="41" t="s">
        <v>226</v>
      </c>
      <c r="M7" s="41">
        <v>254</v>
      </c>
      <c r="N7" s="41" t="s">
        <v>1637</v>
      </c>
      <c r="O7" s="41" t="s">
        <v>1638</v>
      </c>
      <c r="S7" s="60">
        <v>0</v>
      </c>
      <c r="T7" s="60">
        <v>0</v>
      </c>
      <c r="U7" s="60">
        <v>0</v>
      </c>
      <c r="V7" s="60" t="s">
        <v>1094</v>
      </c>
      <c r="W7" s="60" t="s">
        <v>17</v>
      </c>
      <c r="X7" s="60">
        <v>0</v>
      </c>
      <c r="Y7" s="60">
        <v>0</v>
      </c>
      <c r="Z7" s="60" t="s">
        <v>1095</v>
      </c>
      <c r="AA7" s="60" t="s">
        <v>16</v>
      </c>
      <c r="AF7" s="23" t="s">
        <v>122</v>
      </c>
      <c r="AI7" s="208" t="s">
        <v>284</v>
      </c>
      <c r="AJ7" s="208" t="s">
        <v>921</v>
      </c>
      <c r="AK7" s="208" t="s">
        <v>946</v>
      </c>
    </row>
    <row r="8" spans="1:40" x14ac:dyDescent="0.25">
      <c r="A8" s="9">
        <v>0</v>
      </c>
      <c r="B8" s="9" t="s">
        <v>1196</v>
      </c>
      <c r="C8" s="9" t="s">
        <v>1197</v>
      </c>
      <c r="E8" s="11" t="s">
        <v>22</v>
      </c>
      <c r="G8" s="77">
        <v>0</v>
      </c>
      <c r="L8" s="41" t="s">
        <v>267</v>
      </c>
      <c r="M8" s="41">
        <v>370</v>
      </c>
      <c r="N8" s="41" t="s">
        <v>1637</v>
      </c>
      <c r="O8" s="41" t="s">
        <v>1638</v>
      </c>
      <c r="S8" s="60">
        <v>0</v>
      </c>
      <c r="T8" s="60">
        <v>0</v>
      </c>
      <c r="U8" s="60">
        <v>0</v>
      </c>
      <c r="V8" s="60" t="s">
        <v>1094</v>
      </c>
      <c r="W8" s="60" t="s">
        <v>17</v>
      </c>
      <c r="X8" s="60">
        <v>0</v>
      </c>
      <c r="Y8" s="60">
        <v>0</v>
      </c>
      <c r="Z8" s="60" t="s">
        <v>1095</v>
      </c>
      <c r="AA8" s="60" t="s">
        <v>16</v>
      </c>
      <c r="AF8" s="23" t="s">
        <v>123</v>
      </c>
      <c r="AI8" s="208" t="s">
        <v>1233</v>
      </c>
      <c r="AJ8" s="208">
        <v>0</v>
      </c>
      <c r="AK8" s="208">
        <v>0</v>
      </c>
    </row>
    <row r="9" spans="1:40" x14ac:dyDescent="0.25">
      <c r="A9" s="9">
        <v>0</v>
      </c>
      <c r="B9" s="9" t="s">
        <v>1198</v>
      </c>
      <c r="C9" s="9" t="s">
        <v>1199</v>
      </c>
      <c r="E9" s="11" t="s">
        <v>23</v>
      </c>
      <c r="G9" s="77" t="s">
        <v>918</v>
      </c>
      <c r="L9" s="41" t="s">
        <v>268</v>
      </c>
      <c r="M9" s="41">
        <v>52</v>
      </c>
      <c r="N9" s="41" t="s">
        <v>1637</v>
      </c>
      <c r="O9" s="41" t="s">
        <v>1638</v>
      </c>
      <c r="S9" s="60">
        <v>0</v>
      </c>
      <c r="T9" s="60">
        <v>0</v>
      </c>
      <c r="U9" s="60">
        <v>0</v>
      </c>
      <c r="V9" s="60" t="s">
        <v>1094</v>
      </c>
      <c r="W9" s="60" t="s">
        <v>17</v>
      </c>
      <c r="X9" s="60">
        <v>0</v>
      </c>
      <c r="Y9" s="60">
        <v>0</v>
      </c>
      <c r="Z9" s="60" t="s">
        <v>1095</v>
      </c>
      <c r="AA9" s="60" t="s">
        <v>16</v>
      </c>
      <c r="AF9" s="23"/>
      <c r="AI9" s="208" t="s">
        <v>1234</v>
      </c>
      <c r="AJ9" s="208" t="s">
        <v>921</v>
      </c>
      <c r="AK9" s="208" t="s">
        <v>918</v>
      </c>
    </row>
    <row r="10" spans="1:40" x14ac:dyDescent="0.25">
      <c r="A10" s="9">
        <v>0</v>
      </c>
      <c r="B10" s="9" t="s">
        <v>632</v>
      </c>
      <c r="C10" s="9" t="s">
        <v>946</v>
      </c>
      <c r="E10" s="11" t="s">
        <v>24</v>
      </c>
      <c r="G10" s="77">
        <v>0</v>
      </c>
      <c r="L10" s="41" t="s">
        <v>269</v>
      </c>
      <c r="M10" s="41">
        <v>11</v>
      </c>
      <c r="N10" s="41" t="s">
        <v>1637</v>
      </c>
      <c r="O10" s="41" t="s">
        <v>1638</v>
      </c>
      <c r="S10" s="60">
        <v>0</v>
      </c>
      <c r="T10" s="60">
        <v>0</v>
      </c>
      <c r="U10" s="60">
        <v>0</v>
      </c>
      <c r="V10" s="60" t="s">
        <v>1094</v>
      </c>
      <c r="W10" s="60" t="s">
        <v>17</v>
      </c>
      <c r="X10" s="60">
        <v>0</v>
      </c>
      <c r="Y10" s="60">
        <v>0</v>
      </c>
      <c r="Z10" s="60" t="s">
        <v>1095</v>
      </c>
      <c r="AA10" s="60" t="s">
        <v>16</v>
      </c>
      <c r="AF10" s="23"/>
      <c r="AI10" s="208" t="s">
        <v>1235</v>
      </c>
      <c r="AJ10" s="208">
        <v>0</v>
      </c>
      <c r="AK10" s="208">
        <v>0</v>
      </c>
    </row>
    <row r="11" spans="1:40" x14ac:dyDescent="0.25">
      <c r="A11" s="9">
        <v>0</v>
      </c>
      <c r="B11" s="9" t="s">
        <v>952</v>
      </c>
      <c r="C11" s="9" t="s">
        <v>1200</v>
      </c>
      <c r="E11" s="11" t="s">
        <v>25</v>
      </c>
      <c r="G11" s="77" t="s">
        <v>943</v>
      </c>
      <c r="L11" s="41" t="s">
        <v>270</v>
      </c>
      <c r="M11" s="41">
        <v>45</v>
      </c>
      <c r="N11" s="41" t="s">
        <v>1637</v>
      </c>
      <c r="O11" s="41" t="s">
        <v>1638</v>
      </c>
      <c r="S11" s="60">
        <v>0</v>
      </c>
      <c r="T11" s="60">
        <v>0</v>
      </c>
      <c r="U11" s="60">
        <v>0</v>
      </c>
      <c r="V11" s="60" t="s">
        <v>1094</v>
      </c>
      <c r="W11" s="60" t="s">
        <v>17</v>
      </c>
      <c r="X11" s="60">
        <v>0</v>
      </c>
      <c r="Y11" s="60">
        <v>0</v>
      </c>
      <c r="Z11" s="60" t="s">
        <v>1095</v>
      </c>
      <c r="AA11" s="60" t="s">
        <v>16</v>
      </c>
      <c r="AF11" s="23"/>
      <c r="AI11" s="208" t="s">
        <v>1236</v>
      </c>
      <c r="AJ11" s="208" t="s">
        <v>105</v>
      </c>
      <c r="AK11" s="208" t="s">
        <v>943</v>
      </c>
    </row>
    <row r="12" spans="1:40" x14ac:dyDescent="0.25">
      <c r="A12" s="9">
        <v>0</v>
      </c>
      <c r="B12" s="9" t="s">
        <v>51</v>
      </c>
      <c r="C12" s="9" t="s">
        <v>1201</v>
      </c>
      <c r="E12" s="11" t="s">
        <v>26</v>
      </c>
      <c r="G12" s="77" t="s">
        <v>1208</v>
      </c>
      <c r="L12" s="41" t="s">
        <v>271</v>
      </c>
      <c r="M12" s="41">
        <v>41</v>
      </c>
      <c r="N12" s="41" t="s">
        <v>1637</v>
      </c>
      <c r="O12" s="41" t="s">
        <v>1638</v>
      </c>
      <c r="S12" s="60">
        <v>0</v>
      </c>
      <c r="T12" s="60">
        <v>0</v>
      </c>
      <c r="U12" s="60">
        <v>0</v>
      </c>
      <c r="V12" s="60" t="s">
        <v>1094</v>
      </c>
      <c r="W12" s="60" t="s">
        <v>17</v>
      </c>
      <c r="X12" s="60">
        <v>0</v>
      </c>
      <c r="Y12" s="60">
        <v>0</v>
      </c>
      <c r="Z12" s="60" t="s">
        <v>1095</v>
      </c>
      <c r="AA12" s="60" t="s">
        <v>16</v>
      </c>
      <c r="AF12" s="23"/>
      <c r="AI12" s="208" t="s">
        <v>1237</v>
      </c>
      <c r="AJ12" s="208" t="s">
        <v>1206</v>
      </c>
      <c r="AK12" s="208" t="s">
        <v>1208</v>
      </c>
    </row>
    <row r="13" spans="1:40" x14ac:dyDescent="0.25">
      <c r="A13" s="9">
        <v>0</v>
      </c>
      <c r="B13" s="9" t="s">
        <v>1202</v>
      </c>
      <c r="C13" s="9" t="s">
        <v>105</v>
      </c>
      <c r="L13" s="41">
        <v>0</v>
      </c>
      <c r="M13" s="41">
        <v>0</v>
      </c>
      <c r="N13" s="41">
        <v>0</v>
      </c>
      <c r="O13" s="41">
        <v>0</v>
      </c>
      <c r="S13" s="60">
        <v>0</v>
      </c>
      <c r="T13" s="60">
        <v>0</v>
      </c>
      <c r="U13" s="60">
        <v>0</v>
      </c>
      <c r="V13" s="60" t="s">
        <v>1094</v>
      </c>
      <c r="W13" s="60" t="s">
        <v>17</v>
      </c>
      <c r="X13" s="60">
        <v>0</v>
      </c>
      <c r="Y13" s="60">
        <v>0</v>
      </c>
      <c r="Z13" s="60" t="s">
        <v>1095</v>
      </c>
      <c r="AA13" s="60" t="s">
        <v>16</v>
      </c>
      <c r="AF13" s="23"/>
      <c r="AI13" s="208" t="s">
        <v>1238</v>
      </c>
      <c r="AJ13" s="208" t="s">
        <v>1212</v>
      </c>
      <c r="AK13" s="208" t="s">
        <v>1208</v>
      </c>
    </row>
    <row r="14" spans="1:40" x14ac:dyDescent="0.25">
      <c r="A14" s="9">
        <v>0</v>
      </c>
      <c r="B14" s="9" t="s">
        <v>1203</v>
      </c>
      <c r="C14" s="9" t="s">
        <v>943</v>
      </c>
      <c r="S14" s="60">
        <v>0</v>
      </c>
      <c r="T14" s="60">
        <v>0</v>
      </c>
      <c r="U14" s="60">
        <v>0</v>
      </c>
      <c r="V14" s="60" t="s">
        <v>1094</v>
      </c>
      <c r="W14" s="60" t="s">
        <v>17</v>
      </c>
      <c r="X14" s="60">
        <v>0</v>
      </c>
      <c r="Y14" s="60">
        <v>0</v>
      </c>
      <c r="Z14" s="60" t="s">
        <v>1095</v>
      </c>
      <c r="AA14" s="60" t="s">
        <v>16</v>
      </c>
      <c r="AF14" s="23"/>
      <c r="AI14" s="208" t="s">
        <v>1239</v>
      </c>
      <c r="AJ14" s="208" t="s">
        <v>51</v>
      </c>
      <c r="AK14" s="208" t="s">
        <v>943</v>
      </c>
    </row>
    <row r="15" spans="1:40" x14ac:dyDescent="0.25">
      <c r="A15" s="9">
        <v>0</v>
      </c>
      <c r="B15" s="9" t="s">
        <v>1204</v>
      </c>
      <c r="C15" s="9" t="s">
        <v>189</v>
      </c>
      <c r="S15" s="60">
        <v>0</v>
      </c>
      <c r="T15" s="60">
        <v>0</v>
      </c>
      <c r="U15" s="60">
        <v>0</v>
      </c>
      <c r="V15" s="60" t="s">
        <v>1094</v>
      </c>
      <c r="W15" s="60" t="s">
        <v>17</v>
      </c>
      <c r="X15" s="60">
        <v>0</v>
      </c>
      <c r="Y15" s="60">
        <v>0</v>
      </c>
      <c r="Z15" s="60" t="s">
        <v>1095</v>
      </c>
      <c r="AA15" s="60" t="s">
        <v>16</v>
      </c>
      <c r="AF15" s="23"/>
      <c r="AI15" s="208" t="s">
        <v>1240</v>
      </c>
      <c r="AJ15" s="208" t="s">
        <v>51</v>
      </c>
      <c r="AK15" s="208" t="s">
        <v>943</v>
      </c>
    </row>
    <row r="16" spans="1:40" x14ac:dyDescent="0.25">
      <c r="A16" s="9">
        <v>0</v>
      </c>
      <c r="B16" s="9" t="s">
        <v>1205</v>
      </c>
      <c r="C16" s="9" t="s">
        <v>953</v>
      </c>
      <c r="S16" s="60">
        <v>0</v>
      </c>
      <c r="T16" s="60">
        <v>0</v>
      </c>
      <c r="U16" s="60">
        <v>0</v>
      </c>
      <c r="V16" s="60" t="s">
        <v>1094</v>
      </c>
      <c r="W16" s="60" t="s">
        <v>17</v>
      </c>
      <c r="X16" s="60">
        <v>0</v>
      </c>
      <c r="Y16" s="60">
        <v>0</v>
      </c>
      <c r="Z16" s="60" t="s">
        <v>1095</v>
      </c>
      <c r="AA16" s="60" t="s">
        <v>16</v>
      </c>
      <c r="AF16" s="23"/>
      <c r="AI16" s="208" t="s">
        <v>285</v>
      </c>
      <c r="AJ16" s="208" t="s">
        <v>921</v>
      </c>
      <c r="AK16" s="208" t="s">
        <v>946</v>
      </c>
    </row>
    <row r="17" spans="1:37" x14ac:dyDescent="0.25">
      <c r="A17" s="9">
        <v>0</v>
      </c>
      <c r="B17" s="9" t="s">
        <v>1206</v>
      </c>
      <c r="C17" s="9" t="s">
        <v>1207</v>
      </c>
      <c r="S17" s="60">
        <v>0</v>
      </c>
      <c r="T17" s="60">
        <v>0</v>
      </c>
      <c r="U17" s="60">
        <v>0</v>
      </c>
      <c r="V17" s="60" t="s">
        <v>1094</v>
      </c>
      <c r="W17" s="60" t="s">
        <v>17</v>
      </c>
      <c r="X17" s="60">
        <v>0</v>
      </c>
      <c r="Y17" s="60">
        <v>0</v>
      </c>
      <c r="Z17" s="60" t="s">
        <v>1095</v>
      </c>
      <c r="AA17" s="60" t="s">
        <v>16</v>
      </c>
      <c r="AF17" s="23"/>
      <c r="AI17" s="208" t="s">
        <v>782</v>
      </c>
      <c r="AJ17" s="208" t="s">
        <v>1228</v>
      </c>
      <c r="AK17" s="208" t="s">
        <v>1210</v>
      </c>
    </row>
    <row r="18" spans="1:37" x14ac:dyDescent="0.25">
      <c r="A18" s="9">
        <v>0</v>
      </c>
      <c r="B18" s="9" t="s">
        <v>1025</v>
      </c>
      <c r="C18" s="9" t="s">
        <v>1208</v>
      </c>
      <c r="S18" s="60">
        <v>0</v>
      </c>
      <c r="T18" s="60">
        <v>0</v>
      </c>
      <c r="U18" s="60">
        <v>0</v>
      </c>
      <c r="V18" s="60" t="s">
        <v>1094</v>
      </c>
      <c r="W18" s="60" t="s">
        <v>17</v>
      </c>
      <c r="X18" s="60">
        <v>0</v>
      </c>
      <c r="Y18" s="60">
        <v>0</v>
      </c>
      <c r="Z18" s="60" t="s">
        <v>1095</v>
      </c>
      <c r="AA18" s="60" t="s">
        <v>16</v>
      </c>
      <c r="AI18" s="208" t="s">
        <v>131</v>
      </c>
      <c r="AJ18" s="208" t="s">
        <v>1228</v>
      </c>
      <c r="AK18" s="208" t="s">
        <v>1210</v>
      </c>
    </row>
    <row r="19" spans="1:37" x14ac:dyDescent="0.25">
      <c r="A19" s="9">
        <v>0</v>
      </c>
      <c r="B19" s="9" t="s">
        <v>1027</v>
      </c>
      <c r="C19" s="9" t="s">
        <v>1209</v>
      </c>
      <c r="S19" s="60">
        <v>0</v>
      </c>
      <c r="T19" s="60">
        <v>0</v>
      </c>
      <c r="U19" s="60">
        <v>0</v>
      </c>
      <c r="V19" s="60" t="s">
        <v>1094</v>
      </c>
      <c r="W19" s="60" t="s">
        <v>17</v>
      </c>
      <c r="X19" s="60">
        <v>0</v>
      </c>
      <c r="Y19" s="60">
        <v>0</v>
      </c>
      <c r="Z19" s="60" t="s">
        <v>1095</v>
      </c>
      <c r="AA19" s="60" t="s">
        <v>16</v>
      </c>
      <c r="AI19" s="208" t="s">
        <v>133</v>
      </c>
      <c r="AJ19" s="208" t="s">
        <v>1228</v>
      </c>
      <c r="AK19" s="208" t="s">
        <v>1210</v>
      </c>
    </row>
    <row r="20" spans="1:37" x14ac:dyDescent="0.25">
      <c r="A20" s="9">
        <v>0</v>
      </c>
      <c r="B20" s="9" t="s">
        <v>1032</v>
      </c>
      <c r="C20" s="9" t="s">
        <v>1210</v>
      </c>
      <c r="S20" s="60">
        <v>0</v>
      </c>
      <c r="T20" s="60">
        <v>0</v>
      </c>
      <c r="U20" s="60">
        <v>0</v>
      </c>
      <c r="V20" s="60" t="s">
        <v>1094</v>
      </c>
      <c r="W20" s="60" t="s">
        <v>17</v>
      </c>
      <c r="X20" s="60">
        <v>0</v>
      </c>
      <c r="Y20" s="60">
        <v>0</v>
      </c>
      <c r="Z20" s="60" t="s">
        <v>1095</v>
      </c>
      <c r="AA20" s="60" t="s">
        <v>16</v>
      </c>
      <c r="AI20" s="208" t="s">
        <v>412</v>
      </c>
      <c r="AJ20" s="208" t="s">
        <v>925</v>
      </c>
      <c r="AK20" s="208" t="s">
        <v>925</v>
      </c>
    </row>
    <row r="21" spans="1:37" x14ac:dyDescent="0.25">
      <c r="A21" s="9">
        <v>0</v>
      </c>
      <c r="B21" s="9" t="s">
        <v>1036</v>
      </c>
      <c r="C21" s="9" t="s">
        <v>972</v>
      </c>
      <c r="S21" s="60">
        <v>0</v>
      </c>
      <c r="T21" s="60">
        <v>0</v>
      </c>
      <c r="U21" s="60">
        <v>0</v>
      </c>
      <c r="V21" s="60" t="s">
        <v>1094</v>
      </c>
      <c r="W21" s="60" t="s">
        <v>17</v>
      </c>
      <c r="X21" s="60">
        <v>0</v>
      </c>
      <c r="Y21" s="60">
        <v>0</v>
      </c>
      <c r="Z21" s="60" t="s">
        <v>1095</v>
      </c>
      <c r="AA21" s="60" t="s">
        <v>16</v>
      </c>
      <c r="AI21" s="208" t="s">
        <v>413</v>
      </c>
      <c r="AJ21" s="208" t="s">
        <v>925</v>
      </c>
      <c r="AK21" s="208" t="s">
        <v>925</v>
      </c>
    </row>
    <row r="22" spans="1:37" x14ac:dyDescent="0.25">
      <c r="A22" s="9">
        <v>0</v>
      </c>
      <c r="B22" s="9" t="s">
        <v>1039</v>
      </c>
      <c r="C22" s="9" t="s">
        <v>1211</v>
      </c>
      <c r="S22" s="60">
        <v>0</v>
      </c>
      <c r="T22" s="60">
        <v>0</v>
      </c>
      <c r="U22" s="60">
        <v>0</v>
      </c>
      <c r="V22" s="60" t="s">
        <v>1094</v>
      </c>
      <c r="W22" s="60" t="s">
        <v>17</v>
      </c>
      <c r="X22" s="60">
        <v>0</v>
      </c>
      <c r="Y22" s="60">
        <v>0</v>
      </c>
      <c r="Z22" s="60" t="s">
        <v>1095</v>
      </c>
      <c r="AA22" s="60" t="s">
        <v>16</v>
      </c>
      <c r="AI22" s="208" t="s">
        <v>783</v>
      </c>
      <c r="AJ22" s="208" t="s">
        <v>1228</v>
      </c>
      <c r="AK22" s="208" t="s">
        <v>1210</v>
      </c>
    </row>
    <row r="23" spans="1:37" x14ac:dyDescent="0.25">
      <c r="A23" s="9">
        <v>0</v>
      </c>
      <c r="B23" s="9" t="s">
        <v>1212</v>
      </c>
      <c r="C23" s="9" t="s">
        <v>1213</v>
      </c>
      <c r="AI23" s="208" t="s">
        <v>1241</v>
      </c>
      <c r="AJ23" s="208" t="s">
        <v>1196</v>
      </c>
      <c r="AK23" s="208" t="s">
        <v>943</v>
      </c>
    </row>
    <row r="24" spans="1:37" x14ac:dyDescent="0.25">
      <c r="A24" s="9">
        <v>0</v>
      </c>
      <c r="B24" s="9" t="s">
        <v>1214</v>
      </c>
      <c r="C24" s="9" t="s">
        <v>1215</v>
      </c>
      <c r="AI24" s="208" t="s">
        <v>382</v>
      </c>
      <c r="AJ24" s="208" t="s">
        <v>1198</v>
      </c>
      <c r="AK24" s="208" t="s">
        <v>943</v>
      </c>
    </row>
    <row r="25" spans="1:37" x14ac:dyDescent="0.25">
      <c r="A25" s="9">
        <v>0</v>
      </c>
      <c r="B25" s="9" t="s">
        <v>952</v>
      </c>
      <c r="C25" s="9" t="s">
        <v>1033</v>
      </c>
      <c r="AI25" s="208" t="s">
        <v>1024</v>
      </c>
      <c r="AJ25" s="208" t="s">
        <v>1025</v>
      </c>
      <c r="AK25" s="208" t="s">
        <v>189</v>
      </c>
    </row>
    <row r="26" spans="1:37" x14ac:dyDescent="0.25">
      <c r="A26" s="9">
        <v>0</v>
      </c>
      <c r="B26" s="9" t="s">
        <v>1216</v>
      </c>
      <c r="C26" s="9" t="s">
        <v>1058</v>
      </c>
      <c r="AI26" s="208" t="s">
        <v>1026</v>
      </c>
      <c r="AJ26" s="208" t="s">
        <v>1027</v>
      </c>
      <c r="AK26" s="208" t="s">
        <v>189</v>
      </c>
    </row>
    <row r="27" spans="1:37" x14ac:dyDescent="0.25">
      <c r="A27" s="9">
        <v>0</v>
      </c>
      <c r="B27" s="9" t="s">
        <v>1217</v>
      </c>
      <c r="C27" s="9">
        <v>0</v>
      </c>
      <c r="AI27" s="208" t="s">
        <v>1242</v>
      </c>
      <c r="AJ27" s="208" t="s">
        <v>632</v>
      </c>
      <c r="AK27" s="208" t="s">
        <v>943</v>
      </c>
    </row>
    <row r="28" spans="1:37" x14ac:dyDescent="0.25">
      <c r="A28" s="9">
        <v>0</v>
      </c>
      <c r="B28" s="9" t="s">
        <v>1218</v>
      </c>
      <c r="C28" s="9">
        <v>0</v>
      </c>
      <c r="AI28" s="208" t="s">
        <v>1243</v>
      </c>
      <c r="AJ28" s="208" t="s">
        <v>1196</v>
      </c>
      <c r="AK28" s="208" t="s">
        <v>943</v>
      </c>
    </row>
    <row r="29" spans="1:37" x14ac:dyDescent="0.25">
      <c r="A29" s="9">
        <v>0</v>
      </c>
      <c r="B29" s="9" t="s">
        <v>1219</v>
      </c>
      <c r="C29" s="9">
        <v>0</v>
      </c>
      <c r="AI29" s="208" t="s">
        <v>1244</v>
      </c>
      <c r="AJ29" s="208" t="s">
        <v>921</v>
      </c>
      <c r="AK29" s="208" t="s">
        <v>922</v>
      </c>
    </row>
    <row r="30" spans="1:37" x14ac:dyDescent="0.25">
      <c r="A30" s="9">
        <v>0</v>
      </c>
      <c r="B30" s="9" t="s">
        <v>1220</v>
      </c>
      <c r="C30" s="9">
        <v>0</v>
      </c>
      <c r="AI30" s="208" t="s">
        <v>1245</v>
      </c>
      <c r="AJ30" s="208" t="s">
        <v>921</v>
      </c>
      <c r="AK30" s="208" t="s">
        <v>922</v>
      </c>
    </row>
    <row r="31" spans="1:37" x14ac:dyDescent="0.25">
      <c r="A31" s="9">
        <v>0</v>
      </c>
      <c r="B31" s="9" t="s">
        <v>1221</v>
      </c>
      <c r="C31" s="9">
        <v>0</v>
      </c>
      <c r="AI31" s="208" t="s">
        <v>444</v>
      </c>
      <c r="AJ31" s="208" t="s">
        <v>917</v>
      </c>
      <c r="AK31" s="208" t="s">
        <v>918</v>
      </c>
    </row>
    <row r="32" spans="1:37" x14ac:dyDescent="0.25">
      <c r="A32" s="9">
        <v>0</v>
      </c>
      <c r="B32" s="9" t="s">
        <v>1222</v>
      </c>
      <c r="C32" s="9">
        <v>0</v>
      </c>
      <c r="AI32" s="208" t="s">
        <v>707</v>
      </c>
      <c r="AJ32" s="208" t="s">
        <v>921</v>
      </c>
      <c r="AK32" s="208" t="s">
        <v>946</v>
      </c>
    </row>
    <row r="33" spans="1:37" x14ac:dyDescent="0.25">
      <c r="A33" s="9">
        <v>0</v>
      </c>
      <c r="B33" s="9" t="s">
        <v>917</v>
      </c>
      <c r="C33" s="9">
        <v>0</v>
      </c>
      <c r="AI33" s="208" t="s">
        <v>1246</v>
      </c>
      <c r="AJ33" s="208">
        <v>0</v>
      </c>
      <c r="AK33" s="208">
        <v>0</v>
      </c>
    </row>
    <row r="34" spans="1:37" x14ac:dyDescent="0.25">
      <c r="A34" s="9">
        <v>0</v>
      </c>
      <c r="B34" s="9" t="s">
        <v>942</v>
      </c>
      <c r="C34" s="9">
        <v>0</v>
      </c>
      <c r="AI34" s="208" t="s">
        <v>1247</v>
      </c>
      <c r="AJ34" s="208" t="s">
        <v>921</v>
      </c>
      <c r="AK34" s="208" t="s">
        <v>918</v>
      </c>
    </row>
    <row r="35" spans="1:37" x14ac:dyDescent="0.25">
      <c r="A35" s="9">
        <v>0</v>
      </c>
      <c r="B35" s="9" t="s">
        <v>1041</v>
      </c>
      <c r="C35" s="9">
        <v>0</v>
      </c>
      <c r="AI35" s="208" t="s">
        <v>1248</v>
      </c>
      <c r="AJ35" s="208">
        <v>0</v>
      </c>
      <c r="AK35" s="208">
        <v>0</v>
      </c>
    </row>
    <row r="36" spans="1:37" x14ac:dyDescent="0.25">
      <c r="A36" s="9">
        <v>0</v>
      </c>
      <c r="B36" s="9" t="s">
        <v>1046</v>
      </c>
      <c r="C36" s="9">
        <v>0</v>
      </c>
      <c r="AI36" s="208" t="s">
        <v>1249</v>
      </c>
      <c r="AJ36" s="208" t="s">
        <v>105</v>
      </c>
      <c r="AK36" s="208" t="s">
        <v>943</v>
      </c>
    </row>
    <row r="37" spans="1:37" x14ac:dyDescent="0.25">
      <c r="A37" s="9">
        <v>0</v>
      </c>
      <c r="B37" s="9" t="s">
        <v>1043</v>
      </c>
      <c r="C37" s="9">
        <v>0</v>
      </c>
      <c r="AI37" s="208" t="s">
        <v>1250</v>
      </c>
      <c r="AJ37" s="208" t="s">
        <v>1205</v>
      </c>
      <c r="AK37" s="208" t="s">
        <v>1208</v>
      </c>
    </row>
    <row r="38" spans="1:37" x14ac:dyDescent="0.25">
      <c r="A38" s="9">
        <v>0</v>
      </c>
      <c r="B38" s="9" t="s">
        <v>1223</v>
      </c>
      <c r="C38" s="9">
        <v>0</v>
      </c>
      <c r="AI38" s="208" t="s">
        <v>1251</v>
      </c>
      <c r="AJ38" s="208" t="s">
        <v>1214</v>
      </c>
      <c r="AK38" s="208" t="s">
        <v>1208</v>
      </c>
    </row>
    <row r="39" spans="1:37" x14ac:dyDescent="0.25">
      <c r="A39" s="9">
        <v>0</v>
      </c>
      <c r="B39" s="9" t="s">
        <v>1224</v>
      </c>
      <c r="C39" s="9">
        <v>0</v>
      </c>
      <c r="AI39" s="208" t="s">
        <v>442</v>
      </c>
      <c r="AJ39" s="208" t="s">
        <v>921</v>
      </c>
      <c r="AK39" s="208" t="s">
        <v>946</v>
      </c>
    </row>
    <row r="40" spans="1:37" x14ac:dyDescent="0.25">
      <c r="A40" s="9">
        <v>0</v>
      </c>
      <c r="B40" s="9" t="s">
        <v>1225</v>
      </c>
      <c r="C40" s="9">
        <v>0</v>
      </c>
      <c r="AI40" s="208" t="s">
        <v>426</v>
      </c>
      <c r="AJ40" s="208" t="s">
        <v>925</v>
      </c>
      <c r="AK40" s="208" t="s">
        <v>925</v>
      </c>
    </row>
    <row r="41" spans="1:37" x14ac:dyDescent="0.25">
      <c r="A41" s="9">
        <v>0</v>
      </c>
      <c r="B41" s="9" t="s">
        <v>1226</v>
      </c>
      <c r="C41" s="9">
        <v>0</v>
      </c>
      <c r="AI41" s="208" t="s">
        <v>439</v>
      </c>
      <c r="AJ41" s="208" t="s">
        <v>925</v>
      </c>
      <c r="AK41" s="208" t="s">
        <v>925</v>
      </c>
    </row>
    <row r="42" spans="1:37" x14ac:dyDescent="0.25">
      <c r="A42" s="9">
        <v>0</v>
      </c>
      <c r="B42" s="9" t="s">
        <v>1227</v>
      </c>
      <c r="C42" s="9">
        <v>0</v>
      </c>
      <c r="AI42" s="208" t="s">
        <v>663</v>
      </c>
      <c r="AJ42" s="208" t="s">
        <v>921</v>
      </c>
      <c r="AK42" s="208" t="s">
        <v>922</v>
      </c>
    </row>
    <row r="43" spans="1:37" x14ac:dyDescent="0.25">
      <c r="A43" s="9">
        <v>0</v>
      </c>
      <c r="B43" s="9" t="s">
        <v>975</v>
      </c>
      <c r="C43" s="9">
        <v>0</v>
      </c>
      <c r="AI43" s="208" t="s">
        <v>1252</v>
      </c>
      <c r="AJ43" s="208" t="s">
        <v>952</v>
      </c>
      <c r="AK43" s="208" t="s">
        <v>953</v>
      </c>
    </row>
    <row r="44" spans="1:37" x14ac:dyDescent="0.25">
      <c r="A44" s="9">
        <v>0</v>
      </c>
      <c r="B44" s="9" t="s">
        <v>1228</v>
      </c>
      <c r="C44" s="9">
        <v>0</v>
      </c>
      <c r="AI44" s="208" t="s">
        <v>1253</v>
      </c>
      <c r="AJ44" s="208" t="s">
        <v>952</v>
      </c>
      <c r="AK44" s="208" t="s">
        <v>953</v>
      </c>
    </row>
    <row r="45" spans="1:37" x14ac:dyDescent="0.25">
      <c r="A45" s="9">
        <v>0</v>
      </c>
      <c r="B45" s="9" t="s">
        <v>1053</v>
      </c>
      <c r="C45" s="9">
        <v>0</v>
      </c>
      <c r="AI45" s="208" t="s">
        <v>1254</v>
      </c>
      <c r="AJ45" s="208" t="s">
        <v>1202</v>
      </c>
      <c r="AK45" s="208" t="s">
        <v>1208</v>
      </c>
    </row>
    <row r="46" spans="1:37" x14ac:dyDescent="0.25">
      <c r="A46" s="9">
        <v>0</v>
      </c>
      <c r="B46" s="9" t="s">
        <v>971</v>
      </c>
      <c r="C46" s="9">
        <v>0</v>
      </c>
      <c r="AI46" s="208" t="s">
        <v>1255</v>
      </c>
      <c r="AJ46" s="208" t="s">
        <v>1202</v>
      </c>
      <c r="AK46" s="208" t="s">
        <v>1208</v>
      </c>
    </row>
    <row r="47" spans="1:37" x14ac:dyDescent="0.25">
      <c r="A47" s="9">
        <v>0</v>
      </c>
      <c r="B47" s="9" t="s">
        <v>1229</v>
      </c>
      <c r="C47" s="9">
        <v>0</v>
      </c>
      <c r="AI47" s="208" t="s">
        <v>1256</v>
      </c>
      <c r="AJ47" s="208" t="s">
        <v>1202</v>
      </c>
      <c r="AK47" s="208" t="s">
        <v>1208</v>
      </c>
    </row>
    <row r="48" spans="1:37" x14ac:dyDescent="0.25">
      <c r="A48" s="9">
        <v>0</v>
      </c>
      <c r="B48" s="9" t="s">
        <v>1066</v>
      </c>
      <c r="C48" s="9">
        <v>0</v>
      </c>
      <c r="AI48" s="208" t="s">
        <v>1257</v>
      </c>
      <c r="AJ48" s="208" t="s">
        <v>1202</v>
      </c>
      <c r="AK48" s="208" t="s">
        <v>1208</v>
      </c>
    </row>
    <row r="49" spans="1:37" x14ac:dyDescent="0.25">
      <c r="A49" s="9">
        <v>0</v>
      </c>
      <c r="B49" s="9" t="s">
        <v>1068</v>
      </c>
      <c r="C49" s="9">
        <v>0</v>
      </c>
      <c r="AI49" s="208" t="s">
        <v>1258</v>
      </c>
      <c r="AJ49" s="208" t="s">
        <v>952</v>
      </c>
      <c r="AK49" s="208" t="s">
        <v>953</v>
      </c>
    </row>
    <row r="50" spans="1:37" x14ac:dyDescent="0.25">
      <c r="A50" s="9">
        <v>0</v>
      </c>
      <c r="B50" s="9" t="s">
        <v>1230</v>
      </c>
      <c r="C50" s="9">
        <v>0</v>
      </c>
      <c r="AI50" s="208" t="s">
        <v>1259</v>
      </c>
      <c r="AJ50" s="208" t="s">
        <v>1216</v>
      </c>
      <c r="AK50" s="208" t="s">
        <v>1208</v>
      </c>
    </row>
    <row r="51" spans="1:37" x14ac:dyDescent="0.25">
      <c r="AI51" s="208" t="s">
        <v>1260</v>
      </c>
      <c r="AJ51" s="208" t="s">
        <v>1202</v>
      </c>
      <c r="AK51" s="208" t="s">
        <v>1208</v>
      </c>
    </row>
    <row r="52" spans="1:37" x14ac:dyDescent="0.25">
      <c r="AI52" s="208" t="s">
        <v>1261</v>
      </c>
      <c r="AJ52" s="208" t="s">
        <v>1202</v>
      </c>
      <c r="AK52" s="208" t="s">
        <v>1208</v>
      </c>
    </row>
    <row r="53" spans="1:37" x14ac:dyDescent="0.25">
      <c r="AI53" s="208" t="s">
        <v>1262</v>
      </c>
      <c r="AJ53" s="208" t="s">
        <v>1202</v>
      </c>
      <c r="AK53" s="208" t="s">
        <v>1208</v>
      </c>
    </row>
    <row r="54" spans="1:37" x14ac:dyDescent="0.25">
      <c r="AI54" s="208" t="s">
        <v>1263</v>
      </c>
      <c r="AJ54" s="208" t="s">
        <v>1202</v>
      </c>
      <c r="AK54" s="208" t="s">
        <v>1208</v>
      </c>
    </row>
    <row r="55" spans="1:37" x14ac:dyDescent="0.25">
      <c r="AI55" s="208" t="s">
        <v>1264</v>
      </c>
      <c r="AJ55" s="208" t="s">
        <v>1216</v>
      </c>
      <c r="AK55" s="208" t="s">
        <v>1208</v>
      </c>
    </row>
    <row r="56" spans="1:37" x14ac:dyDescent="0.25">
      <c r="AI56" s="208" t="s">
        <v>1265</v>
      </c>
      <c r="AJ56" s="208" t="s">
        <v>1203</v>
      </c>
      <c r="AK56" s="208" t="s">
        <v>943</v>
      </c>
    </row>
    <row r="57" spans="1:37" x14ac:dyDescent="0.25">
      <c r="AI57" s="208" t="s">
        <v>661</v>
      </c>
      <c r="AJ57" s="208" t="s">
        <v>632</v>
      </c>
      <c r="AK57" s="208" t="s">
        <v>943</v>
      </c>
    </row>
    <row r="58" spans="1:37" x14ac:dyDescent="0.25">
      <c r="AI58" s="208" t="s">
        <v>1266</v>
      </c>
      <c r="AJ58" s="208" t="s">
        <v>51</v>
      </c>
      <c r="AK58" s="208" t="s">
        <v>946</v>
      </c>
    </row>
    <row r="59" spans="1:37" x14ac:dyDescent="0.25">
      <c r="AI59" s="208" t="s">
        <v>1267</v>
      </c>
      <c r="AJ59" s="208" t="s">
        <v>1218</v>
      </c>
      <c r="AK59" s="208" t="s">
        <v>1208</v>
      </c>
    </row>
    <row r="60" spans="1:37" x14ac:dyDescent="0.25">
      <c r="AI60" s="208" t="s">
        <v>409</v>
      </c>
      <c r="AJ60" s="208" t="s">
        <v>921</v>
      </c>
      <c r="AK60" s="208" t="s">
        <v>922</v>
      </c>
    </row>
    <row r="61" spans="1:37" x14ac:dyDescent="0.25">
      <c r="AI61" s="208" t="s">
        <v>432</v>
      </c>
      <c r="AJ61" s="208" t="s">
        <v>921</v>
      </c>
      <c r="AK61" s="208" t="s">
        <v>922</v>
      </c>
    </row>
    <row r="62" spans="1:37" x14ac:dyDescent="0.25">
      <c r="AI62" s="208" t="s">
        <v>1268</v>
      </c>
      <c r="AJ62" s="208" t="s">
        <v>921</v>
      </c>
      <c r="AK62" s="208" t="s">
        <v>922</v>
      </c>
    </row>
    <row r="63" spans="1:37" x14ac:dyDescent="0.25">
      <c r="AI63" s="208" t="s">
        <v>1269</v>
      </c>
      <c r="AJ63" s="208" t="s">
        <v>921</v>
      </c>
      <c r="AK63" s="208" t="s">
        <v>922</v>
      </c>
    </row>
    <row r="64" spans="1:37" x14ac:dyDescent="0.25">
      <c r="AI64" s="208" t="s">
        <v>1270</v>
      </c>
      <c r="AJ64" s="208" t="s">
        <v>1202</v>
      </c>
      <c r="AK64" s="208" t="s">
        <v>1208</v>
      </c>
    </row>
    <row r="65" spans="35:37" x14ac:dyDescent="0.25">
      <c r="AI65" s="208" t="s">
        <v>1271</v>
      </c>
      <c r="AJ65" s="208" t="s">
        <v>1202</v>
      </c>
      <c r="AK65" s="208" t="s">
        <v>1208</v>
      </c>
    </row>
    <row r="66" spans="35:37" x14ac:dyDescent="0.25">
      <c r="AI66" s="208" t="s">
        <v>1272</v>
      </c>
      <c r="AJ66" s="208" t="s">
        <v>1218</v>
      </c>
      <c r="AK66" s="208" t="s">
        <v>1208</v>
      </c>
    </row>
    <row r="67" spans="35:37" x14ac:dyDescent="0.25">
      <c r="AI67" s="208" t="s">
        <v>1273</v>
      </c>
      <c r="AJ67" s="208" t="s">
        <v>1218</v>
      </c>
      <c r="AK67" s="208" t="s">
        <v>1208</v>
      </c>
    </row>
    <row r="68" spans="35:37" x14ac:dyDescent="0.25">
      <c r="AI68" s="208" t="s">
        <v>1274</v>
      </c>
      <c r="AJ68" s="208" t="s">
        <v>1218</v>
      </c>
      <c r="AK68" s="208" t="s">
        <v>1208</v>
      </c>
    </row>
    <row r="69" spans="35:37" x14ac:dyDescent="0.25">
      <c r="AI69" s="208" t="s">
        <v>1275</v>
      </c>
      <c r="AJ69" s="208" t="s">
        <v>1218</v>
      </c>
      <c r="AK69" s="208" t="s">
        <v>1208</v>
      </c>
    </row>
    <row r="70" spans="35:37" x14ac:dyDescent="0.25">
      <c r="AI70" s="208" t="s">
        <v>1276</v>
      </c>
      <c r="AJ70" s="208" t="s">
        <v>1220</v>
      </c>
      <c r="AK70" s="208" t="s">
        <v>1208</v>
      </c>
    </row>
    <row r="71" spans="35:37" x14ac:dyDescent="0.25">
      <c r="AI71" s="208" t="s">
        <v>1277</v>
      </c>
      <c r="AJ71" s="208" t="s">
        <v>1220</v>
      </c>
      <c r="AK71" s="208" t="s">
        <v>1208</v>
      </c>
    </row>
    <row r="72" spans="35:37" x14ac:dyDescent="0.25">
      <c r="AI72" s="208" t="s">
        <v>1278</v>
      </c>
      <c r="AJ72" s="208" t="s">
        <v>1218</v>
      </c>
      <c r="AK72" s="208" t="s">
        <v>1208</v>
      </c>
    </row>
    <row r="73" spans="35:37" x14ac:dyDescent="0.25">
      <c r="AI73" s="208" t="s">
        <v>1279</v>
      </c>
      <c r="AJ73" s="208" t="s">
        <v>1220</v>
      </c>
      <c r="AK73" s="208" t="s">
        <v>1208</v>
      </c>
    </row>
    <row r="74" spans="35:37" x14ac:dyDescent="0.25">
      <c r="AI74" s="208" t="s">
        <v>1028</v>
      </c>
      <c r="AJ74" s="208" t="s">
        <v>1025</v>
      </c>
      <c r="AK74" s="208" t="s">
        <v>189</v>
      </c>
    </row>
    <row r="75" spans="35:37" x14ac:dyDescent="0.25">
      <c r="AI75" s="208" t="s">
        <v>1029</v>
      </c>
      <c r="AJ75" s="208" t="s">
        <v>1027</v>
      </c>
      <c r="AK75" s="208" t="s">
        <v>189</v>
      </c>
    </row>
    <row r="76" spans="35:37" x14ac:dyDescent="0.25">
      <c r="AI76" s="208" t="s">
        <v>1031</v>
      </c>
      <c r="AJ76" s="208" t="s">
        <v>1032</v>
      </c>
      <c r="AK76" s="208" t="s">
        <v>1033</v>
      </c>
    </row>
    <row r="77" spans="35:37" x14ac:dyDescent="0.25">
      <c r="AI77" s="208" t="s">
        <v>1035</v>
      </c>
      <c r="AJ77" s="208" t="s">
        <v>1036</v>
      </c>
      <c r="AK77" s="208" t="s">
        <v>1033</v>
      </c>
    </row>
    <row r="78" spans="35:37" x14ac:dyDescent="0.25">
      <c r="AI78" s="208" t="s">
        <v>1038</v>
      </c>
      <c r="AJ78" s="208" t="s">
        <v>1039</v>
      </c>
      <c r="AK78" s="208" t="s">
        <v>1033</v>
      </c>
    </row>
    <row r="79" spans="35:37" x14ac:dyDescent="0.25">
      <c r="AI79" s="208" t="s">
        <v>1280</v>
      </c>
      <c r="AJ79" s="208" t="s">
        <v>942</v>
      </c>
      <c r="AK79" s="208" t="s">
        <v>943</v>
      </c>
    </row>
    <row r="80" spans="35:37" x14ac:dyDescent="0.25">
      <c r="AI80" s="208" t="s">
        <v>1281</v>
      </c>
      <c r="AJ80" s="208" t="s">
        <v>942</v>
      </c>
      <c r="AK80" s="208" t="s">
        <v>943</v>
      </c>
    </row>
    <row r="81" spans="35:37" x14ac:dyDescent="0.25">
      <c r="AI81" s="208" t="s">
        <v>1282</v>
      </c>
      <c r="AJ81" s="208" t="s">
        <v>942</v>
      </c>
      <c r="AK81" s="208" t="s">
        <v>943</v>
      </c>
    </row>
    <row r="82" spans="35:37" x14ac:dyDescent="0.25">
      <c r="AI82" s="208" t="s">
        <v>1283</v>
      </c>
      <c r="AJ82" s="208" t="s">
        <v>942</v>
      </c>
      <c r="AK82" s="208" t="s">
        <v>943</v>
      </c>
    </row>
    <row r="83" spans="35:37" x14ac:dyDescent="0.25">
      <c r="AI83" s="208" t="s">
        <v>1284</v>
      </c>
      <c r="AJ83" s="208" t="s">
        <v>942</v>
      </c>
      <c r="AK83" s="208" t="s">
        <v>943</v>
      </c>
    </row>
    <row r="84" spans="35:37" x14ac:dyDescent="0.25">
      <c r="AI84" s="208" t="s">
        <v>1285</v>
      </c>
      <c r="AJ84" s="208" t="s">
        <v>952</v>
      </c>
      <c r="AK84" s="208" t="s">
        <v>953</v>
      </c>
    </row>
    <row r="85" spans="35:37" x14ac:dyDescent="0.25">
      <c r="AI85" s="208" t="s">
        <v>1286</v>
      </c>
      <c r="AJ85" s="208" t="s">
        <v>952</v>
      </c>
      <c r="AK85" s="208" t="s">
        <v>953</v>
      </c>
    </row>
    <row r="86" spans="35:37" x14ac:dyDescent="0.25">
      <c r="AI86" s="208" t="s">
        <v>1287</v>
      </c>
      <c r="AJ86" s="208" t="s">
        <v>921</v>
      </c>
      <c r="AK86" s="208" t="s">
        <v>943</v>
      </c>
    </row>
    <row r="87" spans="35:37" x14ac:dyDescent="0.25">
      <c r="AI87" s="208" t="s">
        <v>1288</v>
      </c>
      <c r="AJ87" s="208" t="s">
        <v>921</v>
      </c>
      <c r="AK87" s="208" t="s">
        <v>943</v>
      </c>
    </row>
    <row r="88" spans="35:37" x14ac:dyDescent="0.25">
      <c r="AI88" s="208" t="s">
        <v>446</v>
      </c>
      <c r="AJ88" s="208" t="s">
        <v>921</v>
      </c>
      <c r="AK88" s="208" t="s">
        <v>922</v>
      </c>
    </row>
    <row r="89" spans="35:37" x14ac:dyDescent="0.25">
      <c r="AI89" s="208" t="s">
        <v>664</v>
      </c>
      <c r="AJ89" s="208" t="s">
        <v>921</v>
      </c>
      <c r="AK89" s="208" t="s">
        <v>922</v>
      </c>
    </row>
    <row r="90" spans="35:37" x14ac:dyDescent="0.25">
      <c r="AI90" s="208" t="s">
        <v>435</v>
      </c>
      <c r="AJ90" s="208" t="s">
        <v>925</v>
      </c>
      <c r="AK90" s="208" t="s">
        <v>925</v>
      </c>
    </row>
    <row r="91" spans="35:37" x14ac:dyDescent="0.25">
      <c r="AI91" s="208" t="s">
        <v>436</v>
      </c>
      <c r="AJ91" s="208" t="s">
        <v>925</v>
      </c>
      <c r="AK91" s="208" t="s">
        <v>925</v>
      </c>
    </row>
    <row r="92" spans="35:37" x14ac:dyDescent="0.25">
      <c r="AI92" s="208" t="s">
        <v>1289</v>
      </c>
      <c r="AJ92" s="208" t="s">
        <v>952</v>
      </c>
      <c r="AK92" s="208" t="s">
        <v>953</v>
      </c>
    </row>
    <row r="93" spans="35:37" x14ac:dyDescent="0.25">
      <c r="AI93" s="208" t="s">
        <v>1290</v>
      </c>
      <c r="AJ93" s="208" t="s">
        <v>952</v>
      </c>
      <c r="AK93" s="208" t="s">
        <v>953</v>
      </c>
    </row>
    <row r="94" spans="35:37" x14ac:dyDescent="0.25">
      <c r="AI94" s="208" t="s">
        <v>1040</v>
      </c>
      <c r="AJ94" s="208" t="s">
        <v>1041</v>
      </c>
      <c r="AK94" s="208" t="s">
        <v>189</v>
      </c>
    </row>
    <row r="95" spans="35:37" x14ac:dyDescent="0.25">
      <c r="AI95" s="208" t="s">
        <v>1048</v>
      </c>
      <c r="AJ95" s="208" t="s">
        <v>1041</v>
      </c>
      <c r="AK95" s="208" t="s">
        <v>189</v>
      </c>
    </row>
    <row r="96" spans="35:37" x14ac:dyDescent="0.25">
      <c r="AI96" s="208" t="s">
        <v>1042</v>
      </c>
      <c r="AJ96" s="208" t="s">
        <v>1043</v>
      </c>
      <c r="AK96" s="208" t="s">
        <v>189</v>
      </c>
    </row>
    <row r="97" spans="35:37" x14ac:dyDescent="0.25">
      <c r="AI97" s="208" t="s">
        <v>1049</v>
      </c>
      <c r="AJ97" s="208" t="s">
        <v>1043</v>
      </c>
      <c r="AK97" s="208" t="s">
        <v>189</v>
      </c>
    </row>
    <row r="98" spans="35:37" x14ac:dyDescent="0.25">
      <c r="AI98" s="208" t="s">
        <v>1045</v>
      </c>
      <c r="AJ98" s="208" t="s">
        <v>1046</v>
      </c>
      <c r="AK98" s="208" t="s">
        <v>189</v>
      </c>
    </row>
    <row r="99" spans="35:37" x14ac:dyDescent="0.25">
      <c r="AI99" s="208" t="s">
        <v>1050</v>
      </c>
      <c r="AJ99" s="208" t="s">
        <v>1046</v>
      </c>
      <c r="AK99" s="208" t="s">
        <v>189</v>
      </c>
    </row>
    <row r="100" spans="35:37" x14ac:dyDescent="0.25">
      <c r="AI100" s="208" t="s">
        <v>430</v>
      </c>
      <c r="AJ100" s="208" t="s">
        <v>1228</v>
      </c>
      <c r="AK100" s="208" t="s">
        <v>1210</v>
      </c>
    </row>
    <row r="101" spans="35:37" x14ac:dyDescent="0.25">
      <c r="AI101" s="208" t="s">
        <v>431</v>
      </c>
      <c r="AJ101" s="208" t="s">
        <v>1228</v>
      </c>
      <c r="AK101" s="208" t="s">
        <v>1210</v>
      </c>
    </row>
    <row r="102" spans="35:37" x14ac:dyDescent="0.25">
      <c r="AI102" s="208" t="s">
        <v>1291</v>
      </c>
      <c r="AJ102" s="208" t="s">
        <v>952</v>
      </c>
      <c r="AK102" s="208" t="s">
        <v>953</v>
      </c>
    </row>
    <row r="103" spans="35:37" x14ac:dyDescent="0.25">
      <c r="AI103" s="208" t="s">
        <v>437</v>
      </c>
      <c r="AJ103" s="208" t="s">
        <v>1228</v>
      </c>
      <c r="AK103" s="208" t="s">
        <v>1210</v>
      </c>
    </row>
    <row r="104" spans="35:37" x14ac:dyDescent="0.25">
      <c r="AI104" s="208" t="s">
        <v>438</v>
      </c>
      <c r="AJ104" s="208" t="s">
        <v>1228</v>
      </c>
      <c r="AK104" s="208" t="s">
        <v>1210</v>
      </c>
    </row>
    <row r="105" spans="35:37" x14ac:dyDescent="0.25">
      <c r="AI105" s="208" t="s">
        <v>1292</v>
      </c>
      <c r="AJ105" s="208" t="s">
        <v>632</v>
      </c>
      <c r="AK105" s="208" t="s">
        <v>943</v>
      </c>
    </row>
    <row r="106" spans="35:37" x14ac:dyDescent="0.25">
      <c r="AI106" s="208" t="s">
        <v>1293</v>
      </c>
      <c r="AJ106" s="208" t="s">
        <v>1203</v>
      </c>
      <c r="AK106" s="208" t="s">
        <v>943</v>
      </c>
    </row>
    <row r="107" spans="35:37" x14ac:dyDescent="0.25">
      <c r="AI107" s="208" t="s">
        <v>1294</v>
      </c>
      <c r="AJ107" s="208" t="s">
        <v>1204</v>
      </c>
      <c r="AK107" s="208" t="s">
        <v>1208</v>
      </c>
    </row>
    <row r="108" spans="35:37" x14ac:dyDescent="0.25">
      <c r="AI108" s="208" t="s">
        <v>1295</v>
      </c>
      <c r="AJ108" s="208" t="s">
        <v>1204</v>
      </c>
      <c r="AK108" s="208" t="s">
        <v>1208</v>
      </c>
    </row>
    <row r="109" spans="35:37" x14ac:dyDescent="0.25">
      <c r="AI109" s="208" t="s">
        <v>1296</v>
      </c>
      <c r="AJ109" s="208" t="s">
        <v>1204</v>
      </c>
      <c r="AK109" s="208" t="s">
        <v>1208</v>
      </c>
    </row>
    <row r="110" spans="35:37" x14ac:dyDescent="0.25">
      <c r="AI110" s="208" t="s">
        <v>1297</v>
      </c>
      <c r="AJ110" s="208" t="s">
        <v>1204</v>
      </c>
      <c r="AK110" s="208" t="s">
        <v>1208</v>
      </c>
    </row>
    <row r="111" spans="35:37" x14ac:dyDescent="0.25">
      <c r="AI111" s="208" t="s">
        <v>1298</v>
      </c>
      <c r="AJ111" s="208" t="s">
        <v>1217</v>
      </c>
      <c r="AK111" s="208" t="s">
        <v>1208</v>
      </c>
    </row>
    <row r="112" spans="35:37" x14ac:dyDescent="0.25">
      <c r="AI112" s="208" t="s">
        <v>479</v>
      </c>
      <c r="AJ112" s="208" t="s">
        <v>1223</v>
      </c>
      <c r="AK112" s="208" t="s">
        <v>1209</v>
      </c>
    </row>
    <row r="113" spans="35:37" x14ac:dyDescent="0.25">
      <c r="AI113" s="208" t="s">
        <v>481</v>
      </c>
      <c r="AJ113" s="208" t="s">
        <v>1223</v>
      </c>
      <c r="AK113" s="208" t="s">
        <v>1209</v>
      </c>
    </row>
    <row r="114" spans="35:37" x14ac:dyDescent="0.25">
      <c r="AI114" s="208" t="s">
        <v>490</v>
      </c>
      <c r="AJ114" s="208" t="s">
        <v>1224</v>
      </c>
      <c r="AK114" s="208" t="s">
        <v>1209</v>
      </c>
    </row>
    <row r="115" spans="35:37" x14ac:dyDescent="0.25">
      <c r="AI115" s="208" t="s">
        <v>535</v>
      </c>
      <c r="AJ115" s="208" t="s">
        <v>1225</v>
      </c>
      <c r="AK115" s="208" t="s">
        <v>1209</v>
      </c>
    </row>
    <row r="116" spans="35:37" x14ac:dyDescent="0.25">
      <c r="AI116" s="208" t="s">
        <v>1299</v>
      </c>
      <c r="AJ116" s="208" t="s">
        <v>975</v>
      </c>
      <c r="AK116" s="208" t="s">
        <v>953</v>
      </c>
    </row>
    <row r="117" spans="35:37" x14ac:dyDescent="0.25">
      <c r="AI117" s="208" t="s">
        <v>1300</v>
      </c>
      <c r="AJ117" s="208" t="s">
        <v>975</v>
      </c>
      <c r="AK117" s="208" t="s">
        <v>953</v>
      </c>
    </row>
    <row r="118" spans="35:37" x14ac:dyDescent="0.25">
      <c r="AI118" s="208" t="s">
        <v>660</v>
      </c>
      <c r="AJ118" s="208" t="s">
        <v>1224</v>
      </c>
      <c r="AK118" s="208" t="s">
        <v>1209</v>
      </c>
    </row>
    <row r="119" spans="35:37" x14ac:dyDescent="0.25">
      <c r="AI119" s="208" t="s">
        <v>662</v>
      </c>
      <c r="AJ119" s="208" t="s">
        <v>1225</v>
      </c>
      <c r="AK119" s="208" t="s">
        <v>1209</v>
      </c>
    </row>
    <row r="120" spans="35:37" x14ac:dyDescent="0.25">
      <c r="AI120" s="208" t="s">
        <v>1301</v>
      </c>
      <c r="AJ120" s="208" t="s">
        <v>1198</v>
      </c>
      <c r="AK120" s="208" t="s">
        <v>943</v>
      </c>
    </row>
    <row r="121" spans="35:37" x14ac:dyDescent="0.25">
      <c r="AI121" s="208" t="s">
        <v>1052</v>
      </c>
      <c r="AJ121" s="208" t="s">
        <v>1053</v>
      </c>
      <c r="AK121" s="208" t="s">
        <v>189</v>
      </c>
    </row>
    <row r="122" spans="35:37" x14ac:dyDescent="0.25">
      <c r="AI122" s="208" t="s">
        <v>1055</v>
      </c>
      <c r="AJ122" s="208" t="s">
        <v>1053</v>
      </c>
      <c r="AK122" s="208" t="s">
        <v>189</v>
      </c>
    </row>
    <row r="123" spans="35:37" x14ac:dyDescent="0.25">
      <c r="AI123" s="208" t="s">
        <v>1302</v>
      </c>
      <c r="AJ123" s="208" t="s">
        <v>971</v>
      </c>
      <c r="AK123" s="208" t="s">
        <v>972</v>
      </c>
    </row>
    <row r="124" spans="35:37" x14ac:dyDescent="0.25">
      <c r="AI124" s="208" t="s">
        <v>1303</v>
      </c>
      <c r="AJ124" s="208" t="s">
        <v>971</v>
      </c>
      <c r="AK124" s="208" t="s">
        <v>972</v>
      </c>
    </row>
    <row r="125" spans="35:37" x14ac:dyDescent="0.25">
      <c r="AI125" s="208" t="s">
        <v>1057</v>
      </c>
      <c r="AJ125" s="208" t="s">
        <v>51</v>
      </c>
      <c r="AK125" s="208" t="s">
        <v>1058</v>
      </c>
    </row>
    <row r="126" spans="35:37" x14ac:dyDescent="0.25">
      <c r="AI126" s="208" t="s">
        <v>1060</v>
      </c>
      <c r="AJ126" s="208" t="s">
        <v>51</v>
      </c>
      <c r="AK126" s="208" t="s">
        <v>1058</v>
      </c>
    </row>
    <row r="127" spans="35:37" x14ac:dyDescent="0.25">
      <c r="AI127" s="208" t="s">
        <v>1062</v>
      </c>
      <c r="AJ127" s="208" t="s">
        <v>51</v>
      </c>
      <c r="AK127" s="208" t="s">
        <v>1058</v>
      </c>
    </row>
    <row r="128" spans="35:37" x14ac:dyDescent="0.25">
      <c r="AI128" s="208" t="s">
        <v>1304</v>
      </c>
      <c r="AJ128" s="208" t="s">
        <v>1229</v>
      </c>
      <c r="AK128" s="208" t="s">
        <v>943</v>
      </c>
    </row>
    <row r="129" spans="35:37" x14ac:dyDescent="0.25">
      <c r="AI129" s="208" t="s">
        <v>1305</v>
      </c>
      <c r="AJ129" s="208" t="s">
        <v>1229</v>
      </c>
      <c r="AK129" s="208" t="s">
        <v>943</v>
      </c>
    </row>
    <row r="130" spans="35:37" x14ac:dyDescent="0.25">
      <c r="AI130" s="208" t="s">
        <v>1306</v>
      </c>
      <c r="AJ130" s="208" t="s">
        <v>1229</v>
      </c>
      <c r="AK130" s="208" t="s">
        <v>943</v>
      </c>
    </row>
    <row r="131" spans="35:37" x14ac:dyDescent="0.25">
      <c r="AI131" s="208" t="s">
        <v>1307</v>
      </c>
      <c r="AJ131" s="208" t="s">
        <v>1229</v>
      </c>
      <c r="AK131" s="208" t="s">
        <v>943</v>
      </c>
    </row>
    <row r="132" spans="35:37" x14ac:dyDescent="0.25">
      <c r="AI132" s="208" t="s">
        <v>1065</v>
      </c>
      <c r="AJ132" s="208" t="s">
        <v>1066</v>
      </c>
      <c r="AK132" s="208" t="s">
        <v>1033</v>
      </c>
    </row>
    <row r="133" spans="35:37" x14ac:dyDescent="0.25">
      <c r="AI133" s="208" t="s">
        <v>1067</v>
      </c>
      <c r="AJ133" s="208" t="s">
        <v>1068</v>
      </c>
      <c r="AK133" s="208" t="s">
        <v>1033</v>
      </c>
    </row>
    <row r="134" spans="35:37" x14ac:dyDescent="0.25">
      <c r="AI134" s="208" t="s">
        <v>1308</v>
      </c>
      <c r="AJ134" s="208" t="s">
        <v>1218</v>
      </c>
      <c r="AK134" s="208" t="s">
        <v>1208</v>
      </c>
    </row>
    <row r="135" spans="35:37" x14ac:dyDescent="0.25">
      <c r="AI135" s="208" t="s">
        <v>1309</v>
      </c>
      <c r="AJ135" s="208" t="s">
        <v>1230</v>
      </c>
      <c r="AK135" s="208" t="s">
        <v>1208</v>
      </c>
    </row>
    <row r="136" spans="35:37" x14ac:dyDescent="0.25">
      <c r="AI136" s="208" t="s">
        <v>1310</v>
      </c>
      <c r="AJ136" s="208" t="s">
        <v>1310</v>
      </c>
      <c r="AK136" s="208" t="s">
        <v>1211</v>
      </c>
    </row>
    <row r="137" spans="35:37" x14ac:dyDescent="0.25">
      <c r="AI137" s="208" t="s">
        <v>1311</v>
      </c>
      <c r="AJ137" s="208" t="s">
        <v>1202</v>
      </c>
      <c r="AK137" s="208" t="s">
        <v>1208</v>
      </c>
    </row>
    <row r="138" spans="35:37" x14ac:dyDescent="0.25">
      <c r="AI138" s="208" t="s">
        <v>1312</v>
      </c>
      <c r="AJ138" s="208" t="s">
        <v>1220</v>
      </c>
      <c r="AK138" s="208" t="s">
        <v>1208</v>
      </c>
    </row>
    <row r="139" spans="35:37" x14ac:dyDescent="0.25">
      <c r="AI139" s="208" t="s">
        <v>1313</v>
      </c>
      <c r="AJ139" s="208" t="s">
        <v>1220</v>
      </c>
      <c r="AK139" s="208" t="s">
        <v>1208</v>
      </c>
    </row>
    <row r="140" spans="35:37" x14ac:dyDescent="0.25">
      <c r="AI140" s="208" t="s">
        <v>1314</v>
      </c>
      <c r="AJ140" s="208" t="s">
        <v>1220</v>
      </c>
      <c r="AK140" s="208" t="s">
        <v>1208</v>
      </c>
    </row>
    <row r="141" spans="35:37" x14ac:dyDescent="0.25">
      <c r="AI141" s="208" t="s">
        <v>1315</v>
      </c>
      <c r="AJ141" s="208" t="s">
        <v>985</v>
      </c>
      <c r="AK141" s="208" t="s">
        <v>943</v>
      </c>
    </row>
    <row r="142" spans="35:37" x14ac:dyDescent="0.25">
      <c r="AI142" s="208" t="s">
        <v>688</v>
      </c>
      <c r="AJ142" s="208" t="s">
        <v>1316</v>
      </c>
      <c r="AK142" s="208" t="s">
        <v>1213</v>
      </c>
    </row>
    <row r="143" spans="35:37" x14ac:dyDescent="0.25">
      <c r="AI143" s="208" t="s">
        <v>1317</v>
      </c>
      <c r="AJ143" s="208" t="s">
        <v>1316</v>
      </c>
      <c r="AK143" s="208" t="s">
        <v>1213</v>
      </c>
    </row>
    <row r="144" spans="35:37" x14ac:dyDescent="0.25">
      <c r="AI144" s="208" t="s">
        <v>689</v>
      </c>
      <c r="AJ144" s="208" t="s">
        <v>1316</v>
      </c>
      <c r="AK144" s="208" t="s">
        <v>1213</v>
      </c>
    </row>
    <row r="145" spans="35:37" x14ac:dyDescent="0.25">
      <c r="AI145" s="208" t="s">
        <v>691</v>
      </c>
      <c r="AJ145" s="208" t="s">
        <v>1228</v>
      </c>
      <c r="AK145" s="208" t="s">
        <v>1210</v>
      </c>
    </row>
    <row r="146" spans="35:37" x14ac:dyDescent="0.25">
      <c r="AI146" s="208" t="s">
        <v>692</v>
      </c>
      <c r="AJ146" s="208" t="s">
        <v>1228</v>
      </c>
      <c r="AK146" s="208" t="s">
        <v>1210</v>
      </c>
    </row>
    <row r="147" spans="35:37" x14ac:dyDescent="0.25">
      <c r="AI147" s="208" t="s">
        <v>693</v>
      </c>
      <c r="AJ147" s="208" t="s">
        <v>1228</v>
      </c>
      <c r="AK147" s="208" t="s">
        <v>1210</v>
      </c>
    </row>
    <row r="148" spans="35:37" x14ac:dyDescent="0.25">
      <c r="AI148" s="208" t="s">
        <v>1318</v>
      </c>
      <c r="AJ148" s="208" t="s">
        <v>1221</v>
      </c>
      <c r="AK148" s="208" t="s">
        <v>1208</v>
      </c>
    </row>
    <row r="149" spans="35:37" x14ac:dyDescent="0.25">
      <c r="AI149" s="208" t="s">
        <v>1319</v>
      </c>
      <c r="AJ149" s="208" t="s">
        <v>1221</v>
      </c>
      <c r="AK149" s="208" t="s">
        <v>1208</v>
      </c>
    </row>
    <row r="150" spans="35:37" x14ac:dyDescent="0.25">
      <c r="AI150" s="208" t="s">
        <v>1320</v>
      </c>
      <c r="AJ150" s="208" t="s">
        <v>1221</v>
      </c>
      <c r="AK150" s="208" t="s">
        <v>1208</v>
      </c>
    </row>
    <row r="151" spans="35:37" x14ac:dyDescent="0.25">
      <c r="AI151" s="208" t="s">
        <v>1321</v>
      </c>
      <c r="AJ151" s="208" t="s">
        <v>1221</v>
      </c>
      <c r="AK151" s="208" t="s">
        <v>1208</v>
      </c>
    </row>
    <row r="152" spans="35:37" x14ac:dyDescent="0.25">
      <c r="AI152" s="208" t="s">
        <v>1322</v>
      </c>
      <c r="AJ152" s="208" t="s">
        <v>1221</v>
      </c>
      <c r="AK152" s="208" t="s">
        <v>1208</v>
      </c>
    </row>
    <row r="153" spans="35:37" x14ac:dyDescent="0.25">
      <c r="AI153" s="208" t="s">
        <v>1323</v>
      </c>
      <c r="AJ153" s="208" t="s">
        <v>1221</v>
      </c>
      <c r="AK153" s="208" t="s">
        <v>1208</v>
      </c>
    </row>
    <row r="154" spans="35:37" x14ac:dyDescent="0.25">
      <c r="AI154" s="208" t="s">
        <v>1324</v>
      </c>
      <c r="AJ154" s="208" t="s">
        <v>1219</v>
      </c>
      <c r="AK154" s="208" t="s">
        <v>1208</v>
      </c>
    </row>
    <row r="155" spans="35:37" x14ac:dyDescent="0.25">
      <c r="AI155" s="208" t="s">
        <v>1325</v>
      </c>
      <c r="AJ155" s="208" t="s">
        <v>1218</v>
      </c>
      <c r="AK155" s="208" t="s">
        <v>1208</v>
      </c>
    </row>
    <row r="156" spans="35:37" x14ac:dyDescent="0.25">
      <c r="AI156" s="208" t="s">
        <v>1326</v>
      </c>
      <c r="AJ156" s="208" t="s">
        <v>1219</v>
      </c>
      <c r="AK156" s="208" t="s">
        <v>1208</v>
      </c>
    </row>
    <row r="157" spans="35:37" x14ac:dyDescent="0.25">
      <c r="AI157" s="208" t="s">
        <v>1327</v>
      </c>
      <c r="AJ157" s="208" t="s">
        <v>1218</v>
      </c>
      <c r="AK157" s="208" t="s">
        <v>1208</v>
      </c>
    </row>
    <row r="158" spans="35:37" x14ac:dyDescent="0.25">
      <c r="AI158" s="208" t="s">
        <v>1328</v>
      </c>
      <c r="AJ158" s="208" t="s">
        <v>1202</v>
      </c>
      <c r="AK158" s="208" t="s">
        <v>1208</v>
      </c>
    </row>
    <row r="159" spans="35:37" x14ac:dyDescent="0.25">
      <c r="AI159" s="208" t="s">
        <v>1329</v>
      </c>
      <c r="AJ159" s="208" t="s">
        <v>1202</v>
      </c>
      <c r="AK159" s="208" t="s">
        <v>1208</v>
      </c>
    </row>
    <row r="160" spans="35:37" x14ac:dyDescent="0.25">
      <c r="AI160" s="208" t="s">
        <v>1330</v>
      </c>
      <c r="AJ160" s="208" t="s">
        <v>1331</v>
      </c>
      <c r="AK160" s="208" t="s">
        <v>943</v>
      </c>
    </row>
    <row r="161" spans="35:37" x14ac:dyDescent="0.25">
      <c r="AI161" s="208" t="s">
        <v>1332</v>
      </c>
      <c r="AJ161" s="208" t="s">
        <v>985</v>
      </c>
      <c r="AK161" s="208" t="s">
        <v>943</v>
      </c>
    </row>
    <row r="162" spans="35:37" x14ac:dyDescent="0.25">
      <c r="AI162" s="208" t="s">
        <v>1333</v>
      </c>
      <c r="AJ162" s="208" t="s">
        <v>1316</v>
      </c>
      <c r="AK162" s="208" t="s">
        <v>1213</v>
      </c>
    </row>
    <row r="163" spans="35:37" x14ac:dyDescent="0.25">
      <c r="AI163" s="208">
        <v>0</v>
      </c>
      <c r="AJ163" s="208">
        <v>0</v>
      </c>
      <c r="AK163" s="208">
        <v>0</v>
      </c>
    </row>
    <row r="164" spans="35:37" x14ac:dyDescent="0.25">
      <c r="AI164" s="208" t="s">
        <v>1334</v>
      </c>
      <c r="AJ164" s="208" t="s">
        <v>1206</v>
      </c>
      <c r="AK164" s="208" t="s">
        <v>1208</v>
      </c>
    </row>
    <row r="165" spans="35:37" x14ac:dyDescent="0.25">
      <c r="AI165" s="208" t="s">
        <v>1335</v>
      </c>
      <c r="AJ165" s="208" t="s">
        <v>1206</v>
      </c>
      <c r="AK165" s="208" t="s">
        <v>1208</v>
      </c>
    </row>
    <row r="166" spans="35:37" x14ac:dyDescent="0.25">
      <c r="AI166" s="208" t="s">
        <v>1336</v>
      </c>
      <c r="AJ166" s="208" t="s">
        <v>1205</v>
      </c>
      <c r="AK166" s="208" t="s">
        <v>1208</v>
      </c>
    </row>
    <row r="167" spans="35:37" x14ac:dyDescent="0.25">
      <c r="AI167" s="208" t="s">
        <v>710</v>
      </c>
      <c r="AJ167" s="208" t="s">
        <v>632</v>
      </c>
      <c r="AK167" s="208" t="s">
        <v>943</v>
      </c>
    </row>
    <row r="168" spans="35:37" x14ac:dyDescent="0.25">
      <c r="AI168" s="208" t="s">
        <v>737</v>
      </c>
      <c r="AJ168" s="208" t="s">
        <v>1337</v>
      </c>
      <c r="AK168" s="208" t="s">
        <v>1209</v>
      </c>
    </row>
    <row r="169" spans="35:37" x14ac:dyDescent="0.25">
      <c r="AI169" s="208" t="s">
        <v>753</v>
      </c>
      <c r="AJ169" s="208" t="s">
        <v>1337</v>
      </c>
      <c r="AK169" s="208" t="s">
        <v>1209</v>
      </c>
    </row>
    <row r="170" spans="35:37" x14ac:dyDescent="0.25">
      <c r="AI170" s="208" t="s">
        <v>1338</v>
      </c>
      <c r="AJ170" s="208" t="s">
        <v>1217</v>
      </c>
      <c r="AK170" s="208" t="s">
        <v>1208</v>
      </c>
    </row>
    <row r="171" spans="35:37" x14ac:dyDescent="0.25">
      <c r="AI171" s="208" t="s">
        <v>1339</v>
      </c>
      <c r="AJ171" s="208" t="s">
        <v>1204</v>
      </c>
      <c r="AK171" s="208" t="s">
        <v>1208</v>
      </c>
    </row>
    <row r="172" spans="35:37" x14ac:dyDescent="0.25">
      <c r="AI172" s="208" t="s">
        <v>1340</v>
      </c>
      <c r="AJ172" s="208" t="s">
        <v>1204</v>
      </c>
      <c r="AK172" s="208" t="s">
        <v>1208</v>
      </c>
    </row>
    <row r="173" spans="35:37" x14ac:dyDescent="0.25">
      <c r="AI173" s="208" t="s">
        <v>734</v>
      </c>
      <c r="AJ173" s="208" t="s">
        <v>1228</v>
      </c>
      <c r="AK173" s="208" t="s">
        <v>1210</v>
      </c>
    </row>
    <row r="174" spans="35:37" x14ac:dyDescent="0.25">
      <c r="AI174" s="208" t="s">
        <v>1341</v>
      </c>
      <c r="AJ174" s="208" t="s">
        <v>1228</v>
      </c>
      <c r="AK174" s="208" t="s">
        <v>1210</v>
      </c>
    </row>
    <row r="175" spans="35:37" x14ac:dyDescent="0.25">
      <c r="AI175" s="208" t="s">
        <v>1342</v>
      </c>
      <c r="AJ175" s="208" t="s">
        <v>1204</v>
      </c>
      <c r="AK175" s="208" t="s">
        <v>1208</v>
      </c>
    </row>
    <row r="176" spans="35:37" x14ac:dyDescent="0.25">
      <c r="AI176" s="208" t="s">
        <v>1343</v>
      </c>
      <c r="AJ176" s="208" t="s">
        <v>1219</v>
      </c>
      <c r="AK176" s="208" t="s">
        <v>1208</v>
      </c>
    </row>
    <row r="177" spans="35:37" x14ac:dyDescent="0.25">
      <c r="AI177" s="208" t="s">
        <v>1215</v>
      </c>
      <c r="AJ177" s="208" t="s">
        <v>1215</v>
      </c>
      <c r="AK177" s="208" t="s">
        <v>1215</v>
      </c>
    </row>
    <row r="178" spans="35:37" x14ac:dyDescent="0.25">
      <c r="AI178" s="208" t="s">
        <v>1344</v>
      </c>
      <c r="AJ178" s="208" t="s">
        <v>925</v>
      </c>
      <c r="AK178" s="208" t="s">
        <v>925</v>
      </c>
    </row>
    <row r="179" spans="35:37" x14ac:dyDescent="0.25">
      <c r="AI179" s="208" t="s">
        <v>1345</v>
      </c>
      <c r="AJ179" s="208" t="s">
        <v>925</v>
      </c>
      <c r="AK179" s="208" t="s">
        <v>925</v>
      </c>
    </row>
    <row r="180" spans="35:37" x14ac:dyDescent="0.25">
      <c r="AI180" s="208" t="s">
        <v>1346</v>
      </c>
      <c r="AJ180" s="208" t="s">
        <v>1331</v>
      </c>
      <c r="AK180" s="208" t="s">
        <v>943</v>
      </c>
    </row>
    <row r="181" spans="35:37" x14ac:dyDescent="0.25">
      <c r="AI181" s="208" t="s">
        <v>1347</v>
      </c>
      <c r="AJ181" s="208" t="s">
        <v>985</v>
      </c>
      <c r="AK181" s="208" t="s">
        <v>943</v>
      </c>
    </row>
    <row r="182" spans="35:37" x14ac:dyDescent="0.25">
      <c r="AI182" s="208" t="s">
        <v>1348</v>
      </c>
      <c r="AJ182" s="208" t="s">
        <v>1349</v>
      </c>
      <c r="AK182" s="208" t="s">
        <v>1213</v>
      </c>
    </row>
    <row r="183" spans="35:37" x14ac:dyDescent="0.25">
      <c r="AI183" s="208">
        <v>0</v>
      </c>
      <c r="AJ183" s="208">
        <v>0</v>
      </c>
      <c r="AK183" s="208">
        <v>0</v>
      </c>
    </row>
    <row r="184" spans="35:37" x14ac:dyDescent="0.25">
      <c r="AI184" s="208" t="s">
        <v>1350</v>
      </c>
      <c r="AJ184" s="208" t="s">
        <v>1205</v>
      </c>
      <c r="AK184" s="208" t="s">
        <v>1208</v>
      </c>
    </row>
    <row r="185" spans="35:37" x14ac:dyDescent="0.25">
      <c r="AI185" s="208" t="s">
        <v>1351</v>
      </c>
      <c r="AJ185" s="208" t="s">
        <v>985</v>
      </c>
      <c r="AK185" s="208" t="s">
        <v>943</v>
      </c>
    </row>
    <row r="186" spans="35:37" x14ac:dyDescent="0.25">
      <c r="AI186" s="208" t="s">
        <v>1352</v>
      </c>
      <c r="AJ186" s="208" t="s">
        <v>925</v>
      </c>
      <c r="AK186" s="208" t="s">
        <v>925</v>
      </c>
    </row>
    <row r="187" spans="35:37" x14ac:dyDescent="0.25">
      <c r="AI187" s="208" t="s">
        <v>1353</v>
      </c>
      <c r="AJ187" s="208" t="s">
        <v>925</v>
      </c>
      <c r="AK187" s="208" t="s">
        <v>925</v>
      </c>
    </row>
    <row r="188" spans="35:37" x14ac:dyDescent="0.25">
      <c r="AI188" s="208" t="s">
        <v>1354</v>
      </c>
      <c r="AJ188" s="208" t="s">
        <v>985</v>
      </c>
      <c r="AK188" s="208" t="s">
        <v>943</v>
      </c>
    </row>
    <row r="189" spans="35:37" x14ac:dyDescent="0.25">
      <c r="AI189" s="208" t="s">
        <v>1355</v>
      </c>
      <c r="AJ189" s="208" t="s">
        <v>985</v>
      </c>
      <c r="AK189" s="208" t="s">
        <v>943</v>
      </c>
    </row>
    <row r="190" spans="35:37" x14ac:dyDescent="0.25">
      <c r="AI190" s="208" t="s">
        <v>1356</v>
      </c>
      <c r="AJ190" s="208" t="s">
        <v>1218</v>
      </c>
      <c r="AK190" s="208" t="s">
        <v>1208</v>
      </c>
    </row>
    <row r="191" spans="35:37" x14ac:dyDescent="0.25">
      <c r="AI191" s="208" t="s">
        <v>1357</v>
      </c>
      <c r="AJ191" s="208" t="s">
        <v>1218</v>
      </c>
      <c r="AK191" s="208" t="s">
        <v>1208</v>
      </c>
    </row>
    <row r="192" spans="35:37" x14ac:dyDescent="0.25">
      <c r="AI192" s="208" t="s">
        <v>1358</v>
      </c>
      <c r="AJ192" s="208" t="s">
        <v>942</v>
      </c>
      <c r="AK192" s="208" t="s">
        <v>943</v>
      </c>
    </row>
    <row r="193" spans="35:37" x14ac:dyDescent="0.25">
      <c r="AI193" s="208" t="s">
        <v>1070</v>
      </c>
      <c r="AJ193" s="208" t="s">
        <v>1039</v>
      </c>
      <c r="AK193" s="208" t="s">
        <v>1033</v>
      </c>
    </row>
    <row r="194" spans="35:37" x14ac:dyDescent="0.25">
      <c r="AI194" s="208">
        <v>0</v>
      </c>
      <c r="AJ194" s="208">
        <v>0</v>
      </c>
      <c r="AK194" s="208">
        <v>0</v>
      </c>
    </row>
    <row r="195" spans="35:37" x14ac:dyDescent="0.25">
      <c r="AI195" s="208">
        <v>0</v>
      </c>
      <c r="AJ195" s="208">
        <v>0</v>
      </c>
      <c r="AK195" s="208">
        <v>0</v>
      </c>
    </row>
    <row r="196" spans="35:37" x14ac:dyDescent="0.25">
      <c r="AI196" s="208">
        <v>0</v>
      </c>
      <c r="AJ196" s="208">
        <v>0</v>
      </c>
      <c r="AK196" s="208">
        <v>0</v>
      </c>
    </row>
    <row r="197" spans="35:37" x14ac:dyDescent="0.25">
      <c r="AI197" s="208">
        <v>0</v>
      </c>
      <c r="AJ197" s="208">
        <v>0</v>
      </c>
      <c r="AK197" s="208">
        <v>0</v>
      </c>
    </row>
    <row r="198" spans="35:37" x14ac:dyDescent="0.25">
      <c r="AI198" s="208">
        <v>0</v>
      </c>
      <c r="AJ198" s="208">
        <v>0</v>
      </c>
      <c r="AK198" s="208">
        <v>0</v>
      </c>
    </row>
    <row r="199" spans="35:37" x14ac:dyDescent="0.25">
      <c r="AI199" s="208">
        <v>0</v>
      </c>
      <c r="AJ199" s="208">
        <v>0</v>
      </c>
      <c r="AK199" s="208">
        <v>0</v>
      </c>
    </row>
    <row r="200" spans="35:37" x14ac:dyDescent="0.25">
      <c r="AI200" s="208">
        <v>0</v>
      </c>
      <c r="AJ200" s="208">
        <v>0</v>
      </c>
      <c r="AK200" s="208">
        <v>0</v>
      </c>
    </row>
    <row r="201" spans="35:37" x14ac:dyDescent="0.25">
      <c r="AI201" s="208">
        <v>0</v>
      </c>
      <c r="AJ201" s="208">
        <v>0</v>
      </c>
      <c r="AK201" s="208">
        <v>0</v>
      </c>
    </row>
    <row r="202" spans="35:37" x14ac:dyDescent="0.25">
      <c r="AI202" s="208">
        <v>0</v>
      </c>
      <c r="AJ202" s="208">
        <v>0</v>
      </c>
      <c r="AK202" s="208">
        <v>0</v>
      </c>
    </row>
    <row r="203" spans="35:37" x14ac:dyDescent="0.25">
      <c r="AI203" s="208">
        <v>0</v>
      </c>
      <c r="AJ203" s="208">
        <v>0</v>
      </c>
      <c r="AK203" s="208">
        <v>0</v>
      </c>
    </row>
    <row r="204" spans="35:37" x14ac:dyDescent="0.25">
      <c r="AI204" s="208">
        <v>0</v>
      </c>
      <c r="AJ204" s="208">
        <v>0</v>
      </c>
      <c r="AK204" s="208">
        <v>0</v>
      </c>
    </row>
    <row r="205" spans="35:37" x14ac:dyDescent="0.25">
      <c r="AI205" s="208">
        <v>0</v>
      </c>
      <c r="AJ205" s="208">
        <v>0</v>
      </c>
      <c r="AK205" s="208">
        <v>0</v>
      </c>
    </row>
    <row r="206" spans="35:37" x14ac:dyDescent="0.25">
      <c r="AI206" s="208">
        <v>0</v>
      </c>
      <c r="AJ206" s="208">
        <v>0</v>
      </c>
      <c r="AK206" s="208">
        <v>0</v>
      </c>
    </row>
    <row r="207" spans="35:37" x14ac:dyDescent="0.25">
      <c r="AI207" s="208">
        <v>0</v>
      </c>
      <c r="AJ207" s="208">
        <v>0</v>
      </c>
      <c r="AK207" s="208">
        <v>0</v>
      </c>
    </row>
    <row r="208" spans="35:37" x14ac:dyDescent="0.25">
      <c r="AI208" s="208">
        <v>0</v>
      </c>
      <c r="AJ208" s="208">
        <v>0</v>
      </c>
      <c r="AK208" s="208">
        <v>0</v>
      </c>
    </row>
    <row r="209" spans="35:37" x14ac:dyDescent="0.25">
      <c r="AI209" s="208">
        <v>0</v>
      </c>
      <c r="AJ209" s="208">
        <v>0</v>
      </c>
      <c r="AK209" s="208">
        <v>0</v>
      </c>
    </row>
    <row r="210" spans="35:37" x14ac:dyDescent="0.25">
      <c r="AI210" s="208">
        <v>0</v>
      </c>
      <c r="AJ210" s="208">
        <v>0</v>
      </c>
      <c r="AK210" s="208">
        <v>0</v>
      </c>
    </row>
    <row r="211" spans="35:37" x14ac:dyDescent="0.25">
      <c r="AI211" s="208">
        <v>0</v>
      </c>
      <c r="AJ211" s="208">
        <v>0</v>
      </c>
      <c r="AK211" s="208">
        <v>0</v>
      </c>
    </row>
    <row r="212" spans="35:37" x14ac:dyDescent="0.25">
      <c r="AI212" s="208">
        <v>0</v>
      </c>
      <c r="AJ212" s="208">
        <v>0</v>
      </c>
      <c r="AK212" s="208">
        <v>0</v>
      </c>
    </row>
    <row r="213" spans="35:37" x14ac:dyDescent="0.25">
      <c r="AI213" s="208">
        <v>0</v>
      </c>
      <c r="AJ213" s="208">
        <v>0</v>
      </c>
      <c r="AK213" s="208">
        <v>0</v>
      </c>
    </row>
    <row r="214" spans="35:37" x14ac:dyDescent="0.25">
      <c r="AI214" s="208">
        <v>0</v>
      </c>
      <c r="AJ214" s="208">
        <v>0</v>
      </c>
      <c r="AK214" s="208">
        <v>0</v>
      </c>
    </row>
    <row r="215" spans="35:37" x14ac:dyDescent="0.25">
      <c r="AI215" s="208">
        <v>0</v>
      </c>
      <c r="AJ215" s="208">
        <v>0</v>
      </c>
      <c r="AK215" s="208">
        <v>0</v>
      </c>
    </row>
    <row r="216" spans="35:37" x14ac:dyDescent="0.25">
      <c r="AI216" s="208">
        <v>0</v>
      </c>
      <c r="AJ216" s="208">
        <v>0</v>
      </c>
      <c r="AK216" s="208">
        <v>0</v>
      </c>
    </row>
    <row r="217" spans="35:37" x14ac:dyDescent="0.25">
      <c r="AI217" s="208">
        <v>0</v>
      </c>
      <c r="AJ217" s="208">
        <v>0</v>
      </c>
      <c r="AK217" s="208">
        <v>0</v>
      </c>
    </row>
    <row r="218" spans="35:37" x14ac:dyDescent="0.25">
      <c r="AI218" s="208">
        <v>0</v>
      </c>
      <c r="AJ218" s="208">
        <v>0</v>
      </c>
      <c r="AK218" s="208">
        <v>0</v>
      </c>
    </row>
    <row r="219" spans="35:37" x14ac:dyDescent="0.25">
      <c r="AI219" s="208">
        <v>0</v>
      </c>
      <c r="AJ219" s="208">
        <v>0</v>
      </c>
      <c r="AK219" s="208">
        <v>0</v>
      </c>
    </row>
    <row r="220" spans="35:37" x14ac:dyDescent="0.25">
      <c r="AI220" s="208">
        <v>0</v>
      </c>
      <c r="AJ220" s="208">
        <v>0</v>
      </c>
      <c r="AK220" s="208">
        <v>0</v>
      </c>
    </row>
    <row r="221" spans="35:37" x14ac:dyDescent="0.25">
      <c r="AI221" s="208">
        <v>0</v>
      </c>
      <c r="AJ221" s="208">
        <v>0</v>
      </c>
      <c r="AK221" s="208">
        <v>0</v>
      </c>
    </row>
    <row r="222" spans="35:37" x14ac:dyDescent="0.25">
      <c r="AI222" s="208">
        <v>0</v>
      </c>
      <c r="AJ222" s="208">
        <v>0</v>
      </c>
      <c r="AK222" s="208">
        <v>0</v>
      </c>
    </row>
    <row r="223" spans="35:37" x14ac:dyDescent="0.25">
      <c r="AI223" s="208">
        <v>0</v>
      </c>
      <c r="AJ223" s="208">
        <v>0</v>
      </c>
      <c r="AK223" s="208">
        <v>0</v>
      </c>
    </row>
    <row r="224" spans="35:37" x14ac:dyDescent="0.25">
      <c r="AI224" s="208">
        <v>0</v>
      </c>
      <c r="AJ224" s="208">
        <v>0</v>
      </c>
      <c r="AK224" s="208">
        <v>0</v>
      </c>
    </row>
    <row r="225" spans="35:37" x14ac:dyDescent="0.25">
      <c r="AI225" s="208">
        <v>0</v>
      </c>
      <c r="AJ225" s="208">
        <v>0</v>
      </c>
      <c r="AK225" s="208">
        <v>0</v>
      </c>
    </row>
    <row r="226" spans="35:37" x14ac:dyDescent="0.25">
      <c r="AI226" s="208">
        <v>0</v>
      </c>
      <c r="AJ226" s="208">
        <v>0</v>
      </c>
      <c r="AK226" s="208">
        <v>0</v>
      </c>
    </row>
    <row r="227" spans="35:37" x14ac:dyDescent="0.25">
      <c r="AI227" s="208">
        <v>0</v>
      </c>
      <c r="AJ227" s="208">
        <v>0</v>
      </c>
      <c r="AK227" s="208">
        <v>0</v>
      </c>
    </row>
    <row r="228" spans="35:37" x14ac:dyDescent="0.25">
      <c r="AI228" s="208">
        <v>0</v>
      </c>
      <c r="AJ228" s="208">
        <v>0</v>
      </c>
      <c r="AK228" s="208">
        <v>0</v>
      </c>
    </row>
    <row r="229" spans="35:37" x14ac:dyDescent="0.25">
      <c r="AI229" s="208">
        <v>0</v>
      </c>
      <c r="AJ229" s="208">
        <v>0</v>
      </c>
      <c r="AK229" s="208">
        <v>0</v>
      </c>
    </row>
    <row r="230" spans="35:37" x14ac:dyDescent="0.25">
      <c r="AI230" s="208">
        <v>0</v>
      </c>
      <c r="AJ230" s="208">
        <v>0</v>
      </c>
      <c r="AK230" s="208">
        <v>0</v>
      </c>
    </row>
    <row r="231" spans="35:37" x14ac:dyDescent="0.25">
      <c r="AI231" s="208">
        <v>0</v>
      </c>
      <c r="AJ231" s="208">
        <v>0</v>
      </c>
      <c r="AK231" s="208">
        <v>0</v>
      </c>
    </row>
    <row r="232" spans="35:37" x14ac:dyDescent="0.25">
      <c r="AI232" s="208">
        <v>0</v>
      </c>
      <c r="AJ232" s="208">
        <v>0</v>
      </c>
      <c r="AK232" s="208">
        <v>0</v>
      </c>
    </row>
    <row r="233" spans="35:37" x14ac:dyDescent="0.25">
      <c r="AI233" s="208">
        <v>0</v>
      </c>
      <c r="AJ233" s="208">
        <v>0</v>
      </c>
      <c r="AK233" s="208">
        <v>0</v>
      </c>
    </row>
    <row r="234" spans="35:37" x14ac:dyDescent="0.25">
      <c r="AI234" s="208">
        <v>0</v>
      </c>
      <c r="AJ234" s="208">
        <v>0</v>
      </c>
      <c r="AK234" s="208">
        <v>0</v>
      </c>
    </row>
    <row r="235" spans="35:37" x14ac:dyDescent="0.25">
      <c r="AI235" s="208">
        <v>0</v>
      </c>
      <c r="AJ235" s="208">
        <v>0</v>
      </c>
      <c r="AK235" s="208">
        <v>0</v>
      </c>
    </row>
    <row r="236" spans="35:37" x14ac:dyDescent="0.25">
      <c r="AI236" s="208">
        <v>0</v>
      </c>
      <c r="AJ236" s="208">
        <v>0</v>
      </c>
      <c r="AK236" s="208">
        <v>0</v>
      </c>
    </row>
    <row r="237" spans="35:37" x14ac:dyDescent="0.25">
      <c r="AI237" s="208">
        <v>0</v>
      </c>
      <c r="AJ237" s="208">
        <v>0</v>
      </c>
      <c r="AK237" s="208">
        <v>0</v>
      </c>
    </row>
    <row r="238" spans="35:37" x14ac:dyDescent="0.25">
      <c r="AI238" s="208">
        <v>0</v>
      </c>
      <c r="AJ238" s="208">
        <v>0</v>
      </c>
      <c r="AK238" s="208">
        <v>0</v>
      </c>
    </row>
    <row r="239" spans="35:37" x14ac:dyDescent="0.25">
      <c r="AI239" s="208">
        <v>0</v>
      </c>
      <c r="AJ239" s="208">
        <v>0</v>
      </c>
      <c r="AK239" s="208">
        <v>0</v>
      </c>
    </row>
    <row r="240" spans="35:37" x14ac:dyDescent="0.25">
      <c r="AI240" s="208">
        <v>0</v>
      </c>
      <c r="AJ240" s="208">
        <v>0</v>
      </c>
      <c r="AK240" s="208">
        <v>0</v>
      </c>
    </row>
    <row r="241" spans="35:37" x14ac:dyDescent="0.25">
      <c r="AI241" s="208">
        <v>0</v>
      </c>
      <c r="AJ241" s="208">
        <v>0</v>
      </c>
      <c r="AK241" s="208">
        <v>0</v>
      </c>
    </row>
    <row r="242" spans="35:37" x14ac:dyDescent="0.25">
      <c r="AI242" s="208">
        <v>0</v>
      </c>
      <c r="AJ242" s="208">
        <v>0</v>
      </c>
      <c r="AK242" s="208">
        <v>0</v>
      </c>
    </row>
    <row r="243" spans="35:37" x14ac:dyDescent="0.25">
      <c r="AI243" s="208">
        <v>0</v>
      </c>
      <c r="AJ243" s="208">
        <v>0</v>
      </c>
      <c r="AK243" s="208">
        <v>0</v>
      </c>
    </row>
    <row r="244" spans="35:37" x14ac:dyDescent="0.25">
      <c r="AI244" s="208">
        <v>0</v>
      </c>
      <c r="AJ244" s="208">
        <v>0</v>
      </c>
      <c r="AK244" s="208">
        <v>0</v>
      </c>
    </row>
    <row r="245" spans="35:37" x14ac:dyDescent="0.25">
      <c r="AI245" s="208">
        <v>0</v>
      </c>
      <c r="AJ245" s="208">
        <v>0</v>
      </c>
      <c r="AK245" s="208">
        <v>0</v>
      </c>
    </row>
    <row r="246" spans="35:37" x14ac:dyDescent="0.25">
      <c r="AI246" s="208">
        <v>0</v>
      </c>
      <c r="AJ246" s="208">
        <v>0</v>
      </c>
      <c r="AK246" s="208">
        <v>0</v>
      </c>
    </row>
    <row r="247" spans="35:37" x14ac:dyDescent="0.25">
      <c r="AI247" s="208">
        <v>0</v>
      </c>
      <c r="AJ247" s="208">
        <v>0</v>
      </c>
      <c r="AK247" s="208">
        <v>0</v>
      </c>
    </row>
    <row r="248" spans="35:37" x14ac:dyDescent="0.25">
      <c r="AI248" s="208">
        <v>0</v>
      </c>
      <c r="AJ248" s="208">
        <v>0</v>
      </c>
      <c r="AK248" s="208">
        <v>0</v>
      </c>
    </row>
    <row r="249" spans="35:37" x14ac:dyDescent="0.25">
      <c r="AI249" s="208">
        <v>0</v>
      </c>
      <c r="AJ249" s="208">
        <v>0</v>
      </c>
      <c r="AK249" s="208">
        <v>0</v>
      </c>
    </row>
    <row r="250" spans="35:37" x14ac:dyDescent="0.25">
      <c r="AI250" s="208">
        <v>0</v>
      </c>
      <c r="AJ250" s="208">
        <v>0</v>
      </c>
      <c r="AK250" s="208">
        <v>0</v>
      </c>
    </row>
    <row r="251" spans="35:37" x14ac:dyDescent="0.25">
      <c r="AI251" s="208">
        <v>0</v>
      </c>
      <c r="AJ251" s="208">
        <v>0</v>
      </c>
      <c r="AK251" s="208">
        <v>0</v>
      </c>
    </row>
    <row r="252" spans="35:37" x14ac:dyDescent="0.25">
      <c r="AI252" s="208">
        <v>0</v>
      </c>
      <c r="AJ252" s="208">
        <v>0</v>
      </c>
      <c r="AK252" s="208">
        <v>0</v>
      </c>
    </row>
    <row r="253" spans="35:37" x14ac:dyDescent="0.25">
      <c r="AI253" s="208">
        <v>0</v>
      </c>
      <c r="AJ253" s="208">
        <v>0</v>
      </c>
      <c r="AK253" s="208">
        <v>0</v>
      </c>
    </row>
    <row r="254" spans="35:37" x14ac:dyDescent="0.25">
      <c r="AI254" s="208">
        <v>0</v>
      </c>
      <c r="AJ254" s="208">
        <v>0</v>
      </c>
      <c r="AK254" s="208">
        <v>0</v>
      </c>
    </row>
    <row r="255" spans="35:37" x14ac:dyDescent="0.25">
      <c r="AI255" s="208">
        <v>0</v>
      </c>
      <c r="AJ255" s="208">
        <v>0</v>
      </c>
      <c r="AK255" s="208">
        <v>0</v>
      </c>
    </row>
    <row r="256" spans="35:37" x14ac:dyDescent="0.25">
      <c r="AI256" s="208">
        <v>0</v>
      </c>
      <c r="AJ256" s="208">
        <v>0</v>
      </c>
      <c r="AK256" s="208">
        <v>0</v>
      </c>
    </row>
    <row r="257" spans="35:37" x14ac:dyDescent="0.25">
      <c r="AI257" s="208">
        <v>0</v>
      </c>
      <c r="AJ257" s="208">
        <v>0</v>
      </c>
      <c r="AK257" s="208">
        <v>0</v>
      </c>
    </row>
    <row r="258" spans="35:37" x14ac:dyDescent="0.25">
      <c r="AI258" s="208">
        <v>0</v>
      </c>
      <c r="AJ258" s="208">
        <v>0</v>
      </c>
      <c r="AK258" s="208">
        <v>0</v>
      </c>
    </row>
    <row r="259" spans="35:37" x14ac:dyDescent="0.25">
      <c r="AI259" s="208">
        <v>0</v>
      </c>
      <c r="AJ259" s="208">
        <v>0</v>
      </c>
      <c r="AK259" s="208">
        <v>0</v>
      </c>
    </row>
    <row r="260" spans="35:37" x14ac:dyDescent="0.25">
      <c r="AI260" s="208">
        <v>0</v>
      </c>
      <c r="AJ260" s="208">
        <v>0</v>
      </c>
      <c r="AK260" s="208">
        <v>0</v>
      </c>
    </row>
    <row r="261" spans="35:37" x14ac:dyDescent="0.25">
      <c r="AI261" s="208">
        <v>0</v>
      </c>
      <c r="AJ261" s="208">
        <v>0</v>
      </c>
      <c r="AK261" s="208">
        <v>0</v>
      </c>
    </row>
    <row r="262" spans="35:37" x14ac:dyDescent="0.25">
      <c r="AI262" s="208">
        <v>0</v>
      </c>
      <c r="AJ262" s="208">
        <v>0</v>
      </c>
      <c r="AK262" s="208">
        <v>0</v>
      </c>
    </row>
    <row r="263" spans="35:37" x14ac:dyDescent="0.25">
      <c r="AI263" s="208">
        <v>0</v>
      </c>
      <c r="AJ263" s="208">
        <v>0</v>
      </c>
      <c r="AK263" s="208">
        <v>0</v>
      </c>
    </row>
    <row r="264" spans="35:37" x14ac:dyDescent="0.25">
      <c r="AI264" s="208">
        <v>0</v>
      </c>
      <c r="AJ264" s="208">
        <v>0</v>
      </c>
      <c r="AK264" s="208">
        <v>0</v>
      </c>
    </row>
    <row r="265" spans="35:37" x14ac:dyDescent="0.25">
      <c r="AI265" s="208">
        <v>0</v>
      </c>
      <c r="AJ265" s="208">
        <v>0</v>
      </c>
      <c r="AK265" s="208">
        <v>0</v>
      </c>
    </row>
    <row r="266" spans="35:37" x14ac:dyDescent="0.25">
      <c r="AI266" s="208">
        <v>0</v>
      </c>
      <c r="AJ266" s="208">
        <v>0</v>
      </c>
      <c r="AK266" s="208">
        <v>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tabColor theme="0" tint="-0.14999847407452621"/>
  </sheetPr>
  <dimension ref="A1:AV250"/>
  <sheetViews>
    <sheetView tabSelected="1" workbookViewId="0">
      <selection activeCell="K34" sqref="K34"/>
    </sheetView>
  </sheetViews>
  <sheetFormatPr defaultRowHeight="14.4" x14ac:dyDescent="0.3"/>
  <cols>
    <col min="1" max="1" width="9.33203125" style="12"/>
    <col min="2" max="2" width="32.33203125" bestFit="1" customWidth="1"/>
    <col min="3" max="3" width="25.88671875" bestFit="1" customWidth="1"/>
    <col min="4" max="4" width="20.33203125" bestFit="1" customWidth="1"/>
    <col min="5" max="5" width="18.6640625" bestFit="1" customWidth="1"/>
    <col min="18" max="18" width="35.6640625" customWidth="1"/>
    <col min="19" max="19" width="25.33203125" bestFit="1" customWidth="1"/>
    <col min="20" max="20" width="23.44140625" bestFit="1" customWidth="1"/>
    <col min="21" max="21" width="20.33203125" bestFit="1" customWidth="1"/>
    <col min="26" max="26" width="35.6640625" customWidth="1"/>
    <col min="27" max="27" width="17.5546875" bestFit="1" customWidth="1"/>
    <col min="28" max="29" width="20.33203125" bestFit="1" customWidth="1"/>
    <col min="35" max="35" width="9.6640625" customWidth="1"/>
    <col min="36" max="36" width="50.109375" bestFit="1" customWidth="1"/>
    <col min="37" max="37" width="28" bestFit="1" customWidth="1"/>
    <col min="38" max="38" width="27.6640625" bestFit="1" customWidth="1"/>
    <col min="39" max="39" width="20.33203125" bestFit="1" customWidth="1"/>
    <col min="40" max="40" width="8" bestFit="1" customWidth="1"/>
    <col min="41" max="41" width="8.6640625" customWidth="1"/>
    <col min="42" max="42" width="26.6640625" bestFit="1" customWidth="1"/>
    <col min="43" max="43" width="10.6640625" bestFit="1" customWidth="1"/>
    <col min="44" max="44" width="48.33203125" bestFit="1" customWidth="1"/>
    <col min="45" max="46" width="8.33203125" customWidth="1"/>
    <col min="47" max="47" width="11.6640625" bestFit="1" customWidth="1"/>
    <col min="48" max="48" width="11.6640625" customWidth="1"/>
  </cols>
  <sheetData>
    <row r="1" spans="1:48" ht="32.4" x14ac:dyDescent="0.6">
      <c r="A1" s="2" t="s">
        <v>1366</v>
      </c>
      <c r="Q1" s="2"/>
      <c r="Y1" s="2" t="s">
        <v>1437</v>
      </c>
      <c r="AI1" s="184" t="s">
        <v>1472</v>
      </c>
      <c r="AS1" t="s">
        <v>186</v>
      </c>
    </row>
    <row r="3" spans="1:48" ht="15.6" customHeight="1" x14ac:dyDescent="0.3">
      <c r="A3" s="319" t="s">
        <v>0</v>
      </c>
      <c r="B3" s="320"/>
      <c r="C3" s="320"/>
      <c r="D3" s="320"/>
      <c r="E3" s="321"/>
      <c r="F3" s="313" t="s">
        <v>1</v>
      </c>
      <c r="G3" s="20"/>
      <c r="H3" s="140"/>
      <c r="I3" s="324" t="s">
        <v>1093</v>
      </c>
      <c r="J3" s="292" t="s">
        <v>7</v>
      </c>
      <c r="K3" s="293"/>
      <c r="L3" s="293"/>
      <c r="M3" s="293"/>
      <c r="N3" s="293"/>
      <c r="O3" s="294"/>
      <c r="Q3" s="323"/>
      <c r="R3" s="323"/>
      <c r="S3" s="323"/>
      <c r="T3" s="323"/>
      <c r="U3" s="323"/>
      <c r="V3" s="322"/>
      <c r="W3" s="118"/>
      <c r="Y3" s="316" t="s">
        <v>0</v>
      </c>
      <c r="Z3" s="317"/>
      <c r="AA3" s="317"/>
      <c r="AB3" s="317"/>
      <c r="AC3" s="318"/>
      <c r="AD3" s="313" t="s">
        <v>1</v>
      </c>
      <c r="AE3" s="20"/>
      <c r="AF3" s="313" t="s">
        <v>1613</v>
      </c>
      <c r="AI3" s="316" t="s">
        <v>0</v>
      </c>
      <c r="AJ3" s="317"/>
      <c r="AK3" s="317"/>
      <c r="AL3" s="317"/>
      <c r="AM3" s="318"/>
      <c r="AN3" s="313" t="s">
        <v>1</v>
      </c>
      <c r="AO3" s="139"/>
      <c r="AP3" s="139" t="s">
        <v>1614</v>
      </c>
      <c r="AQ3" s="139" t="s">
        <v>1615</v>
      </c>
      <c r="AR3" s="232" t="s">
        <v>1616</v>
      </c>
      <c r="AS3" s="235"/>
      <c r="AT3" s="94" t="s">
        <v>1617</v>
      </c>
      <c r="AU3" s="231" t="s">
        <v>1618</v>
      </c>
      <c r="AV3" s="239"/>
    </row>
    <row r="4" spans="1:48" ht="15.6" x14ac:dyDescent="0.3">
      <c r="A4" s="66" t="s">
        <v>2</v>
      </c>
      <c r="B4" s="66" t="s">
        <v>3</v>
      </c>
      <c r="C4" s="66" t="s">
        <v>4</v>
      </c>
      <c r="D4" s="66" t="s">
        <v>54</v>
      </c>
      <c r="E4" s="66" t="s">
        <v>6</v>
      </c>
      <c r="F4" s="313"/>
      <c r="G4" s="20" t="s">
        <v>799</v>
      </c>
      <c r="H4" s="139"/>
      <c r="I4" s="325"/>
      <c r="J4" s="66" t="s">
        <v>9</v>
      </c>
      <c r="K4" s="66" t="s">
        <v>10</v>
      </c>
      <c r="L4" s="66" t="s">
        <v>11</v>
      </c>
      <c r="M4" s="66" t="s">
        <v>12</v>
      </c>
      <c r="N4" s="66" t="s">
        <v>13</v>
      </c>
      <c r="O4" s="66" t="s">
        <v>14</v>
      </c>
      <c r="Q4" s="119"/>
      <c r="R4" s="119"/>
      <c r="S4" s="119"/>
      <c r="T4" s="119"/>
      <c r="U4" s="119"/>
      <c r="V4" s="322"/>
      <c r="W4" s="118"/>
      <c r="Y4" s="66" t="s">
        <v>2</v>
      </c>
      <c r="Z4" s="66" t="s">
        <v>3</v>
      </c>
      <c r="AA4" s="66" t="s">
        <v>4</v>
      </c>
      <c r="AB4" s="66" t="s">
        <v>54</v>
      </c>
      <c r="AC4" s="66" t="s">
        <v>6</v>
      </c>
      <c r="AD4" s="313"/>
      <c r="AE4" s="65" t="s">
        <v>799</v>
      </c>
      <c r="AF4" s="313"/>
      <c r="AI4" s="66" t="s">
        <v>2</v>
      </c>
      <c r="AJ4" s="66" t="s">
        <v>3</v>
      </c>
      <c r="AK4" s="66" t="s">
        <v>4</v>
      </c>
      <c r="AL4" s="66" t="s">
        <v>54</v>
      </c>
      <c r="AM4" s="66" t="s">
        <v>6</v>
      </c>
      <c r="AN4" s="313"/>
      <c r="AO4" s="139" t="s">
        <v>799</v>
      </c>
      <c r="AP4" s="139">
        <v>0</v>
      </c>
      <c r="AQ4" s="139" t="s">
        <v>784</v>
      </c>
      <c r="AR4" s="232">
        <v>0</v>
      </c>
      <c r="AS4" s="235"/>
      <c r="AT4" s="94" t="s">
        <v>784</v>
      </c>
      <c r="AU4" s="231">
        <v>0</v>
      </c>
      <c r="AV4" s="239"/>
    </row>
    <row r="5" spans="1:48" ht="15.6" x14ac:dyDescent="0.3">
      <c r="A5" s="70">
        <v>1</v>
      </c>
      <c r="B5" s="74" t="s">
        <v>1367</v>
      </c>
      <c r="C5" s="74" t="s">
        <v>382</v>
      </c>
      <c r="D5" s="74" t="s">
        <v>1198</v>
      </c>
      <c r="E5" s="74" t="s">
        <v>943</v>
      </c>
      <c r="F5" s="74">
        <v>1000</v>
      </c>
      <c r="G5" s="74" t="s">
        <v>43</v>
      </c>
      <c r="H5" s="146"/>
      <c r="I5" s="71">
        <v>0</v>
      </c>
      <c r="J5" s="71">
        <v>450</v>
      </c>
      <c r="K5" s="71">
        <v>0</v>
      </c>
      <c r="L5" s="71">
        <v>0</v>
      </c>
      <c r="M5" s="71">
        <v>0</v>
      </c>
      <c r="N5" s="71">
        <v>36.6</v>
      </c>
      <c r="O5" s="71">
        <v>0</v>
      </c>
      <c r="Q5" s="12"/>
      <c r="R5" s="12"/>
      <c r="S5" s="12"/>
      <c r="T5" s="12"/>
      <c r="U5" s="12"/>
      <c r="V5" s="12"/>
      <c r="W5" s="12"/>
      <c r="X5" s="72"/>
      <c r="Y5" s="73">
        <v>1</v>
      </c>
      <c r="Z5" s="199" t="s">
        <v>1438</v>
      </c>
      <c r="AA5" s="199" t="s">
        <v>1239</v>
      </c>
      <c r="AB5" s="199" t="s">
        <v>51</v>
      </c>
      <c r="AC5" s="199" t="s">
        <v>943</v>
      </c>
      <c r="AD5" s="199">
        <v>0</v>
      </c>
      <c r="AE5" s="199" t="s">
        <v>1095</v>
      </c>
      <c r="AF5" s="199">
        <v>3.5714285714285712</v>
      </c>
      <c r="AI5" s="12">
        <v>1</v>
      </c>
      <c r="AJ5" s="78" t="s">
        <v>323</v>
      </c>
      <c r="AK5" s="78" t="s">
        <v>1254</v>
      </c>
      <c r="AL5" s="78" t="s">
        <v>1202</v>
      </c>
      <c r="AM5" s="78" t="s">
        <v>1208</v>
      </c>
      <c r="AN5" s="78">
        <v>87</v>
      </c>
      <c r="AO5" s="78" t="s">
        <v>43</v>
      </c>
      <c r="AP5" s="78">
        <v>0</v>
      </c>
      <c r="AQ5" s="78">
        <v>80</v>
      </c>
      <c r="AR5" s="233" t="s">
        <v>1619</v>
      </c>
      <c r="AS5" s="236"/>
      <c r="AT5" s="234">
        <v>6.61</v>
      </c>
      <c r="AU5" s="238">
        <v>0.24</v>
      </c>
      <c r="AV5" s="240"/>
    </row>
    <row r="6" spans="1:48" ht="15.6" x14ac:dyDescent="0.3">
      <c r="A6" s="70">
        <v>2</v>
      </c>
      <c r="B6" s="74" t="s">
        <v>489</v>
      </c>
      <c r="C6" s="74" t="s">
        <v>490</v>
      </c>
      <c r="D6" s="74" t="s">
        <v>1224</v>
      </c>
      <c r="E6" s="74" t="s">
        <v>1209</v>
      </c>
      <c r="F6" s="74">
        <v>350</v>
      </c>
      <c r="G6" s="74" t="s">
        <v>43</v>
      </c>
      <c r="H6" s="147"/>
      <c r="I6" s="71">
        <v>0</v>
      </c>
      <c r="J6" s="71">
        <v>680</v>
      </c>
      <c r="K6" s="71">
        <v>84.569919999999996</v>
      </c>
      <c r="L6" s="71">
        <v>29.14</v>
      </c>
      <c r="M6" s="71">
        <v>6</v>
      </c>
      <c r="N6" s="71">
        <v>19.63</v>
      </c>
      <c r="O6" s="71">
        <v>528.56200000000001</v>
      </c>
      <c r="Q6" s="12"/>
      <c r="R6" s="12"/>
      <c r="S6" s="12"/>
      <c r="T6" s="12"/>
      <c r="U6" s="12"/>
      <c r="V6" s="12"/>
      <c r="W6" s="12"/>
      <c r="X6" s="72"/>
      <c r="Y6" s="73">
        <v>2</v>
      </c>
      <c r="Z6" s="199" t="s">
        <v>1439</v>
      </c>
      <c r="AA6" s="199" t="s">
        <v>1240</v>
      </c>
      <c r="AB6" s="199" t="s">
        <v>51</v>
      </c>
      <c r="AC6" s="199" t="s">
        <v>943</v>
      </c>
      <c r="AD6" s="199">
        <v>0</v>
      </c>
      <c r="AE6" s="199" t="s">
        <v>66</v>
      </c>
      <c r="AF6" s="199">
        <v>1</v>
      </c>
      <c r="AI6" s="12">
        <v>2</v>
      </c>
      <c r="AJ6" s="78" t="s">
        <v>322</v>
      </c>
      <c r="AK6" s="78" t="s">
        <v>1256</v>
      </c>
      <c r="AL6" s="78" t="s">
        <v>1202</v>
      </c>
      <c r="AM6" s="78" t="s">
        <v>1208</v>
      </c>
      <c r="AN6" s="78">
        <v>200</v>
      </c>
      <c r="AO6" s="78" t="s">
        <v>43</v>
      </c>
      <c r="AP6" s="78">
        <v>0</v>
      </c>
      <c r="AQ6" s="78">
        <v>80</v>
      </c>
      <c r="AR6" s="233" t="s">
        <v>1619</v>
      </c>
      <c r="AS6" s="236"/>
      <c r="AT6" s="234">
        <v>2</v>
      </c>
      <c r="AU6" s="234">
        <v>0.24</v>
      </c>
    </row>
    <row r="7" spans="1:48" ht="15.6" customHeight="1" x14ac:dyDescent="0.3">
      <c r="A7" s="70">
        <v>3</v>
      </c>
      <c r="B7" s="74" t="s">
        <v>214</v>
      </c>
      <c r="C7" s="74" t="s">
        <v>1242</v>
      </c>
      <c r="D7" s="74" t="s">
        <v>632</v>
      </c>
      <c r="E7" s="74" t="s">
        <v>943</v>
      </c>
      <c r="F7" s="74">
        <v>350</v>
      </c>
      <c r="G7" s="74" t="s">
        <v>43</v>
      </c>
      <c r="H7" s="147"/>
      <c r="I7" s="71">
        <v>0</v>
      </c>
      <c r="J7" s="71">
        <v>680</v>
      </c>
      <c r="K7" s="71">
        <v>73.14</v>
      </c>
      <c r="L7" s="71">
        <v>17.43</v>
      </c>
      <c r="M7" s="71">
        <v>5.14</v>
      </c>
      <c r="N7" s="71">
        <v>19.63</v>
      </c>
      <c r="O7" s="71">
        <v>457.125</v>
      </c>
      <c r="Q7" s="12"/>
      <c r="R7" s="12"/>
      <c r="S7" s="12"/>
      <c r="T7" s="12"/>
      <c r="U7" s="12"/>
      <c r="V7" s="12"/>
      <c r="W7" s="12"/>
      <c r="X7" s="72"/>
      <c r="Y7" s="73">
        <v>3</v>
      </c>
      <c r="Z7" s="199" t="s">
        <v>1440</v>
      </c>
      <c r="AA7" s="199">
        <v>0</v>
      </c>
      <c r="AB7" s="199" t="e">
        <v>#N/A</v>
      </c>
      <c r="AC7" s="199" t="e">
        <v>#N/A</v>
      </c>
      <c r="AD7" s="199">
        <v>0</v>
      </c>
      <c r="AE7" s="199">
        <v>0</v>
      </c>
      <c r="AF7" s="199">
        <v>0</v>
      </c>
      <c r="AI7" s="12">
        <v>3</v>
      </c>
      <c r="AJ7" s="78" t="s">
        <v>336</v>
      </c>
      <c r="AK7" s="78" t="s">
        <v>1255</v>
      </c>
      <c r="AL7" s="78" t="s">
        <v>1202</v>
      </c>
      <c r="AM7" s="78" t="s">
        <v>1208</v>
      </c>
      <c r="AN7" s="78">
        <v>34</v>
      </c>
      <c r="AO7" s="78" t="s">
        <v>43</v>
      </c>
      <c r="AP7" s="78">
        <v>0</v>
      </c>
      <c r="AQ7" s="78">
        <v>80</v>
      </c>
      <c r="AR7" s="233" t="s">
        <v>1619</v>
      </c>
      <c r="AS7" s="237"/>
      <c r="AT7" s="234">
        <v>6.61</v>
      </c>
      <c r="AU7" s="234">
        <v>0.24</v>
      </c>
    </row>
    <row r="8" spans="1:48" ht="15.6" x14ac:dyDescent="0.3">
      <c r="A8" s="70">
        <v>4</v>
      </c>
      <c r="B8" s="74" t="s">
        <v>298</v>
      </c>
      <c r="C8" s="74" t="s">
        <v>1265</v>
      </c>
      <c r="D8" s="74" t="s">
        <v>1203</v>
      </c>
      <c r="E8" s="74" t="s">
        <v>943</v>
      </c>
      <c r="F8" s="74">
        <v>370</v>
      </c>
      <c r="G8" s="74" t="s">
        <v>43</v>
      </c>
      <c r="H8" s="147"/>
      <c r="I8" s="71">
        <v>0</v>
      </c>
      <c r="J8" s="71">
        <v>640</v>
      </c>
      <c r="K8" s="71">
        <v>69.459199999999996</v>
      </c>
      <c r="L8" s="71">
        <v>16.22</v>
      </c>
      <c r="M8" s="71">
        <v>5.95</v>
      </c>
      <c r="N8" s="71">
        <v>27.17</v>
      </c>
      <c r="O8" s="71">
        <v>434.12</v>
      </c>
      <c r="Q8" s="12"/>
      <c r="R8" s="12"/>
      <c r="S8" s="12"/>
      <c r="T8" s="12"/>
      <c r="U8" s="12"/>
      <c r="V8" s="12"/>
      <c r="W8" s="12"/>
      <c r="X8" s="72"/>
      <c r="Y8" s="73">
        <v>4</v>
      </c>
      <c r="Z8" s="199" t="s">
        <v>1441</v>
      </c>
      <c r="AA8" s="199">
        <v>0</v>
      </c>
      <c r="AB8" s="199" t="e">
        <v>#N/A</v>
      </c>
      <c r="AC8" s="199" t="e">
        <v>#N/A</v>
      </c>
      <c r="AD8" s="199">
        <v>0</v>
      </c>
      <c r="AE8" s="199">
        <v>0</v>
      </c>
      <c r="AF8" s="199">
        <v>0</v>
      </c>
      <c r="AI8" s="12">
        <v>4</v>
      </c>
      <c r="AJ8" s="78" t="s">
        <v>327</v>
      </c>
      <c r="AK8" s="78" t="s">
        <v>1257</v>
      </c>
      <c r="AL8" s="78" t="s">
        <v>1202</v>
      </c>
      <c r="AM8" s="78" t="s">
        <v>1208</v>
      </c>
      <c r="AN8" s="78">
        <v>300</v>
      </c>
      <c r="AO8" s="78" t="s">
        <v>43</v>
      </c>
      <c r="AP8" s="78">
        <v>0</v>
      </c>
      <c r="AQ8" s="78">
        <v>80</v>
      </c>
      <c r="AR8" s="233" t="s">
        <v>1619</v>
      </c>
      <c r="AS8" s="236"/>
      <c r="AT8" s="234">
        <v>17</v>
      </c>
      <c r="AU8" s="234">
        <v>0.24</v>
      </c>
    </row>
    <row r="9" spans="1:48" ht="15.6" x14ac:dyDescent="0.3">
      <c r="A9" s="70">
        <v>5</v>
      </c>
      <c r="B9" s="74" t="s">
        <v>297</v>
      </c>
      <c r="C9" s="74" t="s">
        <v>661</v>
      </c>
      <c r="D9" s="74" t="s">
        <v>632</v>
      </c>
      <c r="E9" s="74" t="s">
        <v>943</v>
      </c>
      <c r="F9" s="74">
        <v>370</v>
      </c>
      <c r="G9" s="74" t="s">
        <v>43</v>
      </c>
      <c r="H9" s="147"/>
      <c r="I9" s="71">
        <v>0</v>
      </c>
      <c r="J9" s="71">
        <v>680</v>
      </c>
      <c r="K9" s="71">
        <v>59.459200000000003</v>
      </c>
      <c r="L9" s="71">
        <v>17.3</v>
      </c>
      <c r="M9" s="71">
        <v>5.41</v>
      </c>
      <c r="N9" s="71">
        <v>27.17</v>
      </c>
      <c r="O9" s="71">
        <v>371.62</v>
      </c>
      <c r="Q9" s="12"/>
      <c r="R9" s="12"/>
      <c r="S9" s="12"/>
      <c r="T9" s="12"/>
      <c r="U9" s="12"/>
      <c r="V9" s="12"/>
      <c r="W9" s="12"/>
      <c r="X9" s="72"/>
      <c r="Y9" s="73">
        <v>5</v>
      </c>
      <c r="Z9" s="199" t="s">
        <v>1442</v>
      </c>
      <c r="AA9" s="199">
        <v>0</v>
      </c>
      <c r="AB9" s="199" t="e">
        <v>#N/A</v>
      </c>
      <c r="AC9" s="199" t="e">
        <v>#N/A</v>
      </c>
      <c r="AD9" s="199">
        <v>0</v>
      </c>
      <c r="AE9" s="199">
        <v>0</v>
      </c>
      <c r="AF9" s="199">
        <v>0</v>
      </c>
      <c r="AI9" s="12">
        <v>5</v>
      </c>
      <c r="AJ9" s="78" t="s">
        <v>328</v>
      </c>
      <c r="AK9" s="78" t="s">
        <v>1257</v>
      </c>
      <c r="AL9" s="78" t="s">
        <v>1202</v>
      </c>
      <c r="AM9" s="78" t="s">
        <v>1208</v>
      </c>
      <c r="AN9" s="78">
        <v>287</v>
      </c>
      <c r="AO9" s="78" t="s">
        <v>43</v>
      </c>
      <c r="AP9" s="78">
        <v>0</v>
      </c>
      <c r="AQ9" s="78">
        <v>80</v>
      </c>
      <c r="AR9" s="233" t="s">
        <v>1619</v>
      </c>
      <c r="AS9" s="236"/>
      <c r="AT9" s="234">
        <v>17</v>
      </c>
      <c r="AU9" s="234">
        <v>0.24</v>
      </c>
    </row>
    <row r="10" spans="1:48" ht="15.6" x14ac:dyDescent="0.3">
      <c r="A10" s="70">
        <v>6</v>
      </c>
      <c r="B10" s="74" t="s">
        <v>299</v>
      </c>
      <c r="C10" s="74" t="s">
        <v>479</v>
      </c>
      <c r="D10" s="74" t="s">
        <v>1223</v>
      </c>
      <c r="E10" s="74" t="s">
        <v>1209</v>
      </c>
      <c r="F10" s="74">
        <v>370</v>
      </c>
      <c r="G10" s="74" t="s">
        <v>43</v>
      </c>
      <c r="H10" s="147"/>
      <c r="I10" s="71">
        <v>0</v>
      </c>
      <c r="J10" s="71">
        <v>640</v>
      </c>
      <c r="K10" s="71">
        <v>69.459199999999996</v>
      </c>
      <c r="L10" s="71">
        <v>16.22</v>
      </c>
      <c r="M10" s="71">
        <v>5.95</v>
      </c>
      <c r="N10" s="71">
        <v>27.17</v>
      </c>
      <c r="O10" s="71">
        <v>434.12</v>
      </c>
      <c r="Q10" s="12"/>
      <c r="R10" s="12"/>
      <c r="S10" s="12"/>
      <c r="T10" s="12"/>
      <c r="U10" s="12"/>
      <c r="V10" s="12"/>
      <c r="W10" s="12"/>
      <c r="X10" s="72"/>
      <c r="Y10" s="73">
        <v>6</v>
      </c>
      <c r="Z10" s="199" t="s">
        <v>1443</v>
      </c>
      <c r="AA10" s="199">
        <v>0</v>
      </c>
      <c r="AB10" s="199" t="e">
        <v>#N/A</v>
      </c>
      <c r="AC10" s="199" t="e">
        <v>#N/A</v>
      </c>
      <c r="AD10" s="199">
        <v>0</v>
      </c>
      <c r="AE10" s="199">
        <v>0</v>
      </c>
      <c r="AF10" s="199">
        <v>0</v>
      </c>
      <c r="AI10" s="12">
        <v>6</v>
      </c>
      <c r="AJ10" s="78" t="s">
        <v>325</v>
      </c>
      <c r="AK10" s="78" t="s">
        <v>1254</v>
      </c>
      <c r="AL10" s="78" t="s">
        <v>1202</v>
      </c>
      <c r="AM10" s="78" t="s">
        <v>1208</v>
      </c>
      <c r="AN10" s="78">
        <v>80</v>
      </c>
      <c r="AO10" s="78" t="s">
        <v>43</v>
      </c>
      <c r="AP10" s="78">
        <v>0</v>
      </c>
      <c r="AQ10" s="78">
        <v>80</v>
      </c>
      <c r="AR10" s="233" t="s">
        <v>1619</v>
      </c>
      <c r="AS10" s="236"/>
      <c r="AT10" s="234">
        <v>6.61</v>
      </c>
      <c r="AU10" s="234">
        <v>0.24</v>
      </c>
    </row>
    <row r="11" spans="1:48" ht="15.6" x14ac:dyDescent="0.3">
      <c r="A11" s="70">
        <v>7</v>
      </c>
      <c r="B11" s="74" t="s">
        <v>390</v>
      </c>
      <c r="C11" s="74" t="s">
        <v>481</v>
      </c>
      <c r="D11" s="74" t="s">
        <v>1223</v>
      </c>
      <c r="E11" s="74" t="s">
        <v>1209</v>
      </c>
      <c r="F11" s="74">
        <v>370</v>
      </c>
      <c r="G11" s="74" t="s">
        <v>43</v>
      </c>
      <c r="H11" s="147"/>
      <c r="I11" s="71">
        <v>0</v>
      </c>
      <c r="J11" s="71">
        <v>640</v>
      </c>
      <c r="K11" s="71">
        <v>79.87</v>
      </c>
      <c r="L11" s="71">
        <v>13.24</v>
      </c>
      <c r="M11" s="71">
        <v>5.95</v>
      </c>
      <c r="N11" s="71">
        <v>27.17</v>
      </c>
      <c r="O11" s="71">
        <v>0</v>
      </c>
      <c r="Q11" s="12"/>
      <c r="R11" s="12"/>
      <c r="S11" s="12"/>
      <c r="T11" s="12"/>
      <c r="U11" s="12"/>
      <c r="V11" s="12"/>
      <c r="W11" s="12"/>
      <c r="X11" s="72"/>
      <c r="Y11" s="73">
        <v>7</v>
      </c>
      <c r="Z11" s="199" t="s">
        <v>1444</v>
      </c>
      <c r="AA11" s="199">
        <v>0</v>
      </c>
      <c r="AB11" s="199" t="e">
        <v>#N/A</v>
      </c>
      <c r="AC11" s="199" t="e">
        <v>#N/A</v>
      </c>
      <c r="AD11" s="199">
        <v>0</v>
      </c>
      <c r="AE11" s="199">
        <v>0</v>
      </c>
      <c r="AF11" s="199">
        <v>0</v>
      </c>
      <c r="AI11" s="12">
        <v>7</v>
      </c>
      <c r="AJ11" s="78" t="s">
        <v>337</v>
      </c>
      <c r="AK11" s="78" t="s">
        <v>1254</v>
      </c>
      <c r="AL11" s="78" t="s">
        <v>1202</v>
      </c>
      <c r="AM11" s="78" t="s">
        <v>1208</v>
      </c>
      <c r="AN11" s="78">
        <v>69</v>
      </c>
      <c r="AO11" s="78" t="s">
        <v>43</v>
      </c>
      <c r="AP11" s="78">
        <v>0</v>
      </c>
      <c r="AQ11" s="78">
        <v>80</v>
      </c>
      <c r="AR11" s="233" t="s">
        <v>1619</v>
      </c>
      <c r="AS11" s="236"/>
      <c r="AT11" s="234">
        <v>6.61</v>
      </c>
      <c r="AU11" s="234">
        <v>0.24</v>
      </c>
    </row>
    <row r="12" spans="1:48" ht="15.6" x14ac:dyDescent="0.3">
      <c r="A12" s="70">
        <v>8</v>
      </c>
      <c r="B12" s="74" t="s">
        <v>388</v>
      </c>
      <c r="C12" s="74" t="s">
        <v>661</v>
      </c>
      <c r="D12" s="74" t="s">
        <v>632</v>
      </c>
      <c r="E12" s="74" t="s">
        <v>943</v>
      </c>
      <c r="F12" s="74">
        <v>370</v>
      </c>
      <c r="G12" s="74" t="s">
        <v>43</v>
      </c>
      <c r="H12" s="147"/>
      <c r="I12" s="71">
        <v>0</v>
      </c>
      <c r="J12" s="71">
        <v>680</v>
      </c>
      <c r="K12" s="71">
        <v>78.7</v>
      </c>
      <c r="L12" s="71">
        <v>14.86</v>
      </c>
      <c r="M12" s="71">
        <v>5.95</v>
      </c>
      <c r="N12" s="71">
        <v>27.17</v>
      </c>
      <c r="O12" s="71">
        <v>0</v>
      </c>
      <c r="Q12" s="12"/>
      <c r="R12" s="12"/>
      <c r="S12" s="12"/>
      <c r="T12" s="12"/>
      <c r="U12" s="12"/>
      <c r="V12" s="12"/>
      <c r="W12" s="12"/>
      <c r="X12" s="72"/>
      <c r="Y12" s="73">
        <v>8</v>
      </c>
      <c r="Z12" s="199" t="s">
        <v>1445</v>
      </c>
      <c r="AA12" s="199">
        <v>0</v>
      </c>
      <c r="AB12" s="199" t="e">
        <v>#N/A</v>
      </c>
      <c r="AC12" s="199" t="e">
        <v>#N/A</v>
      </c>
      <c r="AD12" s="199">
        <v>0</v>
      </c>
      <c r="AE12" s="199">
        <v>0</v>
      </c>
      <c r="AF12" s="199">
        <v>0</v>
      </c>
      <c r="AI12" s="12">
        <v>8</v>
      </c>
      <c r="AJ12" s="78" t="s">
        <v>329</v>
      </c>
      <c r="AK12" s="78" t="s">
        <v>1259</v>
      </c>
      <c r="AL12" s="78" t="s">
        <v>1216</v>
      </c>
      <c r="AM12" s="78" t="s">
        <v>1208</v>
      </c>
      <c r="AN12" s="78">
        <v>87</v>
      </c>
      <c r="AO12" s="78" t="s">
        <v>43</v>
      </c>
      <c r="AP12" s="78" t="s">
        <v>1620</v>
      </c>
      <c r="AQ12" s="78">
        <v>80</v>
      </c>
      <c r="AR12" s="233" t="s">
        <v>1621</v>
      </c>
      <c r="AS12" s="236"/>
      <c r="AT12" s="234">
        <v>1</v>
      </c>
      <c r="AU12" s="234">
        <v>0.24</v>
      </c>
    </row>
    <row r="13" spans="1:48" ht="15.6" x14ac:dyDescent="0.3">
      <c r="A13" s="70">
        <v>9</v>
      </c>
      <c r="B13" s="74" t="s">
        <v>1266</v>
      </c>
      <c r="C13" s="74" t="s">
        <v>1266</v>
      </c>
      <c r="D13" s="74" t="s">
        <v>51</v>
      </c>
      <c r="E13" s="74" t="s">
        <v>946</v>
      </c>
      <c r="F13" s="74">
        <v>1000</v>
      </c>
      <c r="G13" s="74" t="s">
        <v>1612</v>
      </c>
      <c r="H13" s="147"/>
      <c r="I13" s="71">
        <v>0</v>
      </c>
      <c r="J13" s="71">
        <v>750</v>
      </c>
      <c r="K13" s="71">
        <v>0</v>
      </c>
      <c r="L13" s="71">
        <v>0</v>
      </c>
      <c r="M13" s="71">
        <v>0</v>
      </c>
      <c r="N13" s="71">
        <v>55</v>
      </c>
      <c r="O13" s="71">
        <v>0</v>
      </c>
      <c r="Q13" s="12"/>
      <c r="R13" s="12"/>
      <c r="S13" s="12"/>
      <c r="T13" s="12"/>
      <c r="U13" s="12"/>
      <c r="V13" s="12"/>
      <c r="W13" s="12"/>
      <c r="X13" s="72"/>
      <c r="Y13" s="73">
        <v>9</v>
      </c>
      <c r="Z13" s="199" t="s">
        <v>1446</v>
      </c>
      <c r="AA13" s="199">
        <v>0</v>
      </c>
      <c r="AB13" s="199" t="e">
        <v>#N/A</v>
      </c>
      <c r="AC13" s="199" t="e">
        <v>#N/A</v>
      </c>
      <c r="AD13" s="199">
        <v>0</v>
      </c>
      <c r="AE13" s="199">
        <v>0</v>
      </c>
      <c r="AF13" s="199">
        <v>0</v>
      </c>
      <c r="AI13" s="12">
        <v>9</v>
      </c>
      <c r="AJ13" s="78" t="s">
        <v>343</v>
      </c>
      <c r="AK13" s="78" t="s">
        <v>1260</v>
      </c>
      <c r="AL13" s="78" t="s">
        <v>1202</v>
      </c>
      <c r="AM13" s="78" t="s">
        <v>1208</v>
      </c>
      <c r="AN13" s="78">
        <v>45</v>
      </c>
      <c r="AO13" s="78" t="s">
        <v>43</v>
      </c>
      <c r="AP13" s="78">
        <v>0</v>
      </c>
      <c r="AQ13" s="78">
        <v>80</v>
      </c>
      <c r="AR13" s="233" t="s">
        <v>1619</v>
      </c>
      <c r="AS13" s="236"/>
      <c r="AT13" s="234">
        <v>9.32</v>
      </c>
      <c r="AU13" s="234">
        <v>0.45</v>
      </c>
    </row>
    <row r="14" spans="1:48" ht="15.6" x14ac:dyDescent="0.3">
      <c r="A14" s="70">
        <v>10</v>
      </c>
      <c r="B14" s="74" t="s">
        <v>422</v>
      </c>
      <c r="C14" s="74" t="s">
        <v>1265</v>
      </c>
      <c r="D14" s="74" t="s">
        <v>1203</v>
      </c>
      <c r="E14" s="74" t="s">
        <v>943</v>
      </c>
      <c r="F14" s="74">
        <v>350</v>
      </c>
      <c r="G14" s="74" t="s">
        <v>43</v>
      </c>
      <c r="H14" s="147"/>
      <c r="I14" s="71">
        <v>0</v>
      </c>
      <c r="J14" s="71">
        <v>680</v>
      </c>
      <c r="K14" s="71">
        <v>73.14</v>
      </c>
      <c r="L14" s="71">
        <v>17.43</v>
      </c>
      <c r="M14" s="71">
        <v>5.14</v>
      </c>
      <c r="N14" s="71">
        <v>19.63</v>
      </c>
      <c r="O14" s="71">
        <v>457.125</v>
      </c>
      <c r="Q14" s="12"/>
      <c r="R14" s="12"/>
      <c r="S14" s="12"/>
      <c r="T14" s="12"/>
      <c r="U14" s="12"/>
      <c r="V14" s="12"/>
      <c r="W14" s="12"/>
      <c r="X14" s="72"/>
      <c r="Y14" s="73">
        <v>10</v>
      </c>
      <c r="Z14" s="199" t="s">
        <v>1447</v>
      </c>
      <c r="AA14" s="199">
        <v>0</v>
      </c>
      <c r="AB14" s="199" t="e">
        <v>#N/A</v>
      </c>
      <c r="AC14" s="199" t="e">
        <v>#N/A</v>
      </c>
      <c r="AD14" s="199">
        <v>0</v>
      </c>
      <c r="AE14" s="199">
        <v>0</v>
      </c>
      <c r="AF14" s="199">
        <v>0</v>
      </c>
      <c r="AI14" s="12">
        <v>10</v>
      </c>
      <c r="AJ14" s="78" t="s">
        <v>330</v>
      </c>
      <c r="AK14" s="78" t="s">
        <v>1261</v>
      </c>
      <c r="AL14" s="78" t="s">
        <v>1202</v>
      </c>
      <c r="AM14" s="78" t="s">
        <v>1208</v>
      </c>
      <c r="AN14" s="78">
        <v>230</v>
      </c>
      <c r="AO14" s="78" t="s">
        <v>43</v>
      </c>
      <c r="AP14" s="78">
        <v>0</v>
      </c>
      <c r="AQ14" s="78">
        <v>80</v>
      </c>
      <c r="AR14" s="233" t="s">
        <v>1619</v>
      </c>
      <c r="AS14" s="236"/>
      <c r="AT14" s="234">
        <v>2</v>
      </c>
      <c r="AU14" s="234">
        <v>0.45</v>
      </c>
    </row>
    <row r="15" spans="1:48" ht="15.6" x14ac:dyDescent="0.3">
      <c r="A15" s="70">
        <v>11</v>
      </c>
      <c r="B15" s="74" t="s">
        <v>541</v>
      </c>
      <c r="C15" s="74" t="s">
        <v>535</v>
      </c>
      <c r="D15" s="74" t="s">
        <v>1225</v>
      </c>
      <c r="E15" s="74" t="s">
        <v>1209</v>
      </c>
      <c r="F15" s="74">
        <v>350</v>
      </c>
      <c r="G15" s="74" t="s">
        <v>43</v>
      </c>
      <c r="H15" s="147"/>
      <c r="I15" s="71">
        <v>0</v>
      </c>
      <c r="J15" s="71">
        <v>680</v>
      </c>
      <c r="K15" s="71">
        <v>84.569919999999996</v>
      </c>
      <c r="L15" s="71">
        <v>29.14</v>
      </c>
      <c r="M15" s="71">
        <v>6</v>
      </c>
      <c r="N15" s="71">
        <v>19.63</v>
      </c>
      <c r="O15" s="71">
        <v>528.56200000000001</v>
      </c>
      <c r="Q15" s="12"/>
      <c r="R15" s="12"/>
      <c r="S15" s="12"/>
      <c r="T15" s="12"/>
      <c r="U15" s="12"/>
      <c r="V15" s="12"/>
      <c r="W15" s="12"/>
      <c r="X15" s="72"/>
      <c r="Y15" s="73">
        <v>11</v>
      </c>
      <c r="Z15" s="199" t="s">
        <v>1448</v>
      </c>
      <c r="AA15" s="199">
        <v>0</v>
      </c>
      <c r="AB15" s="199" t="e">
        <v>#N/A</v>
      </c>
      <c r="AC15" s="199" t="e">
        <v>#N/A</v>
      </c>
      <c r="AD15" s="199">
        <v>0</v>
      </c>
      <c r="AE15" s="199">
        <v>0</v>
      </c>
      <c r="AF15" s="199">
        <v>0</v>
      </c>
      <c r="AI15" s="12">
        <v>11</v>
      </c>
      <c r="AJ15" s="78" t="s">
        <v>340</v>
      </c>
      <c r="AK15" s="78" t="s">
        <v>1262</v>
      </c>
      <c r="AL15" s="78" t="s">
        <v>1202</v>
      </c>
      <c r="AM15" s="78" t="s">
        <v>1208</v>
      </c>
      <c r="AN15" s="78">
        <v>25</v>
      </c>
      <c r="AO15" s="78" t="s">
        <v>43</v>
      </c>
      <c r="AP15" s="78">
        <v>0</v>
      </c>
      <c r="AQ15" s="78">
        <v>80</v>
      </c>
      <c r="AR15" s="233" t="s">
        <v>1619</v>
      </c>
      <c r="AS15" s="236"/>
      <c r="AT15" s="234">
        <v>9.32</v>
      </c>
      <c r="AU15" s="234">
        <v>0.45</v>
      </c>
    </row>
    <row r="16" spans="1:48" ht="15.6" x14ac:dyDescent="0.3">
      <c r="A16" s="70">
        <v>12</v>
      </c>
      <c r="B16" s="74" t="s">
        <v>441</v>
      </c>
      <c r="C16" s="74" t="s">
        <v>1292</v>
      </c>
      <c r="D16" s="74" t="s">
        <v>632</v>
      </c>
      <c r="E16" s="74" t="s">
        <v>943</v>
      </c>
      <c r="F16" s="74">
        <v>350</v>
      </c>
      <c r="G16" s="74" t="s">
        <v>43</v>
      </c>
      <c r="H16" s="147"/>
      <c r="I16" s="71">
        <v>0</v>
      </c>
      <c r="J16" s="71">
        <v>680</v>
      </c>
      <c r="K16" s="71">
        <v>73.14</v>
      </c>
      <c r="L16" s="71">
        <v>17.43</v>
      </c>
      <c r="M16" s="71">
        <v>5.14</v>
      </c>
      <c r="N16" s="71">
        <v>19.63</v>
      </c>
      <c r="O16" s="71">
        <v>457.125</v>
      </c>
      <c r="Q16" s="12"/>
      <c r="R16" s="12"/>
      <c r="S16" s="12"/>
      <c r="T16" s="12"/>
      <c r="U16" s="12"/>
      <c r="V16" s="12"/>
      <c r="W16" s="12"/>
      <c r="X16" s="72"/>
      <c r="Y16" s="73">
        <v>12</v>
      </c>
      <c r="Z16" s="199" t="s">
        <v>1449</v>
      </c>
      <c r="AA16" s="199">
        <v>0</v>
      </c>
      <c r="AB16" s="199" t="e">
        <v>#N/A</v>
      </c>
      <c r="AC16" s="199" t="e">
        <v>#N/A</v>
      </c>
      <c r="AD16" s="199">
        <v>0</v>
      </c>
      <c r="AE16" s="199">
        <v>0</v>
      </c>
      <c r="AF16" s="199">
        <v>0</v>
      </c>
      <c r="AI16" s="12">
        <v>12</v>
      </c>
      <c r="AJ16" s="78" t="s">
        <v>331</v>
      </c>
      <c r="AK16" s="78" t="s">
        <v>1263</v>
      </c>
      <c r="AL16" s="78" t="s">
        <v>1202</v>
      </c>
      <c r="AM16" s="78" t="s">
        <v>1208</v>
      </c>
      <c r="AN16" s="78">
        <v>330</v>
      </c>
      <c r="AO16" s="78" t="s">
        <v>43</v>
      </c>
      <c r="AP16" s="78">
        <v>0</v>
      </c>
      <c r="AQ16" s="78">
        <v>80</v>
      </c>
      <c r="AR16" s="233" t="s">
        <v>1619</v>
      </c>
      <c r="AS16" s="236"/>
      <c r="AT16" s="234">
        <v>17.96</v>
      </c>
      <c r="AU16" s="234">
        <v>0.45</v>
      </c>
    </row>
    <row r="17" spans="1:47" ht="15.6" x14ac:dyDescent="0.3">
      <c r="A17" s="70">
        <v>13</v>
      </c>
      <c r="B17" s="74" t="s">
        <v>540</v>
      </c>
      <c r="C17" s="74" t="s">
        <v>1293</v>
      </c>
      <c r="D17" s="74" t="s">
        <v>1203</v>
      </c>
      <c r="E17" s="74" t="s">
        <v>943</v>
      </c>
      <c r="F17" s="74">
        <v>350</v>
      </c>
      <c r="G17" s="74" t="s">
        <v>43</v>
      </c>
      <c r="H17" s="147"/>
      <c r="I17" s="71">
        <v>0</v>
      </c>
      <c r="J17" s="71">
        <v>680</v>
      </c>
      <c r="K17" s="71">
        <v>73.14</v>
      </c>
      <c r="L17" s="71">
        <v>17.43</v>
      </c>
      <c r="M17" s="71">
        <v>5.14</v>
      </c>
      <c r="N17" s="71">
        <v>19.63</v>
      </c>
      <c r="O17" s="71">
        <v>457.125</v>
      </c>
      <c r="Q17" s="12"/>
      <c r="R17" s="12"/>
      <c r="S17" s="12"/>
      <c r="T17" s="12"/>
      <c r="U17" s="12"/>
      <c r="V17" s="12"/>
      <c r="W17" s="12"/>
      <c r="X17" s="72"/>
      <c r="Y17" s="73">
        <v>13</v>
      </c>
      <c r="Z17" s="199" t="s">
        <v>1450</v>
      </c>
      <c r="AA17" s="199">
        <v>0</v>
      </c>
      <c r="AB17" s="199" t="e">
        <v>#N/A</v>
      </c>
      <c r="AC17" s="199" t="e">
        <v>#N/A</v>
      </c>
      <c r="AD17" s="199">
        <v>0</v>
      </c>
      <c r="AE17" s="199">
        <v>0</v>
      </c>
      <c r="AF17" s="199">
        <v>0</v>
      </c>
      <c r="AI17" s="12">
        <v>13</v>
      </c>
      <c r="AJ17" s="78" t="s">
        <v>341</v>
      </c>
      <c r="AK17" s="78" t="s">
        <v>1260</v>
      </c>
      <c r="AL17" s="78" t="s">
        <v>1202</v>
      </c>
      <c r="AM17" s="78" t="s">
        <v>1208</v>
      </c>
      <c r="AN17" s="78">
        <v>55</v>
      </c>
      <c r="AO17" s="78" t="s">
        <v>43</v>
      </c>
      <c r="AP17" s="78">
        <v>0</v>
      </c>
      <c r="AQ17" s="78">
        <v>80</v>
      </c>
      <c r="AR17" s="233" t="s">
        <v>1619</v>
      </c>
      <c r="AS17" s="236"/>
      <c r="AT17" s="234">
        <v>9.32</v>
      </c>
      <c r="AU17" s="234">
        <v>0.45</v>
      </c>
    </row>
    <row r="18" spans="1:47" ht="15.6" x14ac:dyDescent="0.3">
      <c r="A18" s="70">
        <v>14</v>
      </c>
      <c r="B18" s="74" t="s">
        <v>633</v>
      </c>
      <c r="C18" s="74" t="s">
        <v>1265</v>
      </c>
      <c r="D18" s="74" t="s">
        <v>1203</v>
      </c>
      <c r="E18" s="74" t="s">
        <v>943</v>
      </c>
      <c r="F18" s="74">
        <v>370</v>
      </c>
      <c r="G18" s="74" t="s">
        <v>43</v>
      </c>
      <c r="H18" s="147"/>
      <c r="I18" s="71">
        <v>0</v>
      </c>
      <c r="J18" s="71">
        <v>640</v>
      </c>
      <c r="K18" s="71">
        <v>69.459199999999996</v>
      </c>
      <c r="L18" s="71">
        <v>16.22</v>
      </c>
      <c r="M18" s="71">
        <v>5.95</v>
      </c>
      <c r="N18" s="71">
        <v>27.17</v>
      </c>
      <c r="O18" s="71">
        <v>434.12</v>
      </c>
      <c r="Q18" s="12"/>
      <c r="R18" s="12"/>
      <c r="S18" s="12"/>
      <c r="T18" s="12"/>
      <c r="U18" s="12"/>
      <c r="V18" s="12"/>
      <c r="W18" s="12"/>
      <c r="X18" s="72"/>
      <c r="Y18" s="73">
        <v>14</v>
      </c>
      <c r="Z18" s="199" t="s">
        <v>1451</v>
      </c>
      <c r="AA18" s="199">
        <v>0</v>
      </c>
      <c r="AB18" s="199" t="e">
        <v>#N/A</v>
      </c>
      <c r="AC18" s="199" t="e">
        <v>#N/A</v>
      </c>
      <c r="AD18" s="199">
        <v>0</v>
      </c>
      <c r="AE18" s="199">
        <v>0</v>
      </c>
      <c r="AF18" s="199">
        <v>0</v>
      </c>
      <c r="AI18" s="12">
        <v>14</v>
      </c>
      <c r="AJ18" s="78" t="s">
        <v>335</v>
      </c>
      <c r="AK18" s="78" t="s">
        <v>1264</v>
      </c>
      <c r="AL18" s="78" t="s">
        <v>1216</v>
      </c>
      <c r="AM18" s="78" t="s">
        <v>1208</v>
      </c>
      <c r="AN18" s="78">
        <v>77</v>
      </c>
      <c r="AO18" s="78" t="s">
        <v>43</v>
      </c>
      <c r="AP18" s="78">
        <v>0</v>
      </c>
      <c r="AQ18" s="78">
        <v>80</v>
      </c>
      <c r="AR18" s="233" t="s">
        <v>1621</v>
      </c>
      <c r="AS18" s="236"/>
      <c r="AT18" s="234">
        <v>1</v>
      </c>
      <c r="AU18" s="234">
        <v>0.45</v>
      </c>
    </row>
    <row r="19" spans="1:47" ht="15.6" x14ac:dyDescent="0.3">
      <c r="A19" s="70">
        <v>15</v>
      </c>
      <c r="B19" s="74" t="s">
        <v>714</v>
      </c>
      <c r="C19" s="74" t="s">
        <v>1293</v>
      </c>
      <c r="D19" s="74" t="s">
        <v>1203</v>
      </c>
      <c r="E19" s="74" t="s">
        <v>943</v>
      </c>
      <c r="F19" s="74">
        <v>370</v>
      </c>
      <c r="G19" s="74" t="s">
        <v>43</v>
      </c>
      <c r="H19" s="147"/>
      <c r="I19" s="71">
        <v>0</v>
      </c>
      <c r="J19" s="71">
        <v>640</v>
      </c>
      <c r="K19" s="71">
        <v>69.459199999999996</v>
      </c>
      <c r="L19" s="71">
        <v>16.22</v>
      </c>
      <c r="M19" s="71">
        <v>5.95</v>
      </c>
      <c r="N19" s="71">
        <v>27.17</v>
      </c>
      <c r="O19" s="71">
        <v>434.12</v>
      </c>
      <c r="Q19" s="12"/>
      <c r="R19" s="12"/>
      <c r="S19" s="12"/>
      <c r="T19" s="12"/>
      <c r="U19" s="12"/>
      <c r="V19" s="12"/>
      <c r="W19" s="12"/>
      <c r="X19" s="72"/>
      <c r="Y19" s="73">
        <v>15</v>
      </c>
      <c r="Z19" s="199" t="s">
        <v>1452</v>
      </c>
      <c r="AA19" s="199">
        <v>0</v>
      </c>
      <c r="AB19" s="199" t="e">
        <v>#N/A</v>
      </c>
      <c r="AC19" s="199" t="e">
        <v>#N/A</v>
      </c>
      <c r="AD19" s="199">
        <v>0</v>
      </c>
      <c r="AE19" s="199">
        <v>0</v>
      </c>
      <c r="AF19" s="199">
        <v>0</v>
      </c>
      <c r="AI19" s="12">
        <v>15</v>
      </c>
      <c r="AJ19" s="78" t="s">
        <v>324</v>
      </c>
      <c r="AK19" s="78" t="s">
        <v>1254</v>
      </c>
      <c r="AL19" s="78" t="s">
        <v>1202</v>
      </c>
      <c r="AM19" s="78" t="s">
        <v>1208</v>
      </c>
      <c r="AN19" s="78">
        <v>80</v>
      </c>
      <c r="AO19" s="78" t="s">
        <v>43</v>
      </c>
      <c r="AP19" s="78">
        <v>0</v>
      </c>
      <c r="AQ19" s="78">
        <v>80</v>
      </c>
      <c r="AR19" s="233" t="s">
        <v>1619</v>
      </c>
      <c r="AS19" s="236"/>
      <c r="AT19" s="234">
        <v>6.61</v>
      </c>
      <c r="AU19" s="234">
        <v>0.24</v>
      </c>
    </row>
    <row r="20" spans="1:47" ht="15.6" x14ac:dyDescent="0.3">
      <c r="A20" s="70">
        <v>16</v>
      </c>
      <c r="B20" s="74" t="s">
        <v>637</v>
      </c>
      <c r="C20" s="74" t="s">
        <v>1265</v>
      </c>
      <c r="D20" s="74" t="s">
        <v>1203</v>
      </c>
      <c r="E20" s="74" t="s">
        <v>943</v>
      </c>
      <c r="F20" s="74">
        <v>370</v>
      </c>
      <c r="G20" s="74" t="s">
        <v>43</v>
      </c>
      <c r="H20" s="147"/>
      <c r="I20" s="71">
        <v>0</v>
      </c>
      <c r="J20" s="71">
        <v>640</v>
      </c>
      <c r="K20" s="71">
        <v>79.87</v>
      </c>
      <c r="L20" s="71">
        <v>13.24</v>
      </c>
      <c r="M20" s="71">
        <v>5.95</v>
      </c>
      <c r="N20" s="71">
        <v>27.17</v>
      </c>
      <c r="O20" s="71">
        <v>0</v>
      </c>
      <c r="Q20" s="12"/>
      <c r="R20" s="12"/>
      <c r="S20" s="12"/>
      <c r="T20" s="12"/>
      <c r="U20" s="12"/>
      <c r="V20" s="12"/>
      <c r="W20" s="12"/>
      <c r="X20" s="72"/>
      <c r="Y20" s="73">
        <v>16</v>
      </c>
      <c r="Z20" s="199" t="s">
        <v>1453</v>
      </c>
      <c r="AA20" s="199">
        <v>0</v>
      </c>
      <c r="AB20" s="199" t="e">
        <v>#N/A</v>
      </c>
      <c r="AC20" s="199" t="e">
        <v>#N/A</v>
      </c>
      <c r="AD20" s="199">
        <v>0</v>
      </c>
      <c r="AE20" s="199">
        <v>0</v>
      </c>
      <c r="AF20" s="199">
        <v>0</v>
      </c>
      <c r="AI20" s="12">
        <v>16</v>
      </c>
      <c r="AJ20" s="78" t="s">
        <v>326</v>
      </c>
      <c r="AK20" s="78" t="s">
        <v>1254</v>
      </c>
      <c r="AL20" s="78" t="s">
        <v>1202</v>
      </c>
      <c r="AM20" s="78" t="s">
        <v>1208</v>
      </c>
      <c r="AN20" s="78">
        <v>80</v>
      </c>
      <c r="AO20" s="78" t="s">
        <v>43</v>
      </c>
      <c r="AP20" s="78">
        <v>0</v>
      </c>
      <c r="AQ20" s="78">
        <v>80</v>
      </c>
      <c r="AR20" s="233" t="s">
        <v>1619</v>
      </c>
      <c r="AS20" s="236"/>
      <c r="AT20" s="234">
        <v>6.61</v>
      </c>
      <c r="AU20" s="234">
        <v>0.24</v>
      </c>
    </row>
    <row r="21" spans="1:47" ht="15.6" x14ac:dyDescent="0.3">
      <c r="A21" s="70">
        <v>17</v>
      </c>
      <c r="B21" s="74" t="s">
        <v>716</v>
      </c>
      <c r="C21" s="74" t="s">
        <v>1293</v>
      </c>
      <c r="D21" s="74" t="s">
        <v>1203</v>
      </c>
      <c r="E21" s="74" t="s">
        <v>943</v>
      </c>
      <c r="F21" s="74">
        <v>370</v>
      </c>
      <c r="G21" s="74" t="s">
        <v>43</v>
      </c>
      <c r="H21" s="147"/>
      <c r="I21" s="71">
        <v>0</v>
      </c>
      <c r="J21" s="71">
        <v>640</v>
      </c>
      <c r="K21" s="71">
        <v>79.87</v>
      </c>
      <c r="L21" s="71">
        <v>13.24</v>
      </c>
      <c r="M21" s="71">
        <v>5.95</v>
      </c>
      <c r="N21" s="71">
        <v>27.17</v>
      </c>
      <c r="O21" s="71">
        <v>0</v>
      </c>
      <c r="Q21" s="12"/>
      <c r="R21" s="12"/>
      <c r="S21" s="12"/>
      <c r="T21" s="12"/>
      <c r="U21" s="12"/>
      <c r="V21" s="12"/>
      <c r="W21" s="12"/>
      <c r="X21" s="72"/>
      <c r="Y21" s="73">
        <v>17</v>
      </c>
      <c r="Z21" s="199" t="s">
        <v>1454</v>
      </c>
      <c r="AA21" s="199">
        <v>0</v>
      </c>
      <c r="AB21" s="199" t="e">
        <v>#N/A</v>
      </c>
      <c r="AC21" s="199" t="e">
        <v>#N/A</v>
      </c>
      <c r="AD21" s="199">
        <v>0</v>
      </c>
      <c r="AE21" s="199">
        <v>0</v>
      </c>
      <c r="AF21" s="199">
        <v>0</v>
      </c>
      <c r="AI21" s="12">
        <v>17</v>
      </c>
      <c r="AJ21" s="78" t="s">
        <v>342</v>
      </c>
      <c r="AK21" s="78" t="s">
        <v>1260</v>
      </c>
      <c r="AL21" s="78" t="s">
        <v>1202</v>
      </c>
      <c r="AM21" s="78" t="s">
        <v>1208</v>
      </c>
      <c r="AN21" s="78">
        <v>55</v>
      </c>
      <c r="AO21" s="78" t="s">
        <v>43</v>
      </c>
      <c r="AP21" s="78">
        <v>0</v>
      </c>
      <c r="AQ21" s="78">
        <v>80</v>
      </c>
      <c r="AR21" s="233" t="s">
        <v>1619</v>
      </c>
      <c r="AS21" s="236"/>
      <c r="AT21" s="234">
        <v>9.32</v>
      </c>
      <c r="AU21" s="234">
        <v>0.45</v>
      </c>
    </row>
    <row r="22" spans="1:47" ht="15.6" x14ac:dyDescent="0.3">
      <c r="A22" s="70">
        <v>18</v>
      </c>
      <c r="B22" s="74" t="s">
        <v>638</v>
      </c>
      <c r="C22" s="74" t="s">
        <v>1265</v>
      </c>
      <c r="D22" s="74" t="s">
        <v>1203</v>
      </c>
      <c r="E22" s="74" t="s">
        <v>943</v>
      </c>
      <c r="F22" s="74">
        <v>370</v>
      </c>
      <c r="G22" s="74" t="s">
        <v>43</v>
      </c>
      <c r="H22" s="147"/>
      <c r="I22" s="71">
        <v>0</v>
      </c>
      <c r="J22" s="71">
        <v>680</v>
      </c>
      <c r="K22" s="71">
        <v>78.7</v>
      </c>
      <c r="L22" s="71">
        <v>14.86</v>
      </c>
      <c r="M22" s="71">
        <v>5.95</v>
      </c>
      <c r="N22" s="71">
        <v>27.17</v>
      </c>
      <c r="O22" s="71">
        <v>0</v>
      </c>
      <c r="Q22" s="12"/>
      <c r="R22" s="12"/>
      <c r="S22" s="12"/>
      <c r="T22" s="12"/>
      <c r="U22" s="12"/>
      <c r="V22" s="12"/>
      <c r="W22" s="12"/>
      <c r="X22" s="72"/>
      <c r="Y22" s="73">
        <v>18</v>
      </c>
      <c r="Z22" s="199" t="s">
        <v>1455</v>
      </c>
      <c r="AA22" s="199">
        <v>0</v>
      </c>
      <c r="AB22" s="199" t="e">
        <v>#N/A</v>
      </c>
      <c r="AC22" s="199" t="e">
        <v>#N/A</v>
      </c>
      <c r="AD22" s="199">
        <v>0</v>
      </c>
      <c r="AE22" s="199">
        <v>0</v>
      </c>
      <c r="AF22" s="199">
        <v>0</v>
      </c>
      <c r="AI22" s="12">
        <v>18</v>
      </c>
      <c r="AJ22" s="78" t="s">
        <v>333</v>
      </c>
      <c r="AK22" s="78" t="s">
        <v>1260</v>
      </c>
      <c r="AL22" s="78" t="s">
        <v>1202</v>
      </c>
      <c r="AM22" s="78" t="s">
        <v>1208</v>
      </c>
      <c r="AN22" s="78">
        <v>45</v>
      </c>
      <c r="AO22" s="78" t="s">
        <v>43</v>
      </c>
      <c r="AP22" s="78">
        <v>0</v>
      </c>
      <c r="AQ22" s="78">
        <v>80</v>
      </c>
      <c r="AR22" s="233" t="s">
        <v>1619</v>
      </c>
      <c r="AS22" s="236"/>
      <c r="AT22" s="234">
        <v>9.32</v>
      </c>
      <c r="AU22" s="234">
        <v>0.45</v>
      </c>
    </row>
    <row r="23" spans="1:47" ht="15.6" x14ac:dyDescent="0.3">
      <c r="A23" s="70">
        <v>19</v>
      </c>
      <c r="B23" s="74" t="s">
        <v>718</v>
      </c>
      <c r="C23" s="74" t="s">
        <v>1293</v>
      </c>
      <c r="D23" s="74" t="s">
        <v>1203</v>
      </c>
      <c r="E23" s="74" t="s">
        <v>943</v>
      </c>
      <c r="F23" s="74">
        <v>370</v>
      </c>
      <c r="G23" s="74" t="s">
        <v>43</v>
      </c>
      <c r="H23" s="147"/>
      <c r="I23" s="71">
        <v>0</v>
      </c>
      <c r="J23" s="71">
        <v>680</v>
      </c>
      <c r="K23" s="71">
        <v>78.7</v>
      </c>
      <c r="L23" s="71">
        <v>14.86</v>
      </c>
      <c r="M23" s="71">
        <v>5.95</v>
      </c>
      <c r="N23" s="71">
        <v>27.17</v>
      </c>
      <c r="O23" s="71">
        <v>0</v>
      </c>
      <c r="Q23" s="12"/>
      <c r="R23" s="12"/>
      <c r="S23" s="12"/>
      <c r="T23" s="12"/>
      <c r="U23" s="12"/>
      <c r="V23" s="12"/>
      <c r="W23" s="12"/>
      <c r="X23" s="72"/>
      <c r="Y23" s="73">
        <v>19</v>
      </c>
      <c r="Z23" s="199" t="s">
        <v>1456</v>
      </c>
      <c r="AA23" s="199">
        <v>0</v>
      </c>
      <c r="AB23" s="199" t="e">
        <v>#N/A</v>
      </c>
      <c r="AC23" s="199" t="e">
        <v>#N/A</v>
      </c>
      <c r="AD23" s="199">
        <v>0</v>
      </c>
      <c r="AE23" s="199">
        <v>0</v>
      </c>
      <c r="AF23" s="199">
        <v>0</v>
      </c>
      <c r="AI23" s="12">
        <v>19</v>
      </c>
      <c r="AJ23" s="78" t="s">
        <v>334</v>
      </c>
      <c r="AK23" s="78" t="s">
        <v>1260</v>
      </c>
      <c r="AL23" s="78" t="s">
        <v>1202</v>
      </c>
      <c r="AM23" s="78" t="s">
        <v>1208</v>
      </c>
      <c r="AN23" s="78">
        <v>45</v>
      </c>
      <c r="AO23" s="78" t="s">
        <v>43</v>
      </c>
      <c r="AP23" s="78">
        <v>0</v>
      </c>
      <c r="AQ23" s="78">
        <v>80</v>
      </c>
      <c r="AR23" s="233" t="s">
        <v>1619</v>
      </c>
      <c r="AS23" s="236"/>
      <c r="AT23" s="234">
        <v>9.32</v>
      </c>
      <c r="AU23" s="234">
        <v>0.45</v>
      </c>
    </row>
    <row r="24" spans="1:47" ht="15.6" x14ac:dyDescent="0.3">
      <c r="A24" s="70">
        <v>20</v>
      </c>
      <c r="B24" s="74" t="s">
        <v>640</v>
      </c>
      <c r="C24" s="74" t="s">
        <v>1265</v>
      </c>
      <c r="D24" s="74" t="s">
        <v>1203</v>
      </c>
      <c r="E24" s="74" t="s">
        <v>943</v>
      </c>
      <c r="F24" s="74">
        <v>350</v>
      </c>
      <c r="G24" s="74" t="s">
        <v>43</v>
      </c>
      <c r="H24" s="147"/>
      <c r="I24" s="71">
        <v>0</v>
      </c>
      <c r="J24" s="71">
        <v>680</v>
      </c>
      <c r="K24" s="71">
        <v>84.569919999999996</v>
      </c>
      <c r="L24" s="71">
        <v>29.14</v>
      </c>
      <c r="M24" s="71">
        <v>6</v>
      </c>
      <c r="N24" s="71">
        <v>19.63</v>
      </c>
      <c r="O24" s="71">
        <v>528.56200000000001</v>
      </c>
      <c r="Q24" s="12"/>
      <c r="R24" s="12"/>
      <c r="S24" s="12"/>
      <c r="T24" s="12"/>
      <c r="U24" s="12"/>
      <c r="V24" s="12"/>
      <c r="W24" s="12"/>
      <c r="X24" s="72"/>
      <c r="Y24" s="73">
        <v>20</v>
      </c>
      <c r="Z24" s="199" t="s">
        <v>1457</v>
      </c>
      <c r="AA24" s="199">
        <v>0</v>
      </c>
      <c r="AB24" s="199" t="e">
        <v>#N/A</v>
      </c>
      <c r="AC24" s="199" t="e">
        <v>#N/A</v>
      </c>
      <c r="AD24" s="199">
        <v>0</v>
      </c>
      <c r="AE24" s="199">
        <v>0</v>
      </c>
      <c r="AF24" s="199">
        <v>0</v>
      </c>
      <c r="AI24" s="12">
        <v>20</v>
      </c>
      <c r="AJ24" s="78" t="s">
        <v>338</v>
      </c>
      <c r="AK24" s="78" t="s">
        <v>1254</v>
      </c>
      <c r="AL24" s="78" t="s">
        <v>1202</v>
      </c>
      <c r="AM24" s="78" t="s">
        <v>1208</v>
      </c>
      <c r="AN24" s="78">
        <v>69</v>
      </c>
      <c r="AO24" s="78" t="s">
        <v>43</v>
      </c>
      <c r="AP24" s="78">
        <v>0</v>
      </c>
      <c r="AQ24" s="78">
        <v>80</v>
      </c>
      <c r="AR24" s="233" t="s">
        <v>1619</v>
      </c>
      <c r="AS24" s="236"/>
      <c r="AT24" s="234">
        <v>6.61</v>
      </c>
      <c r="AU24" s="234">
        <v>0.24</v>
      </c>
    </row>
    <row r="25" spans="1:47" ht="15.6" x14ac:dyDescent="0.3">
      <c r="A25" s="70">
        <v>21</v>
      </c>
      <c r="B25" s="74" t="s">
        <v>641</v>
      </c>
      <c r="C25" s="74" t="s">
        <v>1293</v>
      </c>
      <c r="D25" s="74" t="s">
        <v>1203</v>
      </c>
      <c r="E25" s="74" t="s">
        <v>943</v>
      </c>
      <c r="F25" s="74">
        <v>350</v>
      </c>
      <c r="G25" s="74" t="s">
        <v>43</v>
      </c>
      <c r="H25" s="147"/>
      <c r="I25" s="71">
        <v>0</v>
      </c>
      <c r="J25" s="71">
        <v>680</v>
      </c>
      <c r="K25" s="71">
        <v>84.569919999999996</v>
      </c>
      <c r="L25" s="71">
        <v>29.14</v>
      </c>
      <c r="M25" s="71">
        <v>6</v>
      </c>
      <c r="N25" s="71">
        <v>19.63</v>
      </c>
      <c r="O25" s="71">
        <v>528.56200000000001</v>
      </c>
      <c r="Q25" s="12"/>
      <c r="R25" s="12"/>
      <c r="S25" s="12"/>
      <c r="T25" s="12"/>
      <c r="U25" s="12"/>
      <c r="V25" s="12"/>
      <c r="W25" s="12"/>
      <c r="X25" s="72"/>
      <c r="Y25" s="73">
        <v>21</v>
      </c>
      <c r="Z25" s="199" t="s">
        <v>1458</v>
      </c>
      <c r="AA25" s="199">
        <v>0</v>
      </c>
      <c r="AB25" s="199" t="e">
        <v>#N/A</v>
      </c>
      <c r="AC25" s="199" t="e">
        <v>#N/A</v>
      </c>
      <c r="AD25" s="199">
        <v>0</v>
      </c>
      <c r="AE25" s="199">
        <v>0</v>
      </c>
      <c r="AF25" s="199">
        <v>0</v>
      </c>
      <c r="AI25" s="12">
        <v>21</v>
      </c>
      <c r="AJ25" s="78" t="s">
        <v>339</v>
      </c>
      <c r="AK25" s="78" t="s">
        <v>1254</v>
      </c>
      <c r="AL25" s="78" t="s">
        <v>1202</v>
      </c>
      <c r="AM25" s="78" t="s">
        <v>1208</v>
      </c>
      <c r="AN25" s="78">
        <v>69</v>
      </c>
      <c r="AO25" s="78" t="s">
        <v>43</v>
      </c>
      <c r="AP25" s="78">
        <v>0</v>
      </c>
      <c r="AQ25" s="78">
        <v>80</v>
      </c>
      <c r="AR25" s="233" t="s">
        <v>1619</v>
      </c>
      <c r="AS25" s="236"/>
      <c r="AT25" s="234">
        <v>6.61</v>
      </c>
      <c r="AU25" s="234">
        <v>0.24</v>
      </c>
    </row>
    <row r="26" spans="1:47" ht="15.6" x14ac:dyDescent="0.3">
      <c r="A26" s="70">
        <v>22</v>
      </c>
      <c r="B26" s="74" t="s">
        <v>644</v>
      </c>
      <c r="C26" s="74" t="s">
        <v>660</v>
      </c>
      <c r="D26" s="74" t="s">
        <v>1224</v>
      </c>
      <c r="E26" s="74" t="s">
        <v>1209</v>
      </c>
      <c r="F26" s="74">
        <v>350</v>
      </c>
      <c r="G26" s="74" t="s">
        <v>43</v>
      </c>
      <c r="H26" s="147"/>
      <c r="I26" s="71">
        <v>0</v>
      </c>
      <c r="J26" s="71">
        <v>680</v>
      </c>
      <c r="K26" s="71">
        <v>73.14</v>
      </c>
      <c r="L26" s="71">
        <v>17.43</v>
      </c>
      <c r="M26" s="71">
        <v>5.14</v>
      </c>
      <c r="N26" s="71">
        <v>19.63</v>
      </c>
      <c r="O26" s="71">
        <v>457.125</v>
      </c>
      <c r="Q26" s="12"/>
      <c r="R26" s="12"/>
      <c r="S26" s="12"/>
      <c r="T26" s="12"/>
      <c r="U26" s="12"/>
      <c r="V26" s="12"/>
      <c r="W26" s="12"/>
      <c r="X26" s="72"/>
      <c r="Y26" s="73">
        <v>22</v>
      </c>
      <c r="Z26" s="199" t="s">
        <v>1459</v>
      </c>
      <c r="AA26" s="199">
        <v>0</v>
      </c>
      <c r="AB26" s="199" t="e">
        <v>#N/A</v>
      </c>
      <c r="AC26" s="199" t="e">
        <v>#N/A</v>
      </c>
      <c r="AD26" s="199">
        <v>0</v>
      </c>
      <c r="AE26" s="199">
        <v>0</v>
      </c>
      <c r="AF26" s="199">
        <v>0</v>
      </c>
      <c r="AI26" s="12">
        <v>22</v>
      </c>
      <c r="AJ26" s="78" t="s">
        <v>1473</v>
      </c>
      <c r="AK26" s="78" t="s">
        <v>1254</v>
      </c>
      <c r="AL26" s="78" t="s">
        <v>1202</v>
      </c>
      <c r="AM26" s="78" t="s">
        <v>1208</v>
      </c>
      <c r="AN26" s="78">
        <v>69</v>
      </c>
      <c r="AO26" s="78" t="s">
        <v>43</v>
      </c>
      <c r="AP26" s="78">
        <v>0</v>
      </c>
      <c r="AQ26" s="78">
        <v>80</v>
      </c>
      <c r="AR26" s="233" t="s">
        <v>1619</v>
      </c>
      <c r="AS26" s="236"/>
      <c r="AT26" s="234">
        <v>6.61</v>
      </c>
      <c r="AU26" s="234">
        <v>0.24</v>
      </c>
    </row>
    <row r="27" spans="1:47" ht="15.6" x14ac:dyDescent="0.3">
      <c r="A27" s="70">
        <v>23</v>
      </c>
      <c r="B27" s="74" t="s">
        <v>652</v>
      </c>
      <c r="C27" s="74" t="s">
        <v>662</v>
      </c>
      <c r="D27" s="74" t="s">
        <v>1225</v>
      </c>
      <c r="E27" s="74" t="s">
        <v>1209</v>
      </c>
      <c r="F27" s="74">
        <v>350</v>
      </c>
      <c r="G27" s="74" t="s">
        <v>43</v>
      </c>
      <c r="H27" s="147"/>
      <c r="I27" s="71">
        <v>0</v>
      </c>
      <c r="J27" s="71">
        <v>680</v>
      </c>
      <c r="K27" s="71">
        <v>73.14</v>
      </c>
      <c r="L27" s="71">
        <v>17.43</v>
      </c>
      <c r="M27" s="71">
        <v>5.14</v>
      </c>
      <c r="N27" s="71">
        <v>19.63</v>
      </c>
      <c r="O27" s="71">
        <v>457.125</v>
      </c>
      <c r="Q27" s="12"/>
      <c r="R27" s="12"/>
      <c r="S27" s="12"/>
      <c r="T27" s="12"/>
      <c r="U27" s="12"/>
      <c r="V27" s="12"/>
      <c r="W27" s="12"/>
      <c r="X27" s="72"/>
      <c r="Y27" s="73">
        <v>23</v>
      </c>
      <c r="Z27" s="199" t="s">
        <v>1460</v>
      </c>
      <c r="AA27" s="199">
        <v>0</v>
      </c>
      <c r="AB27" s="199" t="e">
        <v>#N/A</v>
      </c>
      <c r="AC27" s="199" t="e">
        <v>#N/A</v>
      </c>
      <c r="AD27" s="199">
        <v>0</v>
      </c>
      <c r="AE27" s="199">
        <v>0</v>
      </c>
      <c r="AF27" s="199">
        <v>0</v>
      </c>
      <c r="AI27" s="12">
        <v>23</v>
      </c>
      <c r="AJ27" s="78" t="s">
        <v>332</v>
      </c>
      <c r="AK27" s="78" t="s">
        <v>1260</v>
      </c>
      <c r="AL27" s="78" t="s">
        <v>1202</v>
      </c>
      <c r="AM27" s="78" t="s">
        <v>1208</v>
      </c>
      <c r="AN27" s="78">
        <v>45</v>
      </c>
      <c r="AO27" s="78" t="s">
        <v>43</v>
      </c>
      <c r="AP27" s="78">
        <v>0</v>
      </c>
      <c r="AQ27" s="78">
        <v>80</v>
      </c>
      <c r="AR27" s="233" t="s">
        <v>1619</v>
      </c>
      <c r="AS27" s="236"/>
      <c r="AT27" s="234">
        <v>9.32</v>
      </c>
      <c r="AU27" s="234">
        <v>0.45</v>
      </c>
    </row>
    <row r="28" spans="1:47" ht="15.6" x14ac:dyDescent="0.3">
      <c r="A28" s="70">
        <v>24</v>
      </c>
      <c r="B28" s="74" t="s">
        <v>650</v>
      </c>
      <c r="C28" s="74" t="s">
        <v>1265</v>
      </c>
      <c r="D28" s="74" t="s">
        <v>1203</v>
      </c>
      <c r="E28" s="74" t="s">
        <v>943</v>
      </c>
      <c r="F28" s="74">
        <v>350</v>
      </c>
      <c r="G28" s="74" t="s">
        <v>43</v>
      </c>
      <c r="H28" s="147"/>
      <c r="I28" s="71">
        <v>0</v>
      </c>
      <c r="J28" s="71">
        <v>680</v>
      </c>
      <c r="K28" s="71">
        <v>73.14</v>
      </c>
      <c r="L28" s="71">
        <v>17.43</v>
      </c>
      <c r="M28" s="71">
        <v>5.14</v>
      </c>
      <c r="N28" s="71">
        <v>19.63</v>
      </c>
      <c r="O28" s="71">
        <v>457.125</v>
      </c>
      <c r="Q28" s="12"/>
      <c r="R28" s="12"/>
      <c r="S28" s="12"/>
      <c r="T28" s="12"/>
      <c r="U28" s="12"/>
      <c r="V28" s="12"/>
      <c r="W28" s="12"/>
      <c r="X28" s="72"/>
      <c r="Y28" s="73">
        <v>24</v>
      </c>
      <c r="Z28" s="199" t="s">
        <v>1461</v>
      </c>
      <c r="AA28" s="199">
        <v>0</v>
      </c>
      <c r="AB28" s="199" t="e">
        <v>#N/A</v>
      </c>
      <c r="AC28" s="199" t="e">
        <v>#N/A</v>
      </c>
      <c r="AD28" s="199">
        <v>0</v>
      </c>
      <c r="AE28" s="199">
        <v>0</v>
      </c>
      <c r="AF28" s="199">
        <v>0</v>
      </c>
      <c r="AI28" s="12">
        <v>24</v>
      </c>
      <c r="AJ28" s="78" t="s">
        <v>1474</v>
      </c>
      <c r="AK28" s="78" t="s">
        <v>1267</v>
      </c>
      <c r="AL28" s="78" t="s">
        <v>1218</v>
      </c>
      <c r="AM28" s="78" t="s">
        <v>1208</v>
      </c>
      <c r="AN28" s="78">
        <v>95</v>
      </c>
      <c r="AO28" s="78" t="s">
        <v>43</v>
      </c>
      <c r="AP28" s="78">
        <v>0</v>
      </c>
      <c r="AQ28" s="78">
        <v>0</v>
      </c>
      <c r="AR28" s="233">
        <v>0</v>
      </c>
      <c r="AS28" s="236"/>
      <c r="AT28" s="234">
        <v>0</v>
      </c>
      <c r="AU28" s="234">
        <v>0</v>
      </c>
    </row>
    <row r="29" spans="1:47" ht="15.6" x14ac:dyDescent="0.3">
      <c r="A29" s="70">
        <v>25</v>
      </c>
      <c r="B29" s="74" t="s">
        <v>653</v>
      </c>
      <c r="C29" s="74" t="s">
        <v>1293</v>
      </c>
      <c r="D29" s="74" t="s">
        <v>1203</v>
      </c>
      <c r="E29" s="74" t="s">
        <v>943</v>
      </c>
      <c r="F29" s="74">
        <v>350</v>
      </c>
      <c r="G29" s="74" t="s">
        <v>43</v>
      </c>
      <c r="H29" s="147"/>
      <c r="I29" s="71">
        <v>0</v>
      </c>
      <c r="J29" s="71">
        <v>680</v>
      </c>
      <c r="K29" s="71">
        <v>73.14</v>
      </c>
      <c r="L29" s="71">
        <v>17.43</v>
      </c>
      <c r="M29" s="71">
        <v>5.14</v>
      </c>
      <c r="N29" s="71">
        <v>19.63</v>
      </c>
      <c r="O29" s="71">
        <v>457.125</v>
      </c>
      <c r="Q29" s="12"/>
      <c r="R29" s="12"/>
      <c r="S29" s="12"/>
      <c r="T29" s="12"/>
      <c r="U29" s="12"/>
      <c r="V29" s="12"/>
      <c r="W29" s="12"/>
      <c r="X29" s="72"/>
      <c r="Y29" s="73">
        <v>25</v>
      </c>
      <c r="Z29" s="199" t="s">
        <v>1462</v>
      </c>
      <c r="AA29" s="199">
        <v>0</v>
      </c>
      <c r="AB29" s="199" t="e">
        <v>#N/A</v>
      </c>
      <c r="AC29" s="199" t="e">
        <v>#N/A</v>
      </c>
      <c r="AD29" s="199">
        <v>0</v>
      </c>
      <c r="AE29" s="199">
        <v>0</v>
      </c>
      <c r="AF29" s="199">
        <v>0</v>
      </c>
      <c r="AI29" s="12">
        <v>25</v>
      </c>
      <c r="AJ29" s="78" t="s">
        <v>1475</v>
      </c>
      <c r="AK29" s="78" t="s">
        <v>1278</v>
      </c>
      <c r="AL29" s="78" t="s">
        <v>1218</v>
      </c>
      <c r="AM29" s="78" t="s">
        <v>1208</v>
      </c>
      <c r="AN29" s="78">
        <v>95</v>
      </c>
      <c r="AO29" s="78" t="s">
        <v>43</v>
      </c>
      <c r="AP29" s="78">
        <v>0</v>
      </c>
      <c r="AQ29" s="78">
        <v>0</v>
      </c>
      <c r="AR29" s="233">
        <v>0</v>
      </c>
      <c r="AS29" s="236"/>
      <c r="AT29" s="234">
        <v>0</v>
      </c>
      <c r="AU29" s="234">
        <v>0</v>
      </c>
    </row>
    <row r="30" spans="1:47" ht="15.6" x14ac:dyDescent="0.3">
      <c r="A30" s="70">
        <v>26</v>
      </c>
      <c r="B30" s="74" t="s">
        <v>1368</v>
      </c>
      <c r="C30" s="74" t="s">
        <v>1301</v>
      </c>
      <c r="D30" s="74" t="s">
        <v>1198</v>
      </c>
      <c r="E30" s="74" t="s">
        <v>943</v>
      </c>
      <c r="F30" s="74">
        <v>1000</v>
      </c>
      <c r="G30" s="74" t="s">
        <v>43</v>
      </c>
      <c r="H30" s="147"/>
      <c r="I30" s="71">
        <v>0</v>
      </c>
      <c r="J30" s="71">
        <v>450</v>
      </c>
      <c r="K30" s="71">
        <v>0</v>
      </c>
      <c r="L30" s="71">
        <v>0</v>
      </c>
      <c r="M30" s="71">
        <v>0</v>
      </c>
      <c r="N30" s="71">
        <v>36.6</v>
      </c>
      <c r="O30" s="71">
        <v>0</v>
      </c>
      <c r="Q30" s="12"/>
      <c r="R30" s="12"/>
      <c r="S30" s="12"/>
      <c r="T30" s="12"/>
      <c r="U30" s="12"/>
      <c r="V30" s="12"/>
      <c r="W30" s="12"/>
      <c r="X30" s="72"/>
      <c r="Y30" s="73">
        <v>26</v>
      </c>
      <c r="Z30" s="199" t="s">
        <v>1463</v>
      </c>
      <c r="AA30" s="199">
        <v>0</v>
      </c>
      <c r="AB30" s="199" t="e">
        <v>#N/A</v>
      </c>
      <c r="AC30" s="199" t="e">
        <v>#N/A</v>
      </c>
      <c r="AD30" s="199">
        <v>0</v>
      </c>
      <c r="AE30" s="199">
        <v>0</v>
      </c>
      <c r="AF30" s="199">
        <v>0</v>
      </c>
      <c r="AI30" s="12">
        <v>26</v>
      </c>
      <c r="AJ30" s="78" t="s">
        <v>1476</v>
      </c>
      <c r="AK30" s="78" t="s">
        <v>1270</v>
      </c>
      <c r="AL30" s="78" t="s">
        <v>1202</v>
      </c>
      <c r="AM30" s="78" t="s">
        <v>1208</v>
      </c>
      <c r="AN30" s="78">
        <v>39</v>
      </c>
      <c r="AO30" s="78" t="s">
        <v>43</v>
      </c>
      <c r="AP30" s="78">
        <v>0</v>
      </c>
      <c r="AQ30" s="78">
        <v>0</v>
      </c>
      <c r="AR30" s="233">
        <v>0</v>
      </c>
      <c r="AS30" s="236"/>
      <c r="AT30" s="234">
        <v>0</v>
      </c>
      <c r="AU30" s="234">
        <v>0</v>
      </c>
    </row>
    <row r="31" spans="1:47" ht="15.6" x14ac:dyDescent="0.3">
      <c r="A31" s="70">
        <v>27</v>
      </c>
      <c r="B31" s="74" t="s">
        <v>712</v>
      </c>
      <c r="C31" s="74" t="s">
        <v>1293</v>
      </c>
      <c r="D31" s="74" t="s">
        <v>1203</v>
      </c>
      <c r="E31" s="74" t="s">
        <v>943</v>
      </c>
      <c r="F31" s="74">
        <v>370</v>
      </c>
      <c r="G31" s="74" t="s">
        <v>43</v>
      </c>
      <c r="H31" s="147"/>
      <c r="I31" s="71">
        <v>0</v>
      </c>
      <c r="J31" s="71">
        <v>640</v>
      </c>
      <c r="K31" s="71">
        <v>69.459199999999996</v>
      </c>
      <c r="L31" s="71">
        <v>16.22</v>
      </c>
      <c r="M31" s="71">
        <v>5.95</v>
      </c>
      <c r="N31" s="71">
        <v>27.17</v>
      </c>
      <c r="O31" s="71">
        <v>434.12</v>
      </c>
      <c r="Q31" s="12"/>
      <c r="R31" s="12"/>
      <c r="S31" s="12"/>
      <c r="T31" s="12"/>
      <c r="U31" s="12"/>
      <c r="V31" s="12"/>
      <c r="W31" s="12"/>
      <c r="X31" s="72"/>
      <c r="Y31" s="73">
        <v>27</v>
      </c>
      <c r="Z31" s="199" t="s">
        <v>1464</v>
      </c>
      <c r="AA31" s="199">
        <v>0</v>
      </c>
      <c r="AB31" s="199" t="e">
        <v>#N/A</v>
      </c>
      <c r="AC31" s="199" t="e">
        <v>#N/A</v>
      </c>
      <c r="AD31" s="199">
        <v>0</v>
      </c>
      <c r="AE31" s="199">
        <v>0</v>
      </c>
      <c r="AF31" s="199">
        <v>0</v>
      </c>
      <c r="AI31" s="12">
        <v>27</v>
      </c>
      <c r="AJ31" s="78" t="s">
        <v>1477</v>
      </c>
      <c r="AK31" s="78" t="s">
        <v>1271</v>
      </c>
      <c r="AL31" s="78" t="s">
        <v>1202</v>
      </c>
      <c r="AM31" s="78" t="s">
        <v>1208</v>
      </c>
      <c r="AN31" s="78">
        <v>300</v>
      </c>
      <c r="AO31" s="78" t="s">
        <v>43</v>
      </c>
      <c r="AP31" s="78">
        <v>0</v>
      </c>
      <c r="AQ31" s="78">
        <v>0</v>
      </c>
      <c r="AR31" s="233">
        <v>0</v>
      </c>
      <c r="AS31" s="236"/>
      <c r="AT31" s="234">
        <v>2</v>
      </c>
      <c r="AU31" s="234">
        <v>0.24</v>
      </c>
    </row>
    <row r="32" spans="1:47" ht="15.6" x14ac:dyDescent="0.3">
      <c r="A32" s="70">
        <v>28</v>
      </c>
      <c r="B32" s="74" t="s">
        <v>711</v>
      </c>
      <c r="C32" s="74" t="s">
        <v>710</v>
      </c>
      <c r="D32" s="74" t="s">
        <v>632</v>
      </c>
      <c r="E32" s="74" t="s">
        <v>943</v>
      </c>
      <c r="F32" s="74">
        <v>370</v>
      </c>
      <c r="G32" s="74" t="s">
        <v>43</v>
      </c>
      <c r="H32" s="147"/>
      <c r="I32" s="71">
        <v>0</v>
      </c>
      <c r="J32" s="71">
        <v>680</v>
      </c>
      <c r="K32" s="71">
        <v>59.459200000000003</v>
      </c>
      <c r="L32" s="71">
        <v>17.3</v>
      </c>
      <c r="M32" s="71">
        <v>5.41</v>
      </c>
      <c r="N32" s="71">
        <v>27.17</v>
      </c>
      <c r="O32" s="71">
        <v>371.62</v>
      </c>
      <c r="Q32" s="12"/>
      <c r="R32" s="12"/>
      <c r="S32" s="12"/>
      <c r="T32" s="12"/>
      <c r="U32" s="12"/>
      <c r="V32" s="12"/>
      <c r="W32" s="12"/>
      <c r="X32" s="72"/>
      <c r="Y32" s="73">
        <v>28</v>
      </c>
      <c r="Z32" s="199" t="s">
        <v>1465</v>
      </c>
      <c r="AA32" s="199">
        <v>0</v>
      </c>
      <c r="AB32" s="199" t="e">
        <v>#N/A</v>
      </c>
      <c r="AC32" s="199" t="e">
        <v>#N/A</v>
      </c>
      <c r="AD32" s="199">
        <v>0</v>
      </c>
      <c r="AE32" s="199">
        <v>0</v>
      </c>
      <c r="AF32" s="199">
        <v>0</v>
      </c>
      <c r="AI32" s="12">
        <v>28</v>
      </c>
      <c r="AJ32" s="78" t="s">
        <v>1478</v>
      </c>
      <c r="AK32" s="78" t="s">
        <v>1272</v>
      </c>
      <c r="AL32" s="78" t="s">
        <v>1218</v>
      </c>
      <c r="AM32" s="78" t="s">
        <v>1208</v>
      </c>
      <c r="AN32" s="78">
        <v>39</v>
      </c>
      <c r="AO32" s="78" t="s">
        <v>43</v>
      </c>
      <c r="AP32" s="78">
        <v>0</v>
      </c>
      <c r="AQ32" s="78">
        <v>0</v>
      </c>
      <c r="AR32" s="233">
        <v>0</v>
      </c>
      <c r="AS32" s="236"/>
      <c r="AT32" s="234">
        <v>0</v>
      </c>
      <c r="AU32" s="234">
        <v>0</v>
      </c>
    </row>
    <row r="33" spans="1:47" ht="15.6" x14ac:dyDescent="0.3">
      <c r="A33" s="70">
        <v>29</v>
      </c>
      <c r="B33" s="74" t="s">
        <v>713</v>
      </c>
      <c r="C33" s="74" t="s">
        <v>737</v>
      </c>
      <c r="D33" s="74" t="s">
        <v>1337</v>
      </c>
      <c r="E33" s="74" t="s">
        <v>1209</v>
      </c>
      <c r="F33" s="74">
        <v>370</v>
      </c>
      <c r="G33" s="74" t="s">
        <v>43</v>
      </c>
      <c r="H33" s="147"/>
      <c r="I33" s="71">
        <v>0</v>
      </c>
      <c r="J33" s="71">
        <v>640</v>
      </c>
      <c r="K33" s="71">
        <v>69.459199999999996</v>
      </c>
      <c r="L33" s="71">
        <v>16.22</v>
      </c>
      <c r="M33" s="71">
        <v>5.95</v>
      </c>
      <c r="N33" s="71">
        <v>27.17</v>
      </c>
      <c r="O33" s="71">
        <v>434.12</v>
      </c>
      <c r="Q33" s="12"/>
      <c r="R33" s="12"/>
      <c r="S33" s="12"/>
      <c r="T33" s="12"/>
      <c r="U33" s="12"/>
      <c r="V33" s="12"/>
      <c r="W33" s="12"/>
      <c r="X33" s="72"/>
      <c r="Y33" s="73">
        <v>29</v>
      </c>
      <c r="Z33" s="199" t="s">
        <v>1466</v>
      </c>
      <c r="AA33" s="199">
        <v>0</v>
      </c>
      <c r="AB33" s="199" t="e">
        <v>#N/A</v>
      </c>
      <c r="AC33" s="199" t="e">
        <v>#N/A</v>
      </c>
      <c r="AD33" s="199">
        <v>0</v>
      </c>
      <c r="AE33" s="199">
        <v>0</v>
      </c>
      <c r="AF33" s="199">
        <v>0</v>
      </c>
      <c r="AI33" s="12">
        <v>29</v>
      </c>
      <c r="AJ33" s="78" t="s">
        <v>1479</v>
      </c>
      <c r="AK33" s="78" t="s">
        <v>1273</v>
      </c>
      <c r="AL33" s="78" t="s">
        <v>1218</v>
      </c>
      <c r="AM33" s="78" t="s">
        <v>1208</v>
      </c>
      <c r="AN33" s="78">
        <v>300</v>
      </c>
      <c r="AO33" s="78" t="s">
        <v>43</v>
      </c>
      <c r="AP33" s="78">
        <v>0</v>
      </c>
      <c r="AQ33" s="78">
        <v>0</v>
      </c>
      <c r="AR33" s="233">
        <v>0</v>
      </c>
      <c r="AS33" s="236"/>
      <c r="AT33" s="288">
        <v>0.8</v>
      </c>
      <c r="AU33" s="234">
        <v>0.18</v>
      </c>
    </row>
    <row r="34" spans="1:47" ht="15.6" x14ac:dyDescent="0.3">
      <c r="A34" s="70">
        <v>30</v>
      </c>
      <c r="B34" s="74" t="s">
        <v>715</v>
      </c>
      <c r="C34" s="74" t="s">
        <v>753</v>
      </c>
      <c r="D34" s="74" t="s">
        <v>1337</v>
      </c>
      <c r="E34" s="74" t="s">
        <v>1209</v>
      </c>
      <c r="F34" s="74">
        <v>370</v>
      </c>
      <c r="G34" s="74" t="s">
        <v>43</v>
      </c>
      <c r="H34" s="147"/>
      <c r="I34" s="71">
        <v>0</v>
      </c>
      <c r="J34" s="71">
        <v>640</v>
      </c>
      <c r="K34" s="71">
        <v>79.87</v>
      </c>
      <c r="L34" s="71">
        <v>13.24</v>
      </c>
      <c r="M34" s="71">
        <v>5.95</v>
      </c>
      <c r="N34" s="71">
        <v>27.17</v>
      </c>
      <c r="O34" s="71">
        <v>0</v>
      </c>
      <c r="Q34" s="12"/>
      <c r="R34" s="12"/>
      <c r="S34" s="12"/>
      <c r="T34" s="12"/>
      <c r="U34" s="12"/>
      <c r="V34" s="12"/>
      <c r="W34" s="12"/>
      <c r="X34" s="72"/>
      <c r="Y34" s="73">
        <v>30</v>
      </c>
      <c r="Z34" s="199" t="s">
        <v>1467</v>
      </c>
      <c r="AA34" s="199">
        <v>0</v>
      </c>
      <c r="AB34" s="199" t="e">
        <v>#N/A</v>
      </c>
      <c r="AC34" s="199" t="e">
        <v>#N/A</v>
      </c>
      <c r="AD34" s="199">
        <v>0</v>
      </c>
      <c r="AE34" s="199">
        <v>0</v>
      </c>
      <c r="AF34" s="199">
        <v>0</v>
      </c>
      <c r="AI34" s="12">
        <v>30</v>
      </c>
      <c r="AJ34" s="78">
        <v>0</v>
      </c>
      <c r="AK34" s="78">
        <v>0</v>
      </c>
      <c r="AL34" s="78">
        <v>0</v>
      </c>
      <c r="AM34" s="78">
        <v>0</v>
      </c>
      <c r="AN34" s="78">
        <v>0</v>
      </c>
      <c r="AO34" s="78">
        <v>0</v>
      </c>
      <c r="AP34" s="78">
        <v>0</v>
      </c>
      <c r="AQ34" s="78">
        <v>0</v>
      </c>
      <c r="AR34" s="233">
        <v>0</v>
      </c>
      <c r="AS34" s="236"/>
      <c r="AT34" s="234">
        <v>0</v>
      </c>
      <c r="AU34" s="234">
        <v>0</v>
      </c>
    </row>
    <row r="35" spans="1:47" ht="15.6" x14ac:dyDescent="0.3">
      <c r="A35" s="70">
        <v>31</v>
      </c>
      <c r="B35" s="74" t="s">
        <v>717</v>
      </c>
      <c r="C35" s="74" t="s">
        <v>710</v>
      </c>
      <c r="D35" s="74" t="s">
        <v>632</v>
      </c>
      <c r="E35" s="74" t="s">
        <v>943</v>
      </c>
      <c r="F35" s="74">
        <v>370</v>
      </c>
      <c r="G35" s="74" t="s">
        <v>43</v>
      </c>
      <c r="H35" s="147"/>
      <c r="I35" s="71">
        <v>0</v>
      </c>
      <c r="J35" s="71">
        <v>680</v>
      </c>
      <c r="K35" s="71">
        <v>78.7</v>
      </c>
      <c r="L35" s="71">
        <v>14.86</v>
      </c>
      <c r="M35" s="71">
        <v>5.95</v>
      </c>
      <c r="N35" s="71">
        <v>27.17</v>
      </c>
      <c r="O35" s="71">
        <v>0</v>
      </c>
      <c r="Q35" s="12"/>
      <c r="R35" s="12"/>
      <c r="S35" s="12"/>
      <c r="T35" s="12"/>
      <c r="U35" s="12"/>
      <c r="V35" s="12"/>
      <c r="W35" s="12"/>
      <c r="X35" s="72"/>
      <c r="Y35" s="73">
        <v>31</v>
      </c>
      <c r="Z35" s="199" t="s">
        <v>1468</v>
      </c>
      <c r="AA35" s="199">
        <v>0</v>
      </c>
      <c r="AB35" s="199" t="e">
        <v>#N/A</v>
      </c>
      <c r="AC35" s="199" t="e">
        <v>#N/A</v>
      </c>
      <c r="AD35" s="199">
        <v>0</v>
      </c>
      <c r="AE35" s="199">
        <v>0</v>
      </c>
      <c r="AF35" s="199">
        <v>0</v>
      </c>
      <c r="AI35" s="12">
        <v>31</v>
      </c>
      <c r="AJ35" s="78" t="s">
        <v>1274</v>
      </c>
      <c r="AK35" s="78" t="s">
        <v>1274</v>
      </c>
      <c r="AL35" s="78" t="s">
        <v>1218</v>
      </c>
      <c r="AM35" s="78" t="s">
        <v>1208</v>
      </c>
      <c r="AN35" s="78">
        <v>300</v>
      </c>
      <c r="AO35" s="78" t="s">
        <v>43</v>
      </c>
      <c r="AP35" s="78">
        <v>0</v>
      </c>
      <c r="AQ35" s="78">
        <v>0</v>
      </c>
      <c r="AR35" s="233">
        <v>0</v>
      </c>
      <c r="AS35" s="236"/>
      <c r="AT35" s="288">
        <v>0.8</v>
      </c>
      <c r="AU35" s="234">
        <v>0.18</v>
      </c>
    </row>
    <row r="36" spans="1:47" ht="15.6" x14ac:dyDescent="0.3">
      <c r="A36" s="70">
        <v>32</v>
      </c>
      <c r="B36" s="74" t="s">
        <v>1215</v>
      </c>
      <c r="C36" s="74" t="s">
        <v>1215</v>
      </c>
      <c r="D36" s="74" t="s">
        <v>1215</v>
      </c>
      <c r="E36" s="74" t="s">
        <v>1215</v>
      </c>
      <c r="F36" s="74">
        <v>1000</v>
      </c>
      <c r="G36" s="74" t="s">
        <v>43</v>
      </c>
      <c r="H36" s="147"/>
      <c r="I36" s="71">
        <v>0</v>
      </c>
      <c r="J36" s="71">
        <v>0</v>
      </c>
      <c r="K36" s="71">
        <v>0</v>
      </c>
      <c r="L36" s="71">
        <v>0</v>
      </c>
      <c r="M36" s="71">
        <v>0</v>
      </c>
      <c r="N36" s="71">
        <v>0</v>
      </c>
      <c r="O36" s="71">
        <v>0</v>
      </c>
      <c r="Q36" s="12"/>
      <c r="R36" s="12"/>
      <c r="S36" s="12"/>
      <c r="T36" s="12"/>
      <c r="U36" s="12"/>
      <c r="V36" s="12"/>
      <c r="W36" s="12"/>
      <c r="X36" s="72"/>
      <c r="Y36" s="73">
        <v>32</v>
      </c>
      <c r="Z36" s="199" t="s">
        <v>1469</v>
      </c>
      <c r="AA36" s="199">
        <v>0</v>
      </c>
      <c r="AB36" s="199" t="e">
        <v>#N/A</v>
      </c>
      <c r="AC36" s="199" t="e">
        <v>#N/A</v>
      </c>
      <c r="AD36" s="199">
        <v>0</v>
      </c>
      <c r="AE36" s="199">
        <v>0</v>
      </c>
      <c r="AF36" s="199">
        <v>0</v>
      </c>
      <c r="AI36" s="12">
        <v>32</v>
      </c>
      <c r="AJ36" s="78" t="s">
        <v>1275</v>
      </c>
      <c r="AK36" s="78" t="s">
        <v>1275</v>
      </c>
      <c r="AL36" s="78" t="s">
        <v>1218</v>
      </c>
      <c r="AM36" s="78" t="s">
        <v>1208</v>
      </c>
      <c r="AN36" s="78">
        <v>39</v>
      </c>
      <c r="AO36" s="78" t="s">
        <v>43</v>
      </c>
      <c r="AP36" s="78">
        <v>0</v>
      </c>
      <c r="AQ36" s="78">
        <v>0</v>
      </c>
      <c r="AR36" s="233">
        <v>0</v>
      </c>
      <c r="AS36" s="236"/>
      <c r="AT36" s="234">
        <v>0</v>
      </c>
      <c r="AU36" s="234">
        <v>0</v>
      </c>
    </row>
    <row r="37" spans="1:47" ht="15.6" x14ac:dyDescent="0.3">
      <c r="A37" s="70">
        <v>33</v>
      </c>
      <c r="B37" s="74" t="s">
        <v>1369</v>
      </c>
      <c r="C37" s="74" t="s">
        <v>1315</v>
      </c>
      <c r="D37" s="74" t="s">
        <v>985</v>
      </c>
      <c r="E37" s="74" t="s">
        <v>943</v>
      </c>
      <c r="F37" s="74">
        <v>900</v>
      </c>
      <c r="G37" s="74" t="s">
        <v>43</v>
      </c>
      <c r="H37" s="147"/>
      <c r="I37" s="71">
        <v>0</v>
      </c>
      <c r="J37" s="71">
        <v>520.79</v>
      </c>
      <c r="K37" s="71">
        <v>94.24</v>
      </c>
      <c r="L37" s="71">
        <v>5.39</v>
      </c>
      <c r="M37" s="71">
        <v>23.87</v>
      </c>
      <c r="N37" s="71">
        <v>16.21</v>
      </c>
      <c r="O37" s="71">
        <v>589</v>
      </c>
      <c r="Q37" s="12"/>
      <c r="R37" s="12"/>
      <c r="S37" s="12"/>
      <c r="T37" s="12"/>
      <c r="U37" s="12"/>
      <c r="V37" s="12"/>
      <c r="W37" s="12"/>
      <c r="X37" s="72"/>
      <c r="Y37" s="73">
        <v>33</v>
      </c>
      <c r="Z37" s="199" t="s">
        <v>1470</v>
      </c>
      <c r="AA37" s="199">
        <v>0</v>
      </c>
      <c r="AB37" s="199" t="e">
        <v>#N/A</v>
      </c>
      <c r="AC37" s="199" t="e">
        <v>#N/A</v>
      </c>
      <c r="AD37" s="199">
        <v>0</v>
      </c>
      <c r="AE37" s="199">
        <v>0</v>
      </c>
      <c r="AF37" s="199">
        <v>0</v>
      </c>
      <c r="AI37" s="12">
        <v>33</v>
      </c>
      <c r="AJ37" s="78" t="s">
        <v>1480</v>
      </c>
      <c r="AK37" s="78" t="s">
        <v>1279</v>
      </c>
      <c r="AL37" s="78" t="s">
        <v>1220</v>
      </c>
      <c r="AM37" s="78" t="s">
        <v>1208</v>
      </c>
      <c r="AN37" s="78">
        <v>95</v>
      </c>
      <c r="AO37" s="78" t="s">
        <v>43</v>
      </c>
      <c r="AP37" s="78" t="s">
        <v>1622</v>
      </c>
      <c r="AQ37" s="78">
        <v>0</v>
      </c>
      <c r="AR37" s="233">
        <v>0</v>
      </c>
      <c r="AS37" s="236"/>
      <c r="AT37" s="234">
        <v>0</v>
      </c>
      <c r="AU37" s="234">
        <v>0</v>
      </c>
    </row>
    <row r="38" spans="1:47" ht="15.6" x14ac:dyDescent="0.3">
      <c r="A38" s="70">
        <v>34</v>
      </c>
      <c r="B38" s="74" t="s">
        <v>1370</v>
      </c>
      <c r="C38" s="74" t="s">
        <v>1351</v>
      </c>
      <c r="D38" s="74" t="s">
        <v>985</v>
      </c>
      <c r="E38" s="74" t="s">
        <v>943</v>
      </c>
      <c r="F38" s="74">
        <v>900</v>
      </c>
      <c r="G38" s="74" t="s">
        <v>43</v>
      </c>
      <c r="H38" s="147"/>
      <c r="I38" s="71">
        <v>0</v>
      </c>
      <c r="J38" s="71">
        <v>520.79</v>
      </c>
      <c r="K38" s="71">
        <v>94.24</v>
      </c>
      <c r="L38" s="71">
        <v>5.39</v>
      </c>
      <c r="M38" s="71">
        <v>23.87</v>
      </c>
      <c r="N38" s="71">
        <v>16.21</v>
      </c>
      <c r="O38" s="71">
        <v>589</v>
      </c>
      <c r="Q38" s="12"/>
      <c r="R38" s="12"/>
      <c r="S38" s="12"/>
      <c r="T38" s="12"/>
      <c r="U38" s="12"/>
      <c r="V38" s="12"/>
      <c r="W38" s="12"/>
      <c r="X38" s="72"/>
      <c r="Y38" s="73">
        <v>34</v>
      </c>
      <c r="Z38" s="199" t="s">
        <v>1471</v>
      </c>
      <c r="AA38" s="199">
        <v>0</v>
      </c>
      <c r="AB38" s="199" t="e">
        <v>#N/A</v>
      </c>
      <c r="AC38" s="199" t="e">
        <v>#N/A</v>
      </c>
      <c r="AD38" s="199">
        <v>0</v>
      </c>
      <c r="AE38" s="199">
        <v>0</v>
      </c>
      <c r="AF38" s="199">
        <v>0</v>
      </c>
      <c r="AI38" s="12">
        <v>34</v>
      </c>
      <c r="AJ38" s="78" t="s">
        <v>1481</v>
      </c>
      <c r="AK38" s="78" t="s">
        <v>1276</v>
      </c>
      <c r="AL38" s="78" t="s">
        <v>1220</v>
      </c>
      <c r="AM38" s="78" t="s">
        <v>1208</v>
      </c>
      <c r="AN38" s="78">
        <v>300</v>
      </c>
      <c r="AO38" s="78" t="s">
        <v>43</v>
      </c>
      <c r="AP38" s="78">
        <v>0</v>
      </c>
      <c r="AQ38" s="78">
        <v>0</v>
      </c>
      <c r="AR38" s="233">
        <v>0</v>
      </c>
      <c r="AS38" s="236"/>
      <c r="AT38" s="234">
        <v>0.71</v>
      </c>
      <c r="AU38" s="234">
        <v>0.18</v>
      </c>
    </row>
    <row r="39" spans="1:47" ht="15.6" x14ac:dyDescent="0.3">
      <c r="A39" s="70">
        <v>35</v>
      </c>
      <c r="B39" s="74" t="s">
        <v>1371</v>
      </c>
      <c r="C39" s="74">
        <v>0</v>
      </c>
      <c r="D39" s="74">
        <v>0</v>
      </c>
      <c r="E39" s="74">
        <v>0</v>
      </c>
      <c r="F39" s="74">
        <v>0</v>
      </c>
      <c r="G39" s="74">
        <v>0</v>
      </c>
      <c r="H39" s="147"/>
      <c r="I39" s="71">
        <v>0</v>
      </c>
      <c r="J39" s="71">
        <v>0</v>
      </c>
      <c r="K39" s="71">
        <v>0</v>
      </c>
      <c r="L39" s="71">
        <v>0</v>
      </c>
      <c r="M39" s="71">
        <v>0</v>
      </c>
      <c r="N39" s="71">
        <v>0</v>
      </c>
      <c r="O39" s="71">
        <v>0</v>
      </c>
      <c r="Q39" s="12"/>
      <c r="R39" s="12"/>
      <c r="S39" s="12"/>
      <c r="T39" s="12"/>
      <c r="U39" s="12"/>
      <c r="V39" s="12"/>
      <c r="W39" s="12"/>
      <c r="X39" s="72"/>
      <c r="Y39" s="73">
        <v>35</v>
      </c>
      <c r="Z39" s="199" t="s">
        <v>1371</v>
      </c>
      <c r="AA39" s="199">
        <v>0</v>
      </c>
      <c r="AB39" s="199" t="e">
        <v>#N/A</v>
      </c>
      <c r="AC39" s="199" t="e">
        <v>#N/A</v>
      </c>
      <c r="AD39" s="199">
        <v>0</v>
      </c>
      <c r="AE39" s="199">
        <v>0</v>
      </c>
      <c r="AF39" s="199">
        <v>0</v>
      </c>
      <c r="AI39" s="12">
        <v>35</v>
      </c>
      <c r="AJ39" s="78" t="s">
        <v>1482</v>
      </c>
      <c r="AK39" s="78" t="s">
        <v>1277</v>
      </c>
      <c r="AL39" s="78" t="s">
        <v>1220</v>
      </c>
      <c r="AM39" s="78" t="s">
        <v>1208</v>
      </c>
      <c r="AN39" s="78">
        <v>39</v>
      </c>
      <c r="AO39" s="78" t="s">
        <v>43</v>
      </c>
      <c r="AP39" s="78">
        <v>0</v>
      </c>
      <c r="AQ39" s="78">
        <v>0</v>
      </c>
      <c r="AR39" s="233">
        <v>0</v>
      </c>
      <c r="AS39" s="236"/>
      <c r="AT39" s="234">
        <v>0</v>
      </c>
      <c r="AU39" s="234">
        <v>0</v>
      </c>
    </row>
    <row r="40" spans="1:47" ht="15.6" x14ac:dyDescent="0.3">
      <c r="A40" s="70">
        <v>36</v>
      </c>
      <c r="B40" s="74" t="s">
        <v>1372</v>
      </c>
      <c r="C40" s="74">
        <v>0</v>
      </c>
      <c r="D40" s="74">
        <v>0</v>
      </c>
      <c r="E40" s="74">
        <v>0</v>
      </c>
      <c r="F40" s="74">
        <v>0</v>
      </c>
      <c r="G40" s="74">
        <v>0</v>
      </c>
      <c r="H40" s="147"/>
      <c r="I40" s="71">
        <v>0</v>
      </c>
      <c r="J40" s="71">
        <v>0</v>
      </c>
      <c r="K40" s="71">
        <v>0</v>
      </c>
      <c r="L40" s="71">
        <v>0</v>
      </c>
      <c r="M40" s="71">
        <v>0</v>
      </c>
      <c r="N40" s="71">
        <v>0</v>
      </c>
      <c r="O40" s="71">
        <v>0</v>
      </c>
      <c r="Q40" s="12"/>
      <c r="R40" s="12"/>
      <c r="S40" s="12"/>
      <c r="T40" s="12"/>
      <c r="U40" s="12"/>
      <c r="V40" s="12"/>
      <c r="W40" s="12"/>
      <c r="X40" s="72"/>
      <c r="Y40" s="73">
        <v>36</v>
      </c>
      <c r="Z40" s="199" t="s">
        <v>1372</v>
      </c>
      <c r="AA40" s="199">
        <v>0</v>
      </c>
      <c r="AB40" s="199" t="e">
        <v>#N/A</v>
      </c>
      <c r="AC40" s="199" t="e">
        <v>#N/A</v>
      </c>
      <c r="AD40" s="199">
        <v>0</v>
      </c>
      <c r="AE40" s="199">
        <v>0</v>
      </c>
      <c r="AF40" s="199">
        <v>0</v>
      </c>
      <c r="AI40" s="12">
        <v>36</v>
      </c>
      <c r="AJ40" s="78" t="s">
        <v>669</v>
      </c>
      <c r="AK40" s="78" t="s">
        <v>1260</v>
      </c>
      <c r="AL40" s="78" t="s">
        <v>1202</v>
      </c>
      <c r="AM40" s="78" t="s">
        <v>1208</v>
      </c>
      <c r="AN40" s="78">
        <v>50</v>
      </c>
      <c r="AO40" s="78" t="s">
        <v>43</v>
      </c>
      <c r="AP40" s="78">
        <v>0</v>
      </c>
      <c r="AQ40" s="78">
        <v>80</v>
      </c>
      <c r="AR40" s="233" t="s">
        <v>1619</v>
      </c>
      <c r="AS40" s="236"/>
      <c r="AT40" s="234">
        <v>9.32</v>
      </c>
      <c r="AU40" s="234">
        <v>0.45</v>
      </c>
    </row>
    <row r="41" spans="1:47" ht="15.6" x14ac:dyDescent="0.3">
      <c r="A41" s="70">
        <v>37</v>
      </c>
      <c r="B41" s="74" t="s">
        <v>1373</v>
      </c>
      <c r="C41" s="74">
        <v>0</v>
      </c>
      <c r="D41" s="74">
        <v>0</v>
      </c>
      <c r="E41" s="74">
        <v>0</v>
      </c>
      <c r="F41" s="74">
        <v>0</v>
      </c>
      <c r="G41" s="74">
        <v>0</v>
      </c>
      <c r="H41" s="147"/>
      <c r="I41" s="71">
        <v>0</v>
      </c>
      <c r="J41" s="71">
        <v>0</v>
      </c>
      <c r="K41" s="71">
        <v>0</v>
      </c>
      <c r="L41" s="71">
        <v>0</v>
      </c>
      <c r="M41" s="71">
        <v>0</v>
      </c>
      <c r="N41" s="71">
        <v>0</v>
      </c>
      <c r="O41" s="71">
        <v>0</v>
      </c>
      <c r="Q41" s="12"/>
      <c r="R41" s="12"/>
      <c r="S41" s="12"/>
      <c r="T41" s="12"/>
      <c r="U41" s="12"/>
      <c r="V41" s="12"/>
      <c r="W41" s="12"/>
      <c r="X41" s="72"/>
      <c r="Y41" s="73">
        <v>37</v>
      </c>
      <c r="Z41" s="199" t="s">
        <v>1373</v>
      </c>
      <c r="AA41" s="199">
        <v>0</v>
      </c>
      <c r="AB41" s="199" t="e">
        <v>#N/A</v>
      </c>
      <c r="AC41" s="199" t="e">
        <v>#N/A</v>
      </c>
      <c r="AD41" s="199">
        <v>0</v>
      </c>
      <c r="AE41" s="199">
        <v>0</v>
      </c>
      <c r="AF41" s="199">
        <v>0</v>
      </c>
      <c r="AI41" s="12">
        <v>37</v>
      </c>
      <c r="AJ41" s="78" t="s">
        <v>670</v>
      </c>
      <c r="AK41" s="78" t="s">
        <v>1260</v>
      </c>
      <c r="AL41" s="78" t="s">
        <v>1202</v>
      </c>
      <c r="AM41" s="78" t="s">
        <v>1208</v>
      </c>
      <c r="AN41" s="78">
        <v>44</v>
      </c>
      <c r="AO41" s="78" t="s">
        <v>43</v>
      </c>
      <c r="AP41" s="78">
        <v>0</v>
      </c>
      <c r="AQ41" s="78">
        <v>80</v>
      </c>
      <c r="AR41" s="233" t="s">
        <v>1621</v>
      </c>
      <c r="AS41" s="236"/>
      <c r="AT41" s="234">
        <v>9.32</v>
      </c>
      <c r="AU41" s="234">
        <v>0.45</v>
      </c>
    </row>
    <row r="42" spans="1:47" ht="15.6" x14ac:dyDescent="0.3">
      <c r="A42" s="70">
        <v>38</v>
      </c>
      <c r="B42" s="74" t="s">
        <v>1374</v>
      </c>
      <c r="C42" s="74">
        <v>0</v>
      </c>
      <c r="D42" s="74">
        <v>0</v>
      </c>
      <c r="E42" s="74">
        <v>0</v>
      </c>
      <c r="F42" s="74">
        <v>0</v>
      </c>
      <c r="G42" s="74">
        <v>0</v>
      </c>
      <c r="H42" s="147"/>
      <c r="I42" s="71">
        <v>0</v>
      </c>
      <c r="J42" s="71">
        <v>0</v>
      </c>
      <c r="K42" s="71">
        <v>0</v>
      </c>
      <c r="L42" s="71">
        <v>0</v>
      </c>
      <c r="M42" s="71">
        <v>0</v>
      </c>
      <c r="N42" s="71">
        <v>0</v>
      </c>
      <c r="O42" s="71">
        <v>0</v>
      </c>
      <c r="Q42" s="12"/>
      <c r="R42" s="12"/>
      <c r="S42" s="12"/>
      <c r="T42" s="12"/>
      <c r="U42" s="12"/>
      <c r="V42" s="12"/>
      <c r="W42" s="12"/>
      <c r="X42" s="72"/>
      <c r="Y42" s="73">
        <v>38</v>
      </c>
      <c r="Z42" s="199" t="s">
        <v>1374</v>
      </c>
      <c r="AA42" s="199">
        <v>0</v>
      </c>
      <c r="AB42" s="199" t="e">
        <v>#N/A</v>
      </c>
      <c r="AC42" s="199" t="e">
        <v>#N/A</v>
      </c>
      <c r="AD42" s="199">
        <v>0</v>
      </c>
      <c r="AE42" s="199">
        <v>0</v>
      </c>
      <c r="AF42" s="199">
        <v>0</v>
      </c>
      <c r="AI42" s="12">
        <v>38</v>
      </c>
      <c r="AJ42" s="78" t="s">
        <v>671</v>
      </c>
      <c r="AK42" s="78" t="s">
        <v>1311</v>
      </c>
      <c r="AL42" s="78" t="s">
        <v>1202</v>
      </c>
      <c r="AM42" s="78" t="s">
        <v>1208</v>
      </c>
      <c r="AN42" s="78">
        <v>330</v>
      </c>
      <c r="AO42" s="78" t="s">
        <v>43</v>
      </c>
      <c r="AP42" s="78" t="s">
        <v>1623</v>
      </c>
      <c r="AQ42" s="78">
        <v>80</v>
      </c>
      <c r="AR42" s="233" t="s">
        <v>1619</v>
      </c>
      <c r="AS42" s="236"/>
      <c r="AT42" s="234">
        <v>8.23</v>
      </c>
      <c r="AU42" s="234">
        <v>0.45</v>
      </c>
    </row>
    <row r="43" spans="1:47" ht="15.6" x14ac:dyDescent="0.3">
      <c r="A43" s="70">
        <v>39</v>
      </c>
      <c r="B43" s="74" t="s">
        <v>1375</v>
      </c>
      <c r="C43" s="74">
        <v>0</v>
      </c>
      <c r="D43" s="74">
        <v>0</v>
      </c>
      <c r="E43" s="74">
        <v>0</v>
      </c>
      <c r="F43" s="74">
        <v>0</v>
      </c>
      <c r="G43" s="74">
        <v>0</v>
      </c>
      <c r="H43" s="147"/>
      <c r="I43" s="71">
        <v>0</v>
      </c>
      <c r="J43" s="71">
        <v>0</v>
      </c>
      <c r="K43" s="71">
        <v>0</v>
      </c>
      <c r="L43" s="71">
        <v>0</v>
      </c>
      <c r="M43" s="71">
        <v>0</v>
      </c>
      <c r="N43" s="71">
        <v>0</v>
      </c>
      <c r="O43" s="71">
        <v>0</v>
      </c>
      <c r="Q43" s="12"/>
      <c r="R43" s="12"/>
      <c r="S43" s="12"/>
      <c r="T43" s="12"/>
      <c r="U43" s="12"/>
      <c r="V43" s="12"/>
      <c r="W43" s="12"/>
      <c r="X43" s="72"/>
      <c r="Y43" s="73">
        <v>39</v>
      </c>
      <c r="Z43" s="199" t="s">
        <v>1375</v>
      </c>
      <c r="AA43" s="199">
        <v>0</v>
      </c>
      <c r="AB43" s="199" t="e">
        <v>#N/A</v>
      </c>
      <c r="AC43" s="199" t="e">
        <v>#N/A</v>
      </c>
      <c r="AD43" s="199">
        <v>0</v>
      </c>
      <c r="AE43" s="199">
        <v>0</v>
      </c>
      <c r="AF43" s="199">
        <v>0</v>
      </c>
      <c r="AI43" s="12">
        <v>39</v>
      </c>
      <c r="AJ43" s="78" t="s">
        <v>460</v>
      </c>
      <c r="AK43" s="78" t="s">
        <v>1294</v>
      </c>
      <c r="AL43" s="78" t="s">
        <v>1204</v>
      </c>
      <c r="AM43" s="78" t="s">
        <v>1208</v>
      </c>
      <c r="AN43" s="78">
        <v>87</v>
      </c>
      <c r="AO43" s="78" t="s">
        <v>43</v>
      </c>
      <c r="AP43" s="78">
        <v>0</v>
      </c>
      <c r="AQ43" s="78">
        <v>80</v>
      </c>
      <c r="AR43" s="233" t="s">
        <v>1619</v>
      </c>
      <c r="AS43" s="236"/>
      <c r="AT43" s="234">
        <v>6.61</v>
      </c>
      <c r="AU43" s="234">
        <v>0.24</v>
      </c>
    </row>
    <row r="44" spans="1:47" ht="15.6" x14ac:dyDescent="0.3">
      <c r="A44" s="70">
        <v>40</v>
      </c>
      <c r="B44" s="74" t="s">
        <v>1376</v>
      </c>
      <c r="C44" s="74">
        <v>0</v>
      </c>
      <c r="D44" s="74">
        <v>0</v>
      </c>
      <c r="E44" s="74">
        <v>0</v>
      </c>
      <c r="F44" s="74">
        <v>0</v>
      </c>
      <c r="G44" s="74">
        <v>0</v>
      </c>
      <c r="H44" s="147"/>
      <c r="I44" s="71">
        <v>0</v>
      </c>
      <c r="J44" s="71">
        <v>0</v>
      </c>
      <c r="K44" s="71">
        <v>0</v>
      </c>
      <c r="L44" s="71">
        <v>0</v>
      </c>
      <c r="M44" s="71">
        <v>0</v>
      </c>
      <c r="N44" s="71">
        <v>0</v>
      </c>
      <c r="O44" s="71">
        <v>0</v>
      </c>
      <c r="Q44" s="12"/>
      <c r="R44" s="12"/>
      <c r="S44" s="12"/>
      <c r="T44" s="12"/>
      <c r="U44" s="12"/>
      <c r="V44" s="12"/>
      <c r="W44" s="12"/>
      <c r="X44" s="72"/>
      <c r="Y44" s="73">
        <v>40</v>
      </c>
      <c r="Z44" s="199" t="s">
        <v>1376</v>
      </c>
      <c r="AA44" s="199">
        <v>0</v>
      </c>
      <c r="AB44" s="199" t="e">
        <v>#N/A</v>
      </c>
      <c r="AC44" s="199" t="e">
        <v>#N/A</v>
      </c>
      <c r="AD44" s="199">
        <v>0</v>
      </c>
      <c r="AE44" s="199">
        <v>0</v>
      </c>
      <c r="AF44" s="199">
        <v>0</v>
      </c>
      <c r="AI44" s="12">
        <v>40</v>
      </c>
      <c r="AJ44" s="78" t="s">
        <v>459</v>
      </c>
      <c r="AK44" s="78" t="s">
        <v>1296</v>
      </c>
      <c r="AL44" s="78" t="s">
        <v>1204</v>
      </c>
      <c r="AM44" s="78" t="s">
        <v>1208</v>
      </c>
      <c r="AN44" s="78">
        <v>200</v>
      </c>
      <c r="AO44" s="78" t="s">
        <v>43</v>
      </c>
      <c r="AP44" s="78">
        <v>0</v>
      </c>
      <c r="AQ44" s="78">
        <v>80</v>
      </c>
      <c r="AR44" s="233" t="s">
        <v>1619</v>
      </c>
      <c r="AS44" s="236"/>
      <c r="AT44" s="234">
        <v>2</v>
      </c>
      <c r="AU44" s="234">
        <v>0.24</v>
      </c>
    </row>
    <row r="45" spans="1:47" ht="15.6" x14ac:dyDescent="0.3">
      <c r="A45" s="70">
        <v>41</v>
      </c>
      <c r="B45" s="74" t="s">
        <v>1377</v>
      </c>
      <c r="C45" s="74">
        <v>0</v>
      </c>
      <c r="D45" s="74">
        <v>0</v>
      </c>
      <c r="E45" s="74">
        <v>0</v>
      </c>
      <c r="F45" s="74">
        <v>0</v>
      </c>
      <c r="G45" s="74">
        <v>0</v>
      </c>
      <c r="H45" s="147"/>
      <c r="I45" s="71">
        <v>0</v>
      </c>
      <c r="J45" s="71">
        <v>0</v>
      </c>
      <c r="K45" s="71">
        <v>0</v>
      </c>
      <c r="L45" s="71">
        <v>0</v>
      </c>
      <c r="M45" s="71">
        <v>0</v>
      </c>
      <c r="N45" s="71">
        <v>0</v>
      </c>
      <c r="O45" s="71">
        <v>0</v>
      </c>
      <c r="Q45" s="12"/>
      <c r="R45" s="12"/>
      <c r="S45" s="12"/>
      <c r="T45" s="12"/>
      <c r="U45" s="12"/>
      <c r="V45" s="12"/>
      <c r="W45" s="12"/>
      <c r="X45" s="72"/>
      <c r="Y45" s="73">
        <v>41</v>
      </c>
      <c r="Z45" s="199" t="s">
        <v>1377</v>
      </c>
      <c r="AA45" s="199">
        <v>0</v>
      </c>
      <c r="AB45" s="199" t="e">
        <v>#N/A</v>
      </c>
      <c r="AC45" s="199" t="e">
        <v>#N/A</v>
      </c>
      <c r="AD45" s="199">
        <v>0</v>
      </c>
      <c r="AE45" s="199">
        <v>0</v>
      </c>
      <c r="AF45" s="199">
        <v>0</v>
      </c>
      <c r="AI45" s="12">
        <v>41</v>
      </c>
      <c r="AJ45" s="78" t="s">
        <v>466</v>
      </c>
      <c r="AK45" s="78" t="s">
        <v>1295</v>
      </c>
      <c r="AL45" s="78" t="s">
        <v>1204</v>
      </c>
      <c r="AM45" s="78" t="s">
        <v>1208</v>
      </c>
      <c r="AN45" s="78">
        <v>34</v>
      </c>
      <c r="AO45" s="78" t="s">
        <v>43</v>
      </c>
      <c r="AP45" s="78">
        <v>0</v>
      </c>
      <c r="AQ45" s="78">
        <v>80</v>
      </c>
      <c r="AR45" s="233" t="s">
        <v>1619</v>
      </c>
      <c r="AS45" s="236"/>
      <c r="AT45" s="234">
        <v>6.61</v>
      </c>
      <c r="AU45" s="234">
        <v>0.24</v>
      </c>
    </row>
    <row r="46" spans="1:47" ht="15.6" x14ac:dyDescent="0.3">
      <c r="A46" s="70">
        <v>42</v>
      </c>
      <c r="B46" s="74" t="s">
        <v>1378</v>
      </c>
      <c r="C46" s="74">
        <v>0</v>
      </c>
      <c r="D46" s="74">
        <v>0</v>
      </c>
      <c r="E46" s="74">
        <v>0</v>
      </c>
      <c r="F46" s="74">
        <v>0</v>
      </c>
      <c r="G46" s="74">
        <v>0</v>
      </c>
      <c r="H46" s="147"/>
      <c r="I46" s="71">
        <v>0</v>
      </c>
      <c r="J46" s="71">
        <v>0</v>
      </c>
      <c r="K46" s="71">
        <v>0</v>
      </c>
      <c r="L46" s="71">
        <v>0</v>
      </c>
      <c r="M46" s="71">
        <v>0</v>
      </c>
      <c r="N46" s="71">
        <v>0</v>
      </c>
      <c r="O46" s="71">
        <v>0</v>
      </c>
      <c r="Q46" s="12"/>
      <c r="R46" s="12"/>
      <c r="S46" s="12"/>
      <c r="T46" s="12"/>
      <c r="U46" s="12"/>
      <c r="V46" s="12"/>
      <c r="W46" s="12"/>
      <c r="X46" s="72"/>
      <c r="Y46" s="73">
        <v>42</v>
      </c>
      <c r="Z46" s="199" t="s">
        <v>1378</v>
      </c>
      <c r="AA46" s="199">
        <v>0</v>
      </c>
      <c r="AB46" s="199" t="e">
        <v>#N/A</v>
      </c>
      <c r="AC46" s="199" t="e">
        <v>#N/A</v>
      </c>
      <c r="AD46" s="199">
        <v>0</v>
      </c>
      <c r="AE46" s="199">
        <v>0</v>
      </c>
      <c r="AF46" s="199">
        <v>0</v>
      </c>
      <c r="AI46" s="12">
        <v>42</v>
      </c>
      <c r="AJ46" s="78" t="s">
        <v>464</v>
      </c>
      <c r="AK46" s="78" t="s">
        <v>1297</v>
      </c>
      <c r="AL46" s="78" t="s">
        <v>1204</v>
      </c>
      <c r="AM46" s="78" t="s">
        <v>1208</v>
      </c>
      <c r="AN46" s="78">
        <v>300</v>
      </c>
      <c r="AO46" s="78" t="s">
        <v>43</v>
      </c>
      <c r="AP46" s="78">
        <v>0</v>
      </c>
      <c r="AQ46" s="78">
        <v>80</v>
      </c>
      <c r="AR46" s="233" t="s">
        <v>1619</v>
      </c>
      <c r="AS46" s="236"/>
      <c r="AT46" s="234">
        <v>17</v>
      </c>
      <c r="AU46" s="234">
        <v>0.24</v>
      </c>
    </row>
    <row r="47" spans="1:47" ht="15.6" x14ac:dyDescent="0.3">
      <c r="A47" s="70">
        <v>43</v>
      </c>
      <c r="B47" s="74" t="s">
        <v>1379</v>
      </c>
      <c r="C47" s="74">
        <v>0</v>
      </c>
      <c r="D47" s="74">
        <v>0</v>
      </c>
      <c r="E47" s="74">
        <v>0</v>
      </c>
      <c r="F47" s="74">
        <v>0</v>
      </c>
      <c r="G47" s="74">
        <v>0</v>
      </c>
      <c r="H47" s="147"/>
      <c r="I47" s="71">
        <v>0</v>
      </c>
      <c r="J47" s="71">
        <v>0</v>
      </c>
      <c r="K47" s="71">
        <v>0</v>
      </c>
      <c r="L47" s="71">
        <v>0</v>
      </c>
      <c r="M47" s="71">
        <v>0</v>
      </c>
      <c r="N47" s="71">
        <v>0</v>
      </c>
      <c r="O47" s="71">
        <v>0</v>
      </c>
      <c r="Q47" s="12"/>
      <c r="R47" s="12"/>
      <c r="S47" s="12"/>
      <c r="T47" s="12"/>
      <c r="U47" s="12"/>
      <c r="V47" s="12"/>
      <c r="W47" s="12"/>
      <c r="X47" s="72"/>
      <c r="Y47" s="73">
        <v>43</v>
      </c>
      <c r="Z47" s="199" t="s">
        <v>1379</v>
      </c>
      <c r="AA47" s="199">
        <v>0</v>
      </c>
      <c r="AB47" s="199" t="e">
        <v>#N/A</v>
      </c>
      <c r="AC47" s="199" t="e">
        <v>#N/A</v>
      </c>
      <c r="AD47" s="199">
        <v>0</v>
      </c>
      <c r="AE47" s="199">
        <v>0</v>
      </c>
      <c r="AF47" s="199">
        <v>0</v>
      </c>
      <c r="AI47" s="12">
        <v>43</v>
      </c>
      <c r="AJ47" s="78" t="s">
        <v>465</v>
      </c>
      <c r="AK47" s="78" t="s">
        <v>1297</v>
      </c>
      <c r="AL47" s="78" t="s">
        <v>1204</v>
      </c>
      <c r="AM47" s="78" t="s">
        <v>1208</v>
      </c>
      <c r="AN47" s="78">
        <v>287</v>
      </c>
      <c r="AO47" s="78" t="s">
        <v>43</v>
      </c>
      <c r="AP47" s="78">
        <v>0</v>
      </c>
      <c r="AQ47" s="78">
        <v>80</v>
      </c>
      <c r="AR47" s="233" t="s">
        <v>1619</v>
      </c>
      <c r="AS47" s="236"/>
      <c r="AT47" s="234">
        <v>17</v>
      </c>
      <c r="AU47" s="234">
        <v>0.24</v>
      </c>
    </row>
    <row r="48" spans="1:47" ht="15.6" x14ac:dyDescent="0.3">
      <c r="A48" s="70">
        <v>44</v>
      </c>
      <c r="B48" s="74" t="s">
        <v>1380</v>
      </c>
      <c r="C48" s="74">
        <v>0</v>
      </c>
      <c r="D48" s="74">
        <v>0</v>
      </c>
      <c r="E48" s="74">
        <v>0</v>
      </c>
      <c r="F48" s="74">
        <v>0</v>
      </c>
      <c r="G48" s="74">
        <v>0</v>
      </c>
      <c r="H48" s="147"/>
      <c r="I48" s="71">
        <v>0</v>
      </c>
      <c r="J48" s="71">
        <v>0</v>
      </c>
      <c r="K48" s="71">
        <v>0</v>
      </c>
      <c r="L48" s="71">
        <v>0</v>
      </c>
      <c r="M48" s="71">
        <v>0</v>
      </c>
      <c r="N48" s="71">
        <v>0</v>
      </c>
      <c r="O48" s="71">
        <v>0</v>
      </c>
      <c r="Q48" s="12"/>
      <c r="R48" s="12"/>
      <c r="S48" s="12"/>
      <c r="T48" s="12"/>
      <c r="U48" s="12"/>
      <c r="V48" s="12"/>
      <c r="W48" s="12"/>
      <c r="X48" s="72"/>
      <c r="Y48" s="73">
        <v>44</v>
      </c>
      <c r="Z48" s="199" t="s">
        <v>1380</v>
      </c>
      <c r="AA48" s="199">
        <v>0</v>
      </c>
      <c r="AB48" s="199" t="e">
        <v>#N/A</v>
      </c>
      <c r="AC48" s="199" t="e">
        <v>#N/A</v>
      </c>
      <c r="AD48" s="199">
        <v>0</v>
      </c>
      <c r="AE48" s="199">
        <v>0</v>
      </c>
      <c r="AF48" s="199">
        <v>0</v>
      </c>
      <c r="AI48" s="12">
        <v>44</v>
      </c>
      <c r="AJ48" s="78" t="s">
        <v>462</v>
      </c>
      <c r="AK48" s="78" t="s">
        <v>1294</v>
      </c>
      <c r="AL48" s="78" t="s">
        <v>1204</v>
      </c>
      <c r="AM48" s="78" t="s">
        <v>1208</v>
      </c>
      <c r="AN48" s="78">
        <v>80</v>
      </c>
      <c r="AO48" s="78" t="s">
        <v>43</v>
      </c>
      <c r="AP48" s="78">
        <v>0</v>
      </c>
      <c r="AQ48" s="78">
        <v>80</v>
      </c>
      <c r="AR48" s="233" t="s">
        <v>1619</v>
      </c>
      <c r="AS48" s="236"/>
      <c r="AT48" s="234">
        <v>6.61</v>
      </c>
      <c r="AU48" s="234">
        <v>0.24</v>
      </c>
    </row>
    <row r="49" spans="1:47" ht="15.6" x14ac:dyDescent="0.3">
      <c r="A49" s="70">
        <v>45</v>
      </c>
      <c r="B49" s="74" t="s">
        <v>1381</v>
      </c>
      <c r="C49" s="74">
        <v>0</v>
      </c>
      <c r="D49" s="74">
        <v>0</v>
      </c>
      <c r="E49" s="74">
        <v>0</v>
      </c>
      <c r="F49" s="74">
        <v>0</v>
      </c>
      <c r="G49" s="74">
        <v>0</v>
      </c>
      <c r="H49" s="147"/>
      <c r="I49" s="71">
        <v>0</v>
      </c>
      <c r="J49" s="71">
        <v>0</v>
      </c>
      <c r="K49" s="71">
        <v>0</v>
      </c>
      <c r="L49" s="71">
        <v>0</v>
      </c>
      <c r="M49" s="71">
        <v>0</v>
      </c>
      <c r="N49" s="71">
        <v>0</v>
      </c>
      <c r="O49" s="71">
        <v>0</v>
      </c>
      <c r="Q49" s="12"/>
      <c r="R49" s="12"/>
      <c r="S49" s="12"/>
      <c r="T49" s="12"/>
      <c r="U49" s="12"/>
      <c r="V49" s="12"/>
      <c r="W49" s="12"/>
      <c r="X49" s="72"/>
      <c r="Y49" s="73">
        <v>45</v>
      </c>
      <c r="Z49" s="199" t="s">
        <v>1381</v>
      </c>
      <c r="AA49" s="199">
        <v>0</v>
      </c>
      <c r="AB49" s="199" t="e">
        <v>#N/A</v>
      </c>
      <c r="AC49" s="199" t="e">
        <v>#N/A</v>
      </c>
      <c r="AD49" s="199">
        <v>0</v>
      </c>
      <c r="AE49" s="199">
        <v>0</v>
      </c>
      <c r="AF49" s="199">
        <v>0</v>
      </c>
      <c r="AI49" s="12">
        <v>45</v>
      </c>
      <c r="AJ49" s="78" t="s">
        <v>467</v>
      </c>
      <c r="AK49" s="78" t="s">
        <v>1294</v>
      </c>
      <c r="AL49" s="78" t="s">
        <v>1204</v>
      </c>
      <c r="AM49" s="78" t="s">
        <v>1208</v>
      </c>
      <c r="AN49" s="78">
        <v>69</v>
      </c>
      <c r="AO49" s="78" t="s">
        <v>43</v>
      </c>
      <c r="AP49" s="78">
        <v>0</v>
      </c>
      <c r="AQ49" s="78">
        <v>80</v>
      </c>
      <c r="AR49" s="233" t="s">
        <v>1619</v>
      </c>
      <c r="AS49" s="236"/>
      <c r="AT49" s="234">
        <v>6.61</v>
      </c>
      <c r="AU49" s="234">
        <v>0.24</v>
      </c>
    </row>
    <row r="50" spans="1:47" ht="15.6" x14ac:dyDescent="0.3">
      <c r="A50" s="70">
        <v>46</v>
      </c>
      <c r="B50" s="74" t="s">
        <v>1382</v>
      </c>
      <c r="C50" s="74">
        <v>0</v>
      </c>
      <c r="D50" s="74">
        <v>0</v>
      </c>
      <c r="E50" s="74">
        <v>0</v>
      </c>
      <c r="F50" s="74">
        <v>0</v>
      </c>
      <c r="G50" s="74">
        <v>0</v>
      </c>
      <c r="H50" s="147"/>
      <c r="I50" s="71">
        <v>0</v>
      </c>
      <c r="J50" s="71">
        <v>0</v>
      </c>
      <c r="K50" s="71">
        <v>0</v>
      </c>
      <c r="L50" s="71">
        <v>0</v>
      </c>
      <c r="M50" s="71">
        <v>0</v>
      </c>
      <c r="N50" s="71">
        <v>0</v>
      </c>
      <c r="O50" s="71">
        <v>0</v>
      </c>
      <c r="Q50" s="12"/>
      <c r="R50" s="12"/>
      <c r="S50" s="12"/>
      <c r="T50" s="12"/>
      <c r="U50" s="12"/>
      <c r="V50" s="12"/>
      <c r="W50" s="12"/>
      <c r="X50" s="72"/>
      <c r="Y50" s="73">
        <v>46</v>
      </c>
      <c r="Z50" s="199" t="s">
        <v>1382</v>
      </c>
      <c r="AA50" s="199">
        <v>0</v>
      </c>
      <c r="AB50" s="199" t="e">
        <v>#N/A</v>
      </c>
      <c r="AC50" s="199" t="e">
        <v>#N/A</v>
      </c>
      <c r="AD50" s="199">
        <v>0</v>
      </c>
      <c r="AE50" s="199">
        <v>0</v>
      </c>
      <c r="AF50" s="199">
        <v>0</v>
      </c>
      <c r="AI50" s="12">
        <v>46</v>
      </c>
      <c r="AJ50" s="78" t="s">
        <v>543</v>
      </c>
      <c r="AK50" s="78" t="s">
        <v>1298</v>
      </c>
      <c r="AL50" s="78" t="s">
        <v>1217</v>
      </c>
      <c r="AM50" s="78" t="s">
        <v>1208</v>
      </c>
      <c r="AN50" s="78">
        <v>87</v>
      </c>
      <c r="AO50" s="78" t="s">
        <v>43</v>
      </c>
      <c r="AP50" s="78" t="s">
        <v>1620</v>
      </c>
      <c r="AQ50" s="78">
        <v>80</v>
      </c>
      <c r="AR50" s="233" t="s">
        <v>1621</v>
      </c>
      <c r="AS50" s="236"/>
      <c r="AT50" s="234">
        <v>1</v>
      </c>
      <c r="AU50" s="234">
        <v>0.24</v>
      </c>
    </row>
    <row r="51" spans="1:47" ht="15.6" x14ac:dyDescent="0.3">
      <c r="A51" s="70">
        <v>47</v>
      </c>
      <c r="B51" s="74" t="s">
        <v>1383</v>
      </c>
      <c r="C51" s="74">
        <v>0</v>
      </c>
      <c r="D51" s="74">
        <v>0</v>
      </c>
      <c r="E51" s="74">
        <v>0</v>
      </c>
      <c r="F51" s="74">
        <v>0</v>
      </c>
      <c r="G51" s="74">
        <v>0</v>
      </c>
      <c r="H51" s="147"/>
      <c r="I51" s="71">
        <v>0</v>
      </c>
      <c r="J51" s="71">
        <v>0</v>
      </c>
      <c r="K51" s="71">
        <v>0</v>
      </c>
      <c r="L51" s="71">
        <v>0</v>
      </c>
      <c r="M51" s="71">
        <v>0</v>
      </c>
      <c r="N51" s="71">
        <v>0</v>
      </c>
      <c r="O51" s="71">
        <v>0</v>
      </c>
      <c r="Q51" s="12"/>
      <c r="R51" s="12"/>
      <c r="S51" s="12"/>
      <c r="T51" s="12"/>
      <c r="U51" s="12"/>
      <c r="V51" s="12"/>
      <c r="W51" s="12"/>
      <c r="X51" s="72"/>
      <c r="Y51" s="73">
        <v>47</v>
      </c>
      <c r="Z51" s="199" t="s">
        <v>1383</v>
      </c>
      <c r="AA51" s="199">
        <v>0</v>
      </c>
      <c r="AB51" s="199" t="e">
        <v>#N/A</v>
      </c>
      <c r="AC51" s="199" t="e">
        <v>#N/A</v>
      </c>
      <c r="AD51" s="199">
        <v>0</v>
      </c>
      <c r="AE51" s="199">
        <v>0</v>
      </c>
      <c r="AF51" s="199">
        <v>0</v>
      </c>
      <c r="AI51" s="12">
        <v>47</v>
      </c>
      <c r="AJ51" s="78" t="s">
        <v>461</v>
      </c>
      <c r="AK51" s="78" t="s">
        <v>1294</v>
      </c>
      <c r="AL51" s="78" t="s">
        <v>1204</v>
      </c>
      <c r="AM51" s="78" t="s">
        <v>1208</v>
      </c>
      <c r="AN51" s="78">
        <v>80</v>
      </c>
      <c r="AO51" s="78" t="s">
        <v>43</v>
      </c>
      <c r="AP51" s="78">
        <v>0</v>
      </c>
      <c r="AQ51" s="78">
        <v>80</v>
      </c>
      <c r="AR51" s="233" t="s">
        <v>1619</v>
      </c>
      <c r="AS51" s="236"/>
      <c r="AT51" s="234">
        <v>6.61</v>
      </c>
      <c r="AU51" s="234">
        <v>0.24</v>
      </c>
    </row>
    <row r="52" spans="1:47" ht="15.6" x14ac:dyDescent="0.3">
      <c r="A52" s="70">
        <v>48</v>
      </c>
      <c r="B52" s="74" t="s">
        <v>1384</v>
      </c>
      <c r="C52" s="74">
        <v>0</v>
      </c>
      <c r="D52" s="74">
        <v>0</v>
      </c>
      <c r="E52" s="74">
        <v>0</v>
      </c>
      <c r="F52" s="74">
        <v>0</v>
      </c>
      <c r="G52" s="74">
        <v>0</v>
      </c>
      <c r="H52" s="147"/>
      <c r="I52" s="71">
        <v>0</v>
      </c>
      <c r="J52" s="71">
        <v>0</v>
      </c>
      <c r="K52" s="71">
        <v>0</v>
      </c>
      <c r="L52" s="71">
        <v>0</v>
      </c>
      <c r="M52" s="71">
        <v>0</v>
      </c>
      <c r="N52" s="71">
        <v>0</v>
      </c>
      <c r="O52" s="71">
        <v>0</v>
      </c>
      <c r="Q52" s="12"/>
      <c r="R52" s="12"/>
      <c r="S52" s="12"/>
      <c r="T52" s="12"/>
      <c r="U52" s="12"/>
      <c r="V52" s="12"/>
      <c r="W52" s="12"/>
      <c r="X52" s="72"/>
      <c r="Y52" s="73">
        <v>48</v>
      </c>
      <c r="Z52" s="199" t="s">
        <v>1384</v>
      </c>
      <c r="AA52" s="199">
        <v>0</v>
      </c>
      <c r="AB52" s="199" t="e">
        <v>#N/A</v>
      </c>
      <c r="AC52" s="199" t="e">
        <v>#N/A</v>
      </c>
      <c r="AD52" s="199">
        <v>0</v>
      </c>
      <c r="AE52" s="199">
        <v>0</v>
      </c>
      <c r="AF52" s="199">
        <v>0</v>
      </c>
      <c r="AI52" s="12">
        <v>48</v>
      </c>
      <c r="AJ52" s="78" t="s">
        <v>463</v>
      </c>
      <c r="AK52" s="78" t="s">
        <v>1294</v>
      </c>
      <c r="AL52" s="78" t="s">
        <v>1204</v>
      </c>
      <c r="AM52" s="78" t="s">
        <v>1208</v>
      </c>
      <c r="AN52" s="78">
        <v>80</v>
      </c>
      <c r="AO52" s="78" t="s">
        <v>43</v>
      </c>
      <c r="AP52" s="78">
        <v>0</v>
      </c>
      <c r="AQ52" s="78">
        <v>80</v>
      </c>
      <c r="AR52" s="233" t="s">
        <v>1619</v>
      </c>
      <c r="AS52" s="236"/>
      <c r="AT52" s="234">
        <v>6.61</v>
      </c>
      <c r="AU52" s="234">
        <v>0.24</v>
      </c>
    </row>
    <row r="53" spans="1:47" ht="15.6" x14ac:dyDescent="0.3">
      <c r="A53" s="70">
        <v>49</v>
      </c>
      <c r="B53" s="74" t="s">
        <v>1385</v>
      </c>
      <c r="C53" s="74">
        <v>0</v>
      </c>
      <c r="D53" s="74">
        <v>0</v>
      </c>
      <c r="E53" s="74">
        <v>0</v>
      </c>
      <c r="F53" s="74">
        <v>0</v>
      </c>
      <c r="G53" s="74">
        <v>0</v>
      </c>
      <c r="H53" s="147"/>
      <c r="I53" s="71">
        <v>0</v>
      </c>
      <c r="J53" s="71">
        <v>0</v>
      </c>
      <c r="K53" s="71">
        <v>0</v>
      </c>
      <c r="L53" s="71">
        <v>0</v>
      </c>
      <c r="M53" s="71">
        <v>0</v>
      </c>
      <c r="N53" s="71">
        <v>0</v>
      </c>
      <c r="O53" s="71">
        <v>0</v>
      </c>
      <c r="Q53" s="12"/>
      <c r="R53" s="12"/>
      <c r="S53" s="12"/>
      <c r="T53" s="12"/>
      <c r="U53" s="12"/>
      <c r="V53" s="12"/>
      <c r="W53" s="12"/>
      <c r="X53" s="72"/>
      <c r="Y53" s="73">
        <v>49</v>
      </c>
      <c r="Z53" s="199" t="s">
        <v>1385</v>
      </c>
      <c r="AA53" s="199">
        <v>0</v>
      </c>
      <c r="AB53" s="199" t="e">
        <v>#N/A</v>
      </c>
      <c r="AC53" s="199" t="e">
        <v>#N/A</v>
      </c>
      <c r="AD53" s="199">
        <v>0</v>
      </c>
      <c r="AE53" s="199">
        <v>0</v>
      </c>
      <c r="AF53" s="199">
        <v>0</v>
      </c>
      <c r="AI53" s="12">
        <v>49</v>
      </c>
      <c r="AJ53" s="78" t="s">
        <v>468</v>
      </c>
      <c r="AK53" s="78" t="s">
        <v>1294</v>
      </c>
      <c r="AL53" s="78" t="s">
        <v>1204</v>
      </c>
      <c r="AM53" s="78" t="s">
        <v>1208</v>
      </c>
      <c r="AN53" s="78">
        <v>69</v>
      </c>
      <c r="AO53" s="78" t="s">
        <v>43</v>
      </c>
      <c r="AP53" s="78">
        <v>0</v>
      </c>
      <c r="AQ53" s="78">
        <v>80</v>
      </c>
      <c r="AR53" s="233" t="s">
        <v>1619</v>
      </c>
      <c r="AS53" s="236"/>
      <c r="AT53" s="234">
        <v>6.61</v>
      </c>
      <c r="AU53" s="234">
        <v>0.24</v>
      </c>
    </row>
    <row r="54" spans="1:47" ht="15.6" x14ac:dyDescent="0.3">
      <c r="A54" s="70">
        <v>50</v>
      </c>
      <c r="B54" s="74" t="s">
        <v>1386</v>
      </c>
      <c r="C54" s="74">
        <v>0</v>
      </c>
      <c r="D54" s="74">
        <v>0</v>
      </c>
      <c r="E54" s="74">
        <v>0</v>
      </c>
      <c r="F54" s="74">
        <v>0</v>
      </c>
      <c r="G54" s="74">
        <v>0</v>
      </c>
      <c r="H54" s="147"/>
      <c r="I54" s="71">
        <v>0</v>
      </c>
      <c r="J54" s="71">
        <v>0</v>
      </c>
      <c r="K54" s="71">
        <v>0</v>
      </c>
      <c r="L54" s="71">
        <v>0</v>
      </c>
      <c r="M54" s="71">
        <v>0</v>
      </c>
      <c r="N54" s="71">
        <v>0</v>
      </c>
      <c r="O54" s="71">
        <v>0</v>
      </c>
      <c r="Q54" s="12"/>
      <c r="R54" s="12"/>
      <c r="S54" s="12"/>
      <c r="T54" s="12"/>
      <c r="U54" s="12"/>
      <c r="V54" s="12"/>
      <c r="W54" s="12"/>
      <c r="X54" s="72"/>
      <c r="Y54" s="73">
        <v>50</v>
      </c>
      <c r="Z54" s="199" t="s">
        <v>1386</v>
      </c>
      <c r="AA54" s="199">
        <v>0</v>
      </c>
      <c r="AB54" s="199" t="e">
        <v>#N/A</v>
      </c>
      <c r="AC54" s="199" t="e">
        <v>#N/A</v>
      </c>
      <c r="AD54" s="199">
        <v>0</v>
      </c>
      <c r="AE54" s="199">
        <v>0</v>
      </c>
      <c r="AF54" s="199">
        <v>0</v>
      </c>
      <c r="AI54" s="12">
        <v>50</v>
      </c>
      <c r="AJ54" s="78" t="s">
        <v>469</v>
      </c>
      <c r="AK54" s="78" t="s">
        <v>1294</v>
      </c>
      <c r="AL54" s="78" t="s">
        <v>1204</v>
      </c>
      <c r="AM54" s="78" t="s">
        <v>1208</v>
      </c>
      <c r="AN54" s="78">
        <v>69</v>
      </c>
      <c r="AO54" s="78" t="s">
        <v>43</v>
      </c>
      <c r="AP54" s="78">
        <v>0</v>
      </c>
      <c r="AQ54" s="78">
        <v>80</v>
      </c>
      <c r="AR54" s="233" t="s">
        <v>1619</v>
      </c>
      <c r="AS54" s="236"/>
      <c r="AT54" s="234">
        <v>6.61</v>
      </c>
      <c r="AU54" s="234">
        <v>0.24</v>
      </c>
    </row>
    <row r="55" spans="1:47" ht="15.6" x14ac:dyDescent="0.3">
      <c r="A55" s="70">
        <v>51</v>
      </c>
      <c r="B55" s="74" t="s">
        <v>1387</v>
      </c>
      <c r="C55" s="74">
        <v>0</v>
      </c>
      <c r="D55" s="74">
        <v>0</v>
      </c>
      <c r="E55" s="74">
        <v>0</v>
      </c>
      <c r="F55" s="74">
        <v>0</v>
      </c>
      <c r="G55" s="74">
        <v>0</v>
      </c>
      <c r="H55" s="147"/>
      <c r="I55" s="71">
        <v>0</v>
      </c>
      <c r="J55" s="71">
        <v>0</v>
      </c>
      <c r="K55" s="71">
        <v>0</v>
      </c>
      <c r="L55" s="71">
        <v>0</v>
      </c>
      <c r="M55" s="71">
        <v>0</v>
      </c>
      <c r="N55" s="71">
        <v>0</v>
      </c>
      <c r="O55" s="71">
        <v>0</v>
      </c>
      <c r="Q55" s="12"/>
      <c r="R55" s="12"/>
      <c r="S55" s="12"/>
      <c r="T55" s="12"/>
      <c r="U55" s="12"/>
      <c r="V55" s="12"/>
      <c r="W55" s="12"/>
      <c r="X55" s="72"/>
      <c r="Y55" s="73">
        <v>51</v>
      </c>
      <c r="Z55" s="199" t="s">
        <v>1387</v>
      </c>
      <c r="AA55" s="199">
        <v>0</v>
      </c>
      <c r="AB55" s="199" t="e">
        <v>#N/A</v>
      </c>
      <c r="AC55" s="199" t="e">
        <v>#N/A</v>
      </c>
      <c r="AD55" s="199">
        <v>0</v>
      </c>
      <c r="AE55" s="199">
        <v>0</v>
      </c>
      <c r="AF55" s="199">
        <v>0</v>
      </c>
      <c r="AI55" s="12">
        <v>51</v>
      </c>
      <c r="AJ55" s="78" t="s">
        <v>1483</v>
      </c>
      <c r="AK55" s="78" t="s">
        <v>1294</v>
      </c>
      <c r="AL55" s="78" t="s">
        <v>1204</v>
      </c>
      <c r="AM55" s="78" t="s">
        <v>1208</v>
      </c>
      <c r="AN55" s="78">
        <v>69</v>
      </c>
      <c r="AO55" s="78" t="s">
        <v>43</v>
      </c>
      <c r="AP55" s="78">
        <v>0</v>
      </c>
      <c r="AQ55" s="78">
        <v>80</v>
      </c>
      <c r="AR55" s="233" t="s">
        <v>1619</v>
      </c>
      <c r="AS55" s="236"/>
      <c r="AT55" s="234">
        <v>6.61</v>
      </c>
      <c r="AU55" s="234">
        <v>0.24</v>
      </c>
    </row>
    <row r="56" spans="1:47" ht="15.6" x14ac:dyDescent="0.3">
      <c r="A56" s="70">
        <v>52</v>
      </c>
      <c r="B56" s="74" t="s">
        <v>1388</v>
      </c>
      <c r="C56" s="74">
        <v>0</v>
      </c>
      <c r="D56" s="74">
        <v>0</v>
      </c>
      <c r="E56" s="74">
        <v>0</v>
      </c>
      <c r="F56" s="74">
        <v>0</v>
      </c>
      <c r="G56" s="74">
        <v>0</v>
      </c>
      <c r="H56" s="147"/>
      <c r="I56" s="71">
        <v>0</v>
      </c>
      <c r="J56" s="71">
        <v>0</v>
      </c>
      <c r="K56" s="71">
        <v>0</v>
      </c>
      <c r="L56" s="71">
        <v>0</v>
      </c>
      <c r="M56" s="71">
        <v>0</v>
      </c>
      <c r="N56" s="71">
        <v>0</v>
      </c>
      <c r="O56" s="71">
        <v>0</v>
      </c>
      <c r="Q56" s="12"/>
      <c r="R56" s="12"/>
      <c r="S56" s="12"/>
      <c r="T56" s="12"/>
      <c r="U56" s="12"/>
      <c r="V56" s="12"/>
      <c r="W56" s="12"/>
      <c r="X56" s="72"/>
      <c r="Y56" s="73">
        <v>52</v>
      </c>
      <c r="Z56" s="199" t="s">
        <v>1388</v>
      </c>
      <c r="AA56" s="199">
        <v>0</v>
      </c>
      <c r="AB56" s="199" t="e">
        <v>#N/A</v>
      </c>
      <c r="AC56" s="199" t="e">
        <v>#N/A</v>
      </c>
      <c r="AD56" s="199">
        <v>0</v>
      </c>
      <c r="AE56" s="199">
        <v>0</v>
      </c>
      <c r="AF56" s="199">
        <v>0</v>
      </c>
      <c r="AI56" s="12">
        <v>52</v>
      </c>
      <c r="AJ56" s="78" t="s">
        <v>485</v>
      </c>
      <c r="AK56" s="78" t="s">
        <v>1260</v>
      </c>
      <c r="AL56" s="78" t="s">
        <v>1202</v>
      </c>
      <c r="AM56" s="78" t="s">
        <v>1208</v>
      </c>
      <c r="AN56" s="78">
        <v>66</v>
      </c>
      <c r="AO56" s="78" t="s">
        <v>43</v>
      </c>
      <c r="AP56" s="78">
        <v>0</v>
      </c>
      <c r="AQ56" s="78">
        <v>80</v>
      </c>
      <c r="AR56" s="233" t="s">
        <v>1619</v>
      </c>
      <c r="AS56" s="236"/>
      <c r="AT56" s="234">
        <v>9.32</v>
      </c>
      <c r="AU56" s="234">
        <v>0.45</v>
      </c>
    </row>
    <row r="57" spans="1:47" ht="15.6" x14ac:dyDescent="0.3">
      <c r="A57" s="70">
        <v>53</v>
      </c>
      <c r="B57" s="74" t="s">
        <v>1389</v>
      </c>
      <c r="C57" s="74">
        <v>0</v>
      </c>
      <c r="D57" s="74">
        <v>0</v>
      </c>
      <c r="E57" s="74">
        <v>0</v>
      </c>
      <c r="F57" s="74">
        <v>0</v>
      </c>
      <c r="G57" s="74">
        <v>0</v>
      </c>
      <c r="H57" s="147"/>
      <c r="I57" s="71">
        <v>0</v>
      </c>
      <c r="J57" s="71">
        <v>0</v>
      </c>
      <c r="K57" s="71">
        <v>0</v>
      </c>
      <c r="L57" s="71">
        <v>0</v>
      </c>
      <c r="M57" s="71">
        <v>0</v>
      </c>
      <c r="N57" s="71">
        <v>0</v>
      </c>
      <c r="O57" s="71">
        <v>0</v>
      </c>
      <c r="Q57" s="12"/>
      <c r="R57" s="12"/>
      <c r="S57" s="12"/>
      <c r="T57" s="12"/>
      <c r="U57" s="12"/>
      <c r="V57" s="12"/>
      <c r="W57" s="12"/>
      <c r="X57" s="72"/>
      <c r="Y57" s="73">
        <v>53</v>
      </c>
      <c r="Z57" s="199" t="s">
        <v>1389</v>
      </c>
      <c r="AA57" s="199">
        <v>0</v>
      </c>
      <c r="AB57" s="199" t="e">
        <v>#N/A</v>
      </c>
      <c r="AC57" s="199" t="e">
        <v>#N/A</v>
      </c>
      <c r="AD57" s="199">
        <v>0</v>
      </c>
      <c r="AE57" s="199">
        <v>0</v>
      </c>
      <c r="AF57" s="199">
        <v>0</v>
      </c>
      <c r="AI57" s="12">
        <v>53</v>
      </c>
      <c r="AJ57" s="78" t="s">
        <v>486</v>
      </c>
      <c r="AK57" s="78" t="s">
        <v>1260</v>
      </c>
      <c r="AL57" s="78" t="s">
        <v>1202</v>
      </c>
      <c r="AM57" s="78" t="s">
        <v>1208</v>
      </c>
      <c r="AN57" s="78">
        <v>66</v>
      </c>
      <c r="AO57" s="78" t="s">
        <v>43</v>
      </c>
      <c r="AP57" s="78">
        <v>0</v>
      </c>
      <c r="AQ57" s="78">
        <v>80</v>
      </c>
      <c r="AR57" s="233" t="s">
        <v>1619</v>
      </c>
      <c r="AS57" s="236"/>
      <c r="AT57" s="234">
        <v>9.32</v>
      </c>
      <c r="AU57" s="234">
        <v>0.45</v>
      </c>
    </row>
    <row r="58" spans="1:47" ht="15.6" x14ac:dyDescent="0.3">
      <c r="A58" s="70">
        <v>54</v>
      </c>
      <c r="B58" s="74" t="s">
        <v>1390</v>
      </c>
      <c r="C58" s="74">
        <v>0</v>
      </c>
      <c r="D58" s="74">
        <v>0</v>
      </c>
      <c r="E58" s="74">
        <v>0</v>
      </c>
      <c r="F58" s="74">
        <v>0</v>
      </c>
      <c r="G58" s="74">
        <v>0</v>
      </c>
      <c r="H58" s="147"/>
      <c r="I58" s="71">
        <v>0</v>
      </c>
      <c r="J58" s="71">
        <v>0</v>
      </c>
      <c r="K58" s="71">
        <v>0</v>
      </c>
      <c r="L58" s="71">
        <v>0</v>
      </c>
      <c r="M58" s="71">
        <v>0</v>
      </c>
      <c r="N58" s="71">
        <v>0</v>
      </c>
      <c r="O58" s="71">
        <v>0</v>
      </c>
      <c r="Q58" s="12"/>
      <c r="R58" s="12"/>
      <c r="S58" s="12"/>
      <c r="T58" s="12"/>
      <c r="U58" s="12"/>
      <c r="V58" s="12"/>
      <c r="W58" s="12"/>
      <c r="X58" s="72"/>
      <c r="Y58" s="73">
        <v>54</v>
      </c>
      <c r="Z58" s="199" t="s">
        <v>1390</v>
      </c>
      <c r="AA58" s="199">
        <v>0</v>
      </c>
      <c r="AB58" s="199" t="e">
        <v>#N/A</v>
      </c>
      <c r="AC58" s="199" t="e">
        <v>#N/A</v>
      </c>
      <c r="AD58" s="199">
        <v>0</v>
      </c>
      <c r="AE58" s="199">
        <v>0</v>
      </c>
      <c r="AF58" s="199">
        <v>0</v>
      </c>
      <c r="AI58" s="12">
        <v>54</v>
      </c>
      <c r="AJ58" s="78" t="s">
        <v>487</v>
      </c>
      <c r="AK58" s="78" t="s">
        <v>1260</v>
      </c>
      <c r="AL58" s="78" t="s">
        <v>1202</v>
      </c>
      <c r="AM58" s="78" t="s">
        <v>1208</v>
      </c>
      <c r="AN58" s="78">
        <v>61</v>
      </c>
      <c r="AO58" s="78" t="s">
        <v>43</v>
      </c>
      <c r="AP58" s="78">
        <v>0</v>
      </c>
      <c r="AQ58" s="78">
        <v>80</v>
      </c>
      <c r="AR58" s="233" t="s">
        <v>1619</v>
      </c>
      <c r="AS58" s="236"/>
      <c r="AT58" s="234">
        <v>9.32</v>
      </c>
      <c r="AU58" s="234">
        <v>0.45</v>
      </c>
    </row>
    <row r="59" spans="1:47" ht="15.6" x14ac:dyDescent="0.3">
      <c r="A59" s="70">
        <v>55</v>
      </c>
      <c r="B59" s="74" t="s">
        <v>1391</v>
      </c>
      <c r="C59" s="74">
        <v>0</v>
      </c>
      <c r="D59" s="74">
        <v>0</v>
      </c>
      <c r="E59" s="74">
        <v>0</v>
      </c>
      <c r="F59" s="74">
        <v>0</v>
      </c>
      <c r="G59" s="74">
        <v>0</v>
      </c>
      <c r="H59" s="147"/>
      <c r="I59" s="71">
        <v>0</v>
      </c>
      <c r="J59" s="71">
        <v>0</v>
      </c>
      <c r="K59" s="71">
        <v>0</v>
      </c>
      <c r="L59" s="71">
        <v>0</v>
      </c>
      <c r="M59" s="71">
        <v>0</v>
      </c>
      <c r="N59" s="71">
        <v>0</v>
      </c>
      <c r="O59" s="71">
        <v>0</v>
      </c>
      <c r="Q59" s="12"/>
      <c r="R59" s="12"/>
      <c r="S59" s="12"/>
      <c r="T59" s="12"/>
      <c r="U59" s="12"/>
      <c r="V59" s="12"/>
      <c r="W59" s="12"/>
      <c r="X59" s="72"/>
      <c r="Y59" s="73">
        <v>55</v>
      </c>
      <c r="Z59" s="199" t="s">
        <v>1391</v>
      </c>
      <c r="AA59" s="199">
        <v>0</v>
      </c>
      <c r="AB59" s="199" t="e">
        <v>#N/A</v>
      </c>
      <c r="AC59" s="199" t="e">
        <v>#N/A</v>
      </c>
      <c r="AD59" s="199">
        <v>0</v>
      </c>
      <c r="AE59" s="199">
        <v>0</v>
      </c>
      <c r="AF59" s="199">
        <v>0</v>
      </c>
      <c r="AI59" s="12">
        <v>55</v>
      </c>
      <c r="AJ59" s="78" t="s">
        <v>488</v>
      </c>
      <c r="AK59" s="78" t="s">
        <v>1311</v>
      </c>
      <c r="AL59" s="78" t="s">
        <v>1202</v>
      </c>
      <c r="AM59" s="78" t="s">
        <v>1208</v>
      </c>
      <c r="AN59" s="78">
        <v>330</v>
      </c>
      <c r="AO59" s="78" t="s">
        <v>43</v>
      </c>
      <c r="AP59" s="78" t="s">
        <v>1623</v>
      </c>
      <c r="AQ59" s="78">
        <v>80</v>
      </c>
      <c r="AR59" s="233" t="s">
        <v>1619</v>
      </c>
      <c r="AS59" s="236"/>
      <c r="AT59" s="234">
        <v>13.7</v>
      </c>
      <c r="AU59" s="234">
        <v>0.45</v>
      </c>
    </row>
    <row r="60" spans="1:47" ht="15.6" x14ac:dyDescent="0.3">
      <c r="A60" s="70">
        <v>56</v>
      </c>
      <c r="B60" s="74" t="s">
        <v>1392</v>
      </c>
      <c r="C60" s="74">
        <v>0</v>
      </c>
      <c r="D60" s="74">
        <v>0</v>
      </c>
      <c r="E60" s="74">
        <v>0</v>
      </c>
      <c r="F60" s="74">
        <v>0</v>
      </c>
      <c r="G60" s="74">
        <v>0</v>
      </c>
      <c r="H60" s="147"/>
      <c r="I60" s="71">
        <v>0</v>
      </c>
      <c r="J60" s="71">
        <v>0</v>
      </c>
      <c r="K60" s="71">
        <v>0</v>
      </c>
      <c r="L60" s="71">
        <v>0</v>
      </c>
      <c r="M60" s="71">
        <v>0</v>
      </c>
      <c r="N60" s="71">
        <v>0</v>
      </c>
      <c r="O60" s="71">
        <v>0</v>
      </c>
      <c r="Q60" s="12"/>
      <c r="R60" s="12"/>
      <c r="S60" s="12"/>
      <c r="T60" s="12"/>
      <c r="U60" s="12"/>
      <c r="V60" s="12"/>
      <c r="W60" s="12"/>
      <c r="X60" s="72"/>
      <c r="Y60" s="73">
        <v>56</v>
      </c>
      <c r="Z60" s="199" t="s">
        <v>1392</v>
      </c>
      <c r="AA60" s="199">
        <v>0</v>
      </c>
      <c r="AB60" s="199" t="e">
        <v>#N/A</v>
      </c>
      <c r="AC60" s="199" t="e">
        <v>#N/A</v>
      </c>
      <c r="AD60" s="199">
        <v>0</v>
      </c>
      <c r="AE60" s="199">
        <v>0</v>
      </c>
      <c r="AF60" s="199">
        <v>0</v>
      </c>
      <c r="AI60" s="12">
        <v>56</v>
      </c>
      <c r="AJ60" s="78" t="s">
        <v>505</v>
      </c>
      <c r="AK60" s="78" t="s">
        <v>1254</v>
      </c>
      <c r="AL60" s="78" t="s">
        <v>1202</v>
      </c>
      <c r="AM60" s="78" t="s">
        <v>1208</v>
      </c>
      <c r="AN60" s="78">
        <v>123</v>
      </c>
      <c r="AO60" s="78" t="s">
        <v>43</v>
      </c>
      <c r="AP60" s="78">
        <v>0</v>
      </c>
      <c r="AQ60" s="78">
        <v>80</v>
      </c>
      <c r="AR60" s="233" t="s">
        <v>1619</v>
      </c>
      <c r="AS60" s="236"/>
      <c r="AT60" s="234">
        <v>6.61</v>
      </c>
      <c r="AU60" s="234">
        <v>0.18</v>
      </c>
    </row>
    <row r="61" spans="1:47" ht="15.6" x14ac:dyDescent="0.3">
      <c r="A61" s="70">
        <v>57</v>
      </c>
      <c r="B61" s="74" t="s">
        <v>1393</v>
      </c>
      <c r="C61" s="74">
        <v>0</v>
      </c>
      <c r="D61" s="74">
        <v>0</v>
      </c>
      <c r="E61" s="74">
        <v>0</v>
      </c>
      <c r="F61" s="74">
        <v>0</v>
      </c>
      <c r="G61" s="74">
        <v>0</v>
      </c>
      <c r="H61" s="147"/>
      <c r="I61" s="71">
        <v>0</v>
      </c>
      <c r="J61" s="71">
        <v>0</v>
      </c>
      <c r="K61" s="71">
        <v>0</v>
      </c>
      <c r="L61" s="71">
        <v>0</v>
      </c>
      <c r="M61" s="71">
        <v>0</v>
      </c>
      <c r="N61" s="71">
        <v>0</v>
      </c>
      <c r="O61" s="71">
        <v>0</v>
      </c>
      <c r="Q61" s="12"/>
      <c r="R61" s="12"/>
      <c r="S61" s="12"/>
      <c r="T61" s="12"/>
      <c r="U61" s="12"/>
      <c r="V61" s="12"/>
      <c r="W61" s="12"/>
      <c r="X61" s="72"/>
      <c r="Y61" s="73">
        <v>57</v>
      </c>
      <c r="Z61" s="199" t="s">
        <v>1393</v>
      </c>
      <c r="AA61" s="199">
        <v>0</v>
      </c>
      <c r="AB61" s="199" t="e">
        <v>#N/A</v>
      </c>
      <c r="AC61" s="199" t="e">
        <v>#N/A</v>
      </c>
      <c r="AD61" s="199">
        <v>0</v>
      </c>
      <c r="AE61" s="199">
        <v>0</v>
      </c>
      <c r="AF61" s="199">
        <v>0</v>
      </c>
      <c r="AI61" s="12">
        <v>57</v>
      </c>
      <c r="AJ61" s="78" t="s">
        <v>503</v>
      </c>
      <c r="AK61" s="78" t="s">
        <v>1256</v>
      </c>
      <c r="AL61" s="78" t="s">
        <v>1202</v>
      </c>
      <c r="AM61" s="78" t="s">
        <v>1208</v>
      </c>
      <c r="AN61" s="78">
        <v>182</v>
      </c>
      <c r="AO61" s="78" t="s">
        <v>43</v>
      </c>
      <c r="AP61" s="78">
        <v>0</v>
      </c>
      <c r="AQ61" s="78">
        <v>80</v>
      </c>
      <c r="AR61" s="233" t="s">
        <v>1619</v>
      </c>
      <c r="AS61" s="236"/>
      <c r="AT61" s="234">
        <v>2</v>
      </c>
      <c r="AU61" s="234">
        <v>0.18</v>
      </c>
    </row>
    <row r="62" spans="1:47" ht="15.6" x14ac:dyDescent="0.3">
      <c r="A62" s="70">
        <v>58</v>
      </c>
      <c r="B62" s="74" t="s">
        <v>1394</v>
      </c>
      <c r="C62" s="74">
        <v>0</v>
      </c>
      <c r="D62" s="74">
        <v>0</v>
      </c>
      <c r="E62" s="74">
        <v>0</v>
      </c>
      <c r="F62" s="74">
        <v>0</v>
      </c>
      <c r="G62" s="74">
        <v>0</v>
      </c>
      <c r="H62" s="147"/>
      <c r="I62" s="71">
        <v>0</v>
      </c>
      <c r="J62" s="71">
        <v>0</v>
      </c>
      <c r="K62" s="71">
        <v>0</v>
      </c>
      <c r="L62" s="71">
        <v>0</v>
      </c>
      <c r="M62" s="71">
        <v>0</v>
      </c>
      <c r="N62" s="71">
        <v>0</v>
      </c>
      <c r="O62" s="71">
        <v>0</v>
      </c>
      <c r="Q62" s="12"/>
      <c r="R62" s="12"/>
      <c r="S62" s="12"/>
      <c r="T62" s="12"/>
      <c r="U62" s="12"/>
      <c r="V62" s="12"/>
      <c r="W62" s="12"/>
      <c r="X62" s="72"/>
      <c r="Y62" s="73">
        <v>58</v>
      </c>
      <c r="Z62" s="199" t="s">
        <v>1394</v>
      </c>
      <c r="AA62" s="199">
        <v>0</v>
      </c>
      <c r="AB62" s="199" t="e">
        <v>#N/A</v>
      </c>
      <c r="AC62" s="199" t="e">
        <v>#N/A</v>
      </c>
      <c r="AD62" s="199">
        <v>0</v>
      </c>
      <c r="AE62" s="199">
        <v>0</v>
      </c>
      <c r="AF62" s="199">
        <v>0</v>
      </c>
      <c r="AI62" s="12">
        <v>58</v>
      </c>
      <c r="AJ62" s="78" t="s">
        <v>504</v>
      </c>
      <c r="AK62" s="78" t="s">
        <v>1255</v>
      </c>
      <c r="AL62" s="78" t="s">
        <v>1202</v>
      </c>
      <c r="AM62" s="78" t="s">
        <v>1208</v>
      </c>
      <c r="AN62" s="78">
        <v>34</v>
      </c>
      <c r="AO62" s="78" t="s">
        <v>43</v>
      </c>
      <c r="AP62" s="78">
        <v>0</v>
      </c>
      <c r="AQ62" s="78">
        <v>80</v>
      </c>
      <c r="AR62" s="233" t="s">
        <v>1619</v>
      </c>
      <c r="AS62" s="236"/>
      <c r="AT62" s="234">
        <v>6.61</v>
      </c>
      <c r="AU62" s="234">
        <v>0.18</v>
      </c>
    </row>
    <row r="63" spans="1:47" ht="15.6" x14ac:dyDescent="0.3">
      <c r="A63" s="70">
        <v>59</v>
      </c>
      <c r="B63" s="74" t="s">
        <v>1395</v>
      </c>
      <c r="C63" s="74">
        <v>0</v>
      </c>
      <c r="D63" s="74">
        <v>0</v>
      </c>
      <c r="E63" s="74">
        <v>0</v>
      </c>
      <c r="F63" s="74">
        <v>0</v>
      </c>
      <c r="G63" s="74">
        <v>0</v>
      </c>
      <c r="H63" s="147"/>
      <c r="I63" s="71">
        <v>0</v>
      </c>
      <c r="J63" s="71">
        <v>0</v>
      </c>
      <c r="K63" s="71">
        <v>0</v>
      </c>
      <c r="L63" s="71">
        <v>0</v>
      </c>
      <c r="M63" s="71">
        <v>0</v>
      </c>
      <c r="N63" s="71">
        <v>0</v>
      </c>
      <c r="O63" s="71">
        <v>0</v>
      </c>
      <c r="Q63" s="12"/>
      <c r="R63" s="12"/>
      <c r="S63" s="12"/>
      <c r="T63" s="12"/>
      <c r="U63" s="12"/>
      <c r="V63" s="12"/>
      <c r="W63" s="12"/>
      <c r="X63" s="72"/>
      <c r="Y63" s="73">
        <v>59</v>
      </c>
      <c r="Z63" s="199" t="s">
        <v>1395</v>
      </c>
      <c r="AA63" s="199">
        <v>0</v>
      </c>
      <c r="AB63" s="199" t="e">
        <v>#N/A</v>
      </c>
      <c r="AC63" s="199" t="e">
        <v>#N/A</v>
      </c>
      <c r="AD63" s="199">
        <v>0</v>
      </c>
      <c r="AE63" s="199">
        <v>0</v>
      </c>
      <c r="AF63" s="199">
        <v>0</v>
      </c>
      <c r="AI63" s="12">
        <v>59</v>
      </c>
      <c r="AJ63" s="78" t="s">
        <v>511</v>
      </c>
      <c r="AK63" s="78" t="s">
        <v>1257</v>
      </c>
      <c r="AL63" s="78" t="s">
        <v>1202</v>
      </c>
      <c r="AM63" s="78" t="s">
        <v>1208</v>
      </c>
      <c r="AN63" s="78">
        <v>300</v>
      </c>
      <c r="AO63" s="78" t="s">
        <v>43</v>
      </c>
      <c r="AP63" s="78">
        <v>0</v>
      </c>
      <c r="AQ63" s="78">
        <v>80</v>
      </c>
      <c r="AR63" s="233" t="s">
        <v>1619</v>
      </c>
      <c r="AS63" s="236"/>
      <c r="AT63" s="234">
        <v>13.9</v>
      </c>
      <c r="AU63" s="234">
        <v>0.18</v>
      </c>
    </row>
    <row r="64" spans="1:47" ht="15.6" x14ac:dyDescent="0.3">
      <c r="A64" s="70">
        <v>60</v>
      </c>
      <c r="B64" s="74" t="s">
        <v>1396</v>
      </c>
      <c r="C64" s="74">
        <v>0</v>
      </c>
      <c r="D64" s="74">
        <v>0</v>
      </c>
      <c r="E64" s="74">
        <v>0</v>
      </c>
      <c r="F64" s="74">
        <v>0</v>
      </c>
      <c r="G64" s="74">
        <v>0</v>
      </c>
      <c r="H64" s="147"/>
      <c r="I64" s="71">
        <v>0</v>
      </c>
      <c r="J64" s="71">
        <v>0</v>
      </c>
      <c r="K64" s="71">
        <v>0</v>
      </c>
      <c r="L64" s="71">
        <v>0</v>
      </c>
      <c r="M64" s="71">
        <v>0</v>
      </c>
      <c r="N64" s="71">
        <v>0</v>
      </c>
      <c r="O64" s="71">
        <v>0</v>
      </c>
      <c r="Q64" s="12"/>
      <c r="R64" s="12"/>
      <c r="S64" s="12"/>
      <c r="T64" s="12"/>
      <c r="U64" s="12"/>
      <c r="V64" s="12"/>
      <c r="W64" s="12"/>
      <c r="X64" s="72"/>
      <c r="Y64" s="73">
        <v>60</v>
      </c>
      <c r="Z64" s="199" t="s">
        <v>1396</v>
      </c>
      <c r="AA64" s="199">
        <v>0</v>
      </c>
      <c r="AB64" s="199" t="e">
        <v>#N/A</v>
      </c>
      <c r="AC64" s="199" t="e">
        <v>#N/A</v>
      </c>
      <c r="AD64" s="199">
        <v>0</v>
      </c>
      <c r="AE64" s="199">
        <v>0</v>
      </c>
      <c r="AF64" s="199">
        <v>0</v>
      </c>
      <c r="AI64" s="12">
        <v>60</v>
      </c>
      <c r="AJ64" s="78" t="s">
        <v>512</v>
      </c>
      <c r="AK64" s="78" t="s">
        <v>1257</v>
      </c>
      <c r="AL64" s="78" t="s">
        <v>1202</v>
      </c>
      <c r="AM64" s="78" t="s">
        <v>1208</v>
      </c>
      <c r="AN64" s="78">
        <v>300</v>
      </c>
      <c r="AO64" s="78" t="s">
        <v>43</v>
      </c>
      <c r="AP64" s="78">
        <v>0</v>
      </c>
      <c r="AQ64" s="78">
        <v>80</v>
      </c>
      <c r="AR64" s="233" t="s">
        <v>1619</v>
      </c>
      <c r="AS64" s="236"/>
      <c r="AT64" s="234">
        <v>17</v>
      </c>
      <c r="AU64" s="234">
        <v>0.18</v>
      </c>
    </row>
    <row r="65" spans="1:47" ht="15.6" x14ac:dyDescent="0.3">
      <c r="A65" s="70">
        <v>61</v>
      </c>
      <c r="B65" s="74" t="s">
        <v>1397</v>
      </c>
      <c r="C65" s="74">
        <v>0</v>
      </c>
      <c r="D65" s="74">
        <v>0</v>
      </c>
      <c r="E65" s="74">
        <v>0</v>
      </c>
      <c r="F65" s="74">
        <v>0</v>
      </c>
      <c r="G65" s="74">
        <v>0</v>
      </c>
      <c r="H65" s="147"/>
      <c r="I65" s="71">
        <v>0</v>
      </c>
      <c r="J65" s="71">
        <v>0</v>
      </c>
      <c r="K65" s="71">
        <v>0</v>
      </c>
      <c r="L65" s="71">
        <v>0</v>
      </c>
      <c r="M65" s="71">
        <v>0</v>
      </c>
      <c r="N65" s="71">
        <v>0</v>
      </c>
      <c r="O65" s="71">
        <v>0</v>
      </c>
      <c r="Q65" s="12"/>
      <c r="R65" s="12"/>
      <c r="S65" s="12"/>
      <c r="T65" s="12"/>
      <c r="U65" s="12"/>
      <c r="V65" s="12"/>
      <c r="W65" s="12"/>
      <c r="X65" s="72"/>
      <c r="Y65" s="73">
        <v>61</v>
      </c>
      <c r="Z65" s="199" t="s">
        <v>1397</v>
      </c>
      <c r="AA65" s="199">
        <v>0</v>
      </c>
      <c r="AB65" s="199" t="e">
        <v>#N/A</v>
      </c>
      <c r="AC65" s="199" t="e">
        <v>#N/A</v>
      </c>
      <c r="AD65" s="199">
        <v>0</v>
      </c>
      <c r="AE65" s="199">
        <v>0</v>
      </c>
      <c r="AF65" s="199">
        <v>0</v>
      </c>
      <c r="AI65" s="12">
        <v>61</v>
      </c>
      <c r="AJ65" s="78" t="s">
        <v>509</v>
      </c>
      <c r="AK65" s="78" t="s">
        <v>1254</v>
      </c>
      <c r="AL65" s="78" t="s">
        <v>1202</v>
      </c>
      <c r="AM65" s="78" t="s">
        <v>1208</v>
      </c>
      <c r="AN65" s="78">
        <v>123</v>
      </c>
      <c r="AO65" s="78" t="s">
        <v>43</v>
      </c>
      <c r="AP65" s="78">
        <v>0</v>
      </c>
      <c r="AQ65" s="78">
        <v>80</v>
      </c>
      <c r="AR65" s="233" t="s">
        <v>1619</v>
      </c>
      <c r="AS65" s="236"/>
      <c r="AT65" s="234">
        <v>6.61</v>
      </c>
      <c r="AU65" s="234">
        <v>0.18</v>
      </c>
    </row>
    <row r="66" spans="1:47" ht="15.6" x14ac:dyDescent="0.3">
      <c r="A66" s="70">
        <v>62</v>
      </c>
      <c r="B66" s="74" t="s">
        <v>1398</v>
      </c>
      <c r="C66" s="74">
        <v>0</v>
      </c>
      <c r="D66" s="74">
        <v>0</v>
      </c>
      <c r="E66" s="74">
        <v>0</v>
      </c>
      <c r="F66" s="74">
        <v>0</v>
      </c>
      <c r="G66" s="74">
        <v>0</v>
      </c>
      <c r="H66" s="147"/>
      <c r="I66" s="71">
        <v>0</v>
      </c>
      <c r="J66" s="71">
        <v>0</v>
      </c>
      <c r="K66" s="71">
        <v>0</v>
      </c>
      <c r="L66" s="71">
        <v>0</v>
      </c>
      <c r="M66" s="71">
        <v>0</v>
      </c>
      <c r="N66" s="71">
        <v>0</v>
      </c>
      <c r="O66" s="71">
        <v>0</v>
      </c>
      <c r="Q66" s="12"/>
      <c r="R66" s="12"/>
      <c r="S66" s="12"/>
      <c r="T66" s="12"/>
      <c r="U66" s="12"/>
      <c r="V66" s="12"/>
      <c r="W66" s="12"/>
      <c r="X66" s="72"/>
      <c r="Y66" s="73">
        <v>62</v>
      </c>
      <c r="Z66" s="199" t="s">
        <v>1398</v>
      </c>
      <c r="AA66" s="199">
        <v>0</v>
      </c>
      <c r="AB66" s="199" t="e">
        <v>#N/A</v>
      </c>
      <c r="AC66" s="199" t="e">
        <v>#N/A</v>
      </c>
      <c r="AD66" s="199">
        <v>0</v>
      </c>
      <c r="AE66" s="199">
        <v>0</v>
      </c>
      <c r="AF66" s="199">
        <v>0</v>
      </c>
      <c r="AI66" s="12">
        <v>62</v>
      </c>
      <c r="AJ66" s="78" t="s">
        <v>569</v>
      </c>
      <c r="AK66" s="78" t="s">
        <v>1254</v>
      </c>
      <c r="AL66" s="78" t="s">
        <v>1202</v>
      </c>
      <c r="AM66" s="78" t="s">
        <v>1208</v>
      </c>
      <c r="AN66" s="78">
        <v>110</v>
      </c>
      <c r="AO66" s="78" t="s">
        <v>43</v>
      </c>
      <c r="AP66" s="78">
        <v>0</v>
      </c>
      <c r="AQ66" s="78">
        <v>80</v>
      </c>
      <c r="AR66" s="233" t="s">
        <v>1619</v>
      </c>
      <c r="AS66" s="236"/>
      <c r="AT66" s="234">
        <v>6.61</v>
      </c>
      <c r="AU66" s="234">
        <v>0.18</v>
      </c>
    </row>
    <row r="67" spans="1:47" ht="15.6" x14ac:dyDescent="0.3">
      <c r="A67" s="70">
        <v>63</v>
      </c>
      <c r="B67" s="74" t="s">
        <v>1399</v>
      </c>
      <c r="C67" s="74">
        <v>0</v>
      </c>
      <c r="D67" s="74">
        <v>0</v>
      </c>
      <c r="E67" s="74">
        <v>0</v>
      </c>
      <c r="F67" s="74">
        <v>0</v>
      </c>
      <c r="G67" s="74">
        <v>0</v>
      </c>
      <c r="H67" s="147"/>
      <c r="I67" s="71">
        <v>0</v>
      </c>
      <c r="J67" s="71">
        <v>0</v>
      </c>
      <c r="K67" s="71">
        <v>0</v>
      </c>
      <c r="L67" s="71">
        <v>0</v>
      </c>
      <c r="M67" s="71">
        <v>0</v>
      </c>
      <c r="N67" s="71">
        <v>0</v>
      </c>
      <c r="O67" s="71">
        <v>0</v>
      </c>
      <c r="Q67" s="12"/>
      <c r="R67" s="12"/>
      <c r="S67" s="12"/>
      <c r="T67" s="12"/>
      <c r="U67" s="12"/>
      <c r="V67" s="12"/>
      <c r="W67" s="12"/>
      <c r="X67" s="72"/>
      <c r="Y67" s="73">
        <v>63</v>
      </c>
      <c r="Z67" s="199" t="s">
        <v>1399</v>
      </c>
      <c r="AA67" s="199">
        <v>0</v>
      </c>
      <c r="AB67" s="199" t="e">
        <v>#N/A</v>
      </c>
      <c r="AC67" s="199" t="e">
        <v>#N/A</v>
      </c>
      <c r="AD67" s="199">
        <v>0</v>
      </c>
      <c r="AE67" s="199">
        <v>0</v>
      </c>
      <c r="AF67" s="199">
        <v>0</v>
      </c>
      <c r="AI67" s="12">
        <v>63</v>
      </c>
      <c r="AJ67" s="78" t="s">
        <v>544</v>
      </c>
      <c r="AK67" s="78" t="s">
        <v>1259</v>
      </c>
      <c r="AL67" s="78" t="s">
        <v>1216</v>
      </c>
      <c r="AM67" s="78" t="s">
        <v>1208</v>
      </c>
      <c r="AN67" s="78">
        <v>100</v>
      </c>
      <c r="AO67" s="78" t="s">
        <v>43</v>
      </c>
      <c r="AP67" s="78" t="s">
        <v>1624</v>
      </c>
      <c r="AQ67" s="78">
        <v>80</v>
      </c>
      <c r="AR67" s="233" t="s">
        <v>1621</v>
      </c>
      <c r="AS67" s="236"/>
      <c r="AT67" s="234">
        <v>1</v>
      </c>
      <c r="AU67" s="234">
        <v>0.18</v>
      </c>
    </row>
    <row r="68" spans="1:47" ht="15.6" x14ac:dyDescent="0.3">
      <c r="A68" s="70">
        <v>64</v>
      </c>
      <c r="B68" s="74" t="s">
        <v>1400</v>
      </c>
      <c r="C68" s="74">
        <v>0</v>
      </c>
      <c r="D68" s="74">
        <v>0</v>
      </c>
      <c r="E68" s="74">
        <v>0</v>
      </c>
      <c r="F68" s="74">
        <v>0</v>
      </c>
      <c r="G68" s="74">
        <v>0</v>
      </c>
      <c r="H68" s="147"/>
      <c r="I68" s="71">
        <v>0</v>
      </c>
      <c r="J68" s="71">
        <v>0</v>
      </c>
      <c r="K68" s="71">
        <v>0</v>
      </c>
      <c r="L68" s="71">
        <v>0</v>
      </c>
      <c r="M68" s="71">
        <v>0</v>
      </c>
      <c r="N68" s="71">
        <v>0</v>
      </c>
      <c r="O68" s="71">
        <v>0</v>
      </c>
      <c r="Q68" s="12"/>
      <c r="R68" s="12"/>
      <c r="S68" s="12"/>
      <c r="T68" s="12"/>
      <c r="U68" s="12"/>
      <c r="V68" s="12"/>
      <c r="W68" s="12"/>
      <c r="X68" s="72"/>
      <c r="Y68" s="73">
        <v>64</v>
      </c>
      <c r="Z68" s="199" t="s">
        <v>1400</v>
      </c>
      <c r="AA68" s="199">
        <v>0</v>
      </c>
      <c r="AB68" s="199" t="e">
        <v>#N/A</v>
      </c>
      <c r="AC68" s="199" t="e">
        <v>#N/A</v>
      </c>
      <c r="AD68" s="199">
        <v>0</v>
      </c>
      <c r="AE68" s="199">
        <v>0</v>
      </c>
      <c r="AF68" s="199">
        <v>0</v>
      </c>
      <c r="AI68" s="12">
        <v>64</v>
      </c>
      <c r="AJ68" s="78" t="s">
        <v>506</v>
      </c>
      <c r="AK68" s="78" t="s">
        <v>1254</v>
      </c>
      <c r="AL68" s="78" t="s">
        <v>1202</v>
      </c>
      <c r="AM68" s="78" t="s">
        <v>1208</v>
      </c>
      <c r="AN68" s="78">
        <v>123</v>
      </c>
      <c r="AO68" s="78" t="s">
        <v>43</v>
      </c>
      <c r="AP68" s="78">
        <v>0</v>
      </c>
      <c r="AQ68" s="78">
        <v>80</v>
      </c>
      <c r="AR68" s="233" t="s">
        <v>1619</v>
      </c>
      <c r="AS68" s="236"/>
      <c r="AT68" s="234">
        <v>6.61</v>
      </c>
      <c r="AU68" s="234">
        <v>0.18</v>
      </c>
    </row>
    <row r="69" spans="1:47" ht="15.6" x14ac:dyDescent="0.3">
      <c r="A69" s="70">
        <v>65</v>
      </c>
      <c r="B69" s="74" t="s">
        <v>1401</v>
      </c>
      <c r="C69" s="74">
        <v>0</v>
      </c>
      <c r="D69" s="74">
        <v>0</v>
      </c>
      <c r="E69" s="74">
        <v>0</v>
      </c>
      <c r="F69" s="74">
        <v>0</v>
      </c>
      <c r="G69" s="74">
        <v>0</v>
      </c>
      <c r="H69" s="147"/>
      <c r="I69" s="71">
        <v>0</v>
      </c>
      <c r="J69" s="71">
        <v>0</v>
      </c>
      <c r="K69" s="71">
        <v>0</v>
      </c>
      <c r="L69" s="71">
        <v>0</v>
      </c>
      <c r="M69" s="71">
        <v>0</v>
      </c>
      <c r="N69" s="71">
        <v>0</v>
      </c>
      <c r="O69" s="71">
        <v>0</v>
      </c>
      <c r="Q69" s="12"/>
      <c r="R69" s="12"/>
      <c r="S69" s="12"/>
      <c r="T69" s="12"/>
      <c r="U69" s="12"/>
      <c r="V69" s="12"/>
      <c r="W69" s="12"/>
      <c r="X69" s="72"/>
      <c r="Y69" s="73">
        <v>65</v>
      </c>
      <c r="Z69" s="199" t="s">
        <v>1401</v>
      </c>
      <c r="AA69" s="199">
        <v>0</v>
      </c>
      <c r="AB69" s="199" t="e">
        <v>#N/A</v>
      </c>
      <c r="AC69" s="199" t="e">
        <v>#N/A</v>
      </c>
      <c r="AD69" s="199">
        <v>0</v>
      </c>
      <c r="AE69" s="199">
        <v>0</v>
      </c>
      <c r="AF69" s="199">
        <v>0</v>
      </c>
      <c r="AI69" s="12">
        <v>65</v>
      </c>
      <c r="AJ69" s="78" t="s">
        <v>510</v>
      </c>
      <c r="AK69" s="78" t="s">
        <v>1254</v>
      </c>
      <c r="AL69" s="78" t="s">
        <v>1202</v>
      </c>
      <c r="AM69" s="78" t="s">
        <v>1208</v>
      </c>
      <c r="AN69" s="78">
        <v>123</v>
      </c>
      <c r="AO69" s="78" t="s">
        <v>43</v>
      </c>
      <c r="AP69" s="78">
        <v>0</v>
      </c>
      <c r="AQ69" s="78">
        <v>80</v>
      </c>
      <c r="AR69" s="233" t="s">
        <v>1619</v>
      </c>
      <c r="AS69" s="236"/>
      <c r="AT69" s="234">
        <v>6.61</v>
      </c>
      <c r="AU69" s="234">
        <v>0.18</v>
      </c>
    </row>
    <row r="70" spans="1:47" ht="15.6" x14ac:dyDescent="0.3">
      <c r="A70" s="70">
        <v>66</v>
      </c>
      <c r="B70" s="74" t="s">
        <v>1402</v>
      </c>
      <c r="C70" s="74">
        <v>0</v>
      </c>
      <c r="D70" s="74">
        <v>0</v>
      </c>
      <c r="E70" s="74">
        <v>0</v>
      </c>
      <c r="F70" s="74">
        <v>0</v>
      </c>
      <c r="G70" s="74">
        <v>0</v>
      </c>
      <c r="H70" s="147"/>
      <c r="I70" s="71">
        <v>0</v>
      </c>
      <c r="J70" s="71">
        <v>0</v>
      </c>
      <c r="K70" s="71">
        <v>0</v>
      </c>
      <c r="L70" s="71">
        <v>0</v>
      </c>
      <c r="M70" s="71">
        <v>0</v>
      </c>
      <c r="N70" s="71">
        <v>0</v>
      </c>
      <c r="O70" s="71">
        <v>0</v>
      </c>
      <c r="Q70" s="12"/>
      <c r="R70" s="12"/>
      <c r="S70" s="12"/>
      <c r="T70" s="12"/>
      <c r="U70" s="12"/>
      <c r="V70" s="12"/>
      <c r="W70" s="12"/>
      <c r="X70" s="72"/>
      <c r="Y70" s="73">
        <v>66</v>
      </c>
      <c r="Z70" s="199" t="s">
        <v>1402</v>
      </c>
      <c r="AA70" s="199">
        <v>0</v>
      </c>
      <c r="AB70" s="199" t="e">
        <v>#N/A</v>
      </c>
      <c r="AC70" s="199" t="e">
        <v>#N/A</v>
      </c>
      <c r="AD70" s="199">
        <v>0</v>
      </c>
      <c r="AE70" s="199">
        <v>0</v>
      </c>
      <c r="AF70" s="199">
        <v>0</v>
      </c>
      <c r="AI70" s="12">
        <v>66</v>
      </c>
      <c r="AJ70" s="78" t="s">
        <v>507</v>
      </c>
      <c r="AK70" s="78" t="s">
        <v>1254</v>
      </c>
      <c r="AL70" s="78" t="s">
        <v>1202</v>
      </c>
      <c r="AM70" s="78" t="s">
        <v>1208</v>
      </c>
      <c r="AN70" s="78">
        <v>110</v>
      </c>
      <c r="AO70" s="78" t="s">
        <v>43</v>
      </c>
      <c r="AP70" s="78">
        <v>0</v>
      </c>
      <c r="AQ70" s="78">
        <v>80</v>
      </c>
      <c r="AR70" s="233" t="s">
        <v>1619</v>
      </c>
      <c r="AS70" s="236"/>
      <c r="AT70" s="234">
        <v>6.61</v>
      </c>
      <c r="AU70" s="234">
        <v>0.18</v>
      </c>
    </row>
    <row r="71" spans="1:47" ht="15.6" x14ac:dyDescent="0.3">
      <c r="A71" s="70">
        <v>67</v>
      </c>
      <c r="B71" s="74" t="s">
        <v>1403</v>
      </c>
      <c r="C71" s="74">
        <v>0</v>
      </c>
      <c r="D71" s="74">
        <v>0</v>
      </c>
      <c r="E71" s="74">
        <v>0</v>
      </c>
      <c r="F71" s="74">
        <v>0</v>
      </c>
      <c r="G71" s="74">
        <v>0</v>
      </c>
      <c r="H71" s="147"/>
      <c r="I71" s="71">
        <v>0</v>
      </c>
      <c r="J71" s="71">
        <v>0</v>
      </c>
      <c r="K71" s="71">
        <v>0</v>
      </c>
      <c r="L71" s="71">
        <v>0</v>
      </c>
      <c r="M71" s="71">
        <v>0</v>
      </c>
      <c r="N71" s="71">
        <v>0</v>
      </c>
      <c r="O71" s="71">
        <v>0</v>
      </c>
      <c r="Q71" s="12"/>
      <c r="R71" s="12"/>
      <c r="S71" s="12"/>
      <c r="T71" s="12"/>
      <c r="U71" s="12"/>
      <c r="V71" s="12"/>
      <c r="W71" s="12"/>
      <c r="X71" s="72"/>
      <c r="Y71" s="73">
        <v>67</v>
      </c>
      <c r="Z71" s="199" t="s">
        <v>1403</v>
      </c>
      <c r="AA71" s="199">
        <v>0</v>
      </c>
      <c r="AB71" s="199" t="e">
        <v>#N/A</v>
      </c>
      <c r="AC71" s="199" t="e">
        <v>#N/A</v>
      </c>
      <c r="AD71" s="199">
        <v>0</v>
      </c>
      <c r="AE71" s="199">
        <v>0</v>
      </c>
      <c r="AF71" s="199">
        <v>0</v>
      </c>
      <c r="AI71" s="12">
        <v>67</v>
      </c>
      <c r="AJ71" s="78" t="s">
        <v>508</v>
      </c>
      <c r="AK71" s="78" t="s">
        <v>1254</v>
      </c>
      <c r="AL71" s="78" t="s">
        <v>1202</v>
      </c>
      <c r="AM71" s="78" t="s">
        <v>1208</v>
      </c>
      <c r="AN71" s="78">
        <v>110</v>
      </c>
      <c r="AO71" s="78" t="s">
        <v>43</v>
      </c>
      <c r="AP71" s="78">
        <v>0</v>
      </c>
      <c r="AQ71" s="78">
        <v>80</v>
      </c>
      <c r="AR71" s="233" t="s">
        <v>1619</v>
      </c>
      <c r="AS71" s="236"/>
      <c r="AT71" s="234">
        <v>6.61</v>
      </c>
      <c r="AU71" s="234">
        <v>0.18</v>
      </c>
    </row>
    <row r="72" spans="1:47" ht="15.6" x14ac:dyDescent="0.3">
      <c r="A72" s="70">
        <v>68</v>
      </c>
      <c r="B72" s="74" t="s">
        <v>1404</v>
      </c>
      <c r="C72" s="74">
        <v>0</v>
      </c>
      <c r="D72" s="74">
        <v>0</v>
      </c>
      <c r="E72" s="74">
        <v>0</v>
      </c>
      <c r="F72" s="74">
        <v>0</v>
      </c>
      <c r="G72" s="74">
        <v>0</v>
      </c>
      <c r="H72" s="147"/>
      <c r="I72" s="71">
        <v>0</v>
      </c>
      <c r="J72" s="71">
        <v>0</v>
      </c>
      <c r="K72" s="71">
        <v>0</v>
      </c>
      <c r="L72" s="71">
        <v>0</v>
      </c>
      <c r="M72" s="71">
        <v>0</v>
      </c>
      <c r="N72" s="71">
        <v>0</v>
      </c>
      <c r="O72" s="71">
        <v>0</v>
      </c>
      <c r="Q72" s="12"/>
      <c r="R72" s="12"/>
      <c r="S72" s="12"/>
      <c r="T72" s="12"/>
      <c r="U72" s="12"/>
      <c r="V72" s="12"/>
      <c r="W72" s="12"/>
      <c r="X72" s="72"/>
      <c r="Y72" s="73">
        <v>68</v>
      </c>
      <c r="Z72" s="199" t="s">
        <v>1404</v>
      </c>
      <c r="AA72" s="199">
        <v>0</v>
      </c>
      <c r="AB72" s="199" t="e">
        <v>#N/A</v>
      </c>
      <c r="AC72" s="199" t="e">
        <v>#N/A</v>
      </c>
      <c r="AD72" s="199">
        <v>0</v>
      </c>
      <c r="AE72" s="199">
        <v>0</v>
      </c>
      <c r="AF72" s="199">
        <v>0</v>
      </c>
      <c r="AI72" s="12">
        <v>68</v>
      </c>
      <c r="AJ72" s="78" t="s">
        <v>513</v>
      </c>
      <c r="AK72" s="78" t="s">
        <v>1254</v>
      </c>
      <c r="AL72" s="78" t="s">
        <v>1202</v>
      </c>
      <c r="AM72" s="78" t="s">
        <v>1208</v>
      </c>
      <c r="AN72" s="78">
        <v>100</v>
      </c>
      <c r="AO72" s="78" t="s">
        <v>43</v>
      </c>
      <c r="AP72" s="78">
        <v>0</v>
      </c>
      <c r="AQ72" s="78">
        <v>80</v>
      </c>
      <c r="AR72" s="233" t="s">
        <v>1621</v>
      </c>
      <c r="AS72" s="236"/>
      <c r="AT72" s="234">
        <v>6.61</v>
      </c>
      <c r="AU72" s="234">
        <v>0.18</v>
      </c>
    </row>
    <row r="73" spans="1:47" ht="15.6" x14ac:dyDescent="0.3">
      <c r="A73" s="70">
        <v>69</v>
      </c>
      <c r="B73" s="74" t="s">
        <v>1405</v>
      </c>
      <c r="C73" s="74">
        <v>0</v>
      </c>
      <c r="D73" s="74">
        <v>0</v>
      </c>
      <c r="E73" s="74">
        <v>0</v>
      </c>
      <c r="F73" s="74">
        <v>0</v>
      </c>
      <c r="G73" s="74">
        <v>0</v>
      </c>
      <c r="H73" s="147"/>
      <c r="I73" s="71">
        <v>0</v>
      </c>
      <c r="J73" s="71">
        <v>0</v>
      </c>
      <c r="K73" s="71">
        <v>0</v>
      </c>
      <c r="L73" s="71">
        <v>0</v>
      </c>
      <c r="M73" s="71">
        <v>0</v>
      </c>
      <c r="N73" s="71">
        <v>0</v>
      </c>
      <c r="O73" s="71">
        <v>0</v>
      </c>
      <c r="Q73" s="12"/>
      <c r="R73" s="12"/>
      <c r="S73" s="12"/>
      <c r="T73" s="12"/>
      <c r="U73" s="12"/>
      <c r="V73" s="12"/>
      <c r="W73" s="12"/>
      <c r="X73" s="72"/>
      <c r="Y73" s="73">
        <v>69</v>
      </c>
      <c r="Z73" s="199" t="s">
        <v>1405</v>
      </c>
      <c r="AA73" s="199">
        <v>0</v>
      </c>
      <c r="AB73" s="199" t="e">
        <v>#N/A</v>
      </c>
      <c r="AC73" s="199" t="e">
        <v>#N/A</v>
      </c>
      <c r="AD73" s="199">
        <v>0</v>
      </c>
      <c r="AE73" s="199">
        <v>0</v>
      </c>
      <c r="AF73" s="199">
        <v>0</v>
      </c>
      <c r="AI73" s="12">
        <v>69</v>
      </c>
      <c r="AJ73" s="78" t="s">
        <v>558</v>
      </c>
      <c r="AK73" s="78" t="s">
        <v>1294</v>
      </c>
      <c r="AL73" s="78" t="s">
        <v>1204</v>
      </c>
      <c r="AM73" s="78" t="s">
        <v>1208</v>
      </c>
      <c r="AN73" s="78">
        <v>123</v>
      </c>
      <c r="AO73" s="78" t="s">
        <v>43</v>
      </c>
      <c r="AP73" s="78">
        <v>0</v>
      </c>
      <c r="AQ73" s="78">
        <v>80</v>
      </c>
      <c r="AR73" s="233" t="s">
        <v>1619</v>
      </c>
      <c r="AS73" s="236"/>
      <c r="AT73" s="234">
        <v>6.61</v>
      </c>
      <c r="AU73" s="234">
        <v>0.18</v>
      </c>
    </row>
    <row r="74" spans="1:47" ht="15.6" x14ac:dyDescent="0.3">
      <c r="A74" s="70">
        <v>70</v>
      </c>
      <c r="B74" s="74" t="s">
        <v>1406</v>
      </c>
      <c r="C74" s="74">
        <v>0</v>
      </c>
      <c r="D74" s="74">
        <v>0</v>
      </c>
      <c r="E74" s="74">
        <v>0</v>
      </c>
      <c r="F74" s="74">
        <v>0</v>
      </c>
      <c r="G74" s="74">
        <v>0</v>
      </c>
      <c r="H74" s="147"/>
      <c r="I74" s="71">
        <v>0</v>
      </c>
      <c r="J74" s="71">
        <v>0</v>
      </c>
      <c r="K74" s="71">
        <v>0</v>
      </c>
      <c r="L74" s="71">
        <v>0</v>
      </c>
      <c r="M74" s="71">
        <v>0</v>
      </c>
      <c r="N74" s="71">
        <v>0</v>
      </c>
      <c r="O74" s="71">
        <v>0</v>
      </c>
      <c r="Q74" s="12"/>
      <c r="R74" s="12"/>
      <c r="S74" s="12"/>
      <c r="T74" s="12"/>
      <c r="U74" s="12"/>
      <c r="V74" s="12"/>
      <c r="W74" s="12"/>
      <c r="X74" s="72"/>
      <c r="Y74" s="73">
        <v>70</v>
      </c>
      <c r="Z74" s="199" t="s">
        <v>1406</v>
      </c>
      <c r="AA74" s="199">
        <v>0</v>
      </c>
      <c r="AB74" s="199" t="e">
        <v>#N/A</v>
      </c>
      <c r="AC74" s="199" t="e">
        <v>#N/A</v>
      </c>
      <c r="AD74" s="199">
        <v>0</v>
      </c>
      <c r="AE74" s="199">
        <v>0</v>
      </c>
      <c r="AF74" s="199">
        <v>0</v>
      </c>
      <c r="AI74" s="12">
        <v>70</v>
      </c>
      <c r="AJ74" s="78" t="s">
        <v>557</v>
      </c>
      <c r="AK74" s="78" t="s">
        <v>1296</v>
      </c>
      <c r="AL74" s="78" t="s">
        <v>1204</v>
      </c>
      <c r="AM74" s="78" t="s">
        <v>1208</v>
      </c>
      <c r="AN74" s="78">
        <v>182</v>
      </c>
      <c r="AO74" s="78" t="s">
        <v>43</v>
      </c>
      <c r="AP74" s="78">
        <v>0</v>
      </c>
      <c r="AQ74" s="78">
        <v>80</v>
      </c>
      <c r="AR74" s="233" t="s">
        <v>1619</v>
      </c>
      <c r="AS74" s="236"/>
      <c r="AT74" s="234">
        <v>2</v>
      </c>
      <c r="AU74" s="234">
        <v>0.18</v>
      </c>
    </row>
    <row r="75" spans="1:47" ht="15.6" x14ac:dyDescent="0.3">
      <c r="A75" s="70">
        <v>71</v>
      </c>
      <c r="B75" s="74" t="s">
        <v>1407</v>
      </c>
      <c r="C75" s="74">
        <v>0</v>
      </c>
      <c r="D75" s="74">
        <v>0</v>
      </c>
      <c r="E75" s="74">
        <v>0</v>
      </c>
      <c r="F75" s="74">
        <v>0</v>
      </c>
      <c r="G75" s="74">
        <v>0</v>
      </c>
      <c r="H75" s="147"/>
      <c r="I75" s="71">
        <v>0</v>
      </c>
      <c r="J75" s="71">
        <v>0</v>
      </c>
      <c r="K75" s="71">
        <v>0</v>
      </c>
      <c r="L75" s="71">
        <v>0</v>
      </c>
      <c r="M75" s="71">
        <v>0</v>
      </c>
      <c r="N75" s="71">
        <v>0</v>
      </c>
      <c r="O75" s="71">
        <v>0</v>
      </c>
      <c r="Q75" s="12"/>
      <c r="R75" s="12"/>
      <c r="S75" s="12"/>
      <c r="T75" s="12"/>
      <c r="U75" s="12"/>
      <c r="V75" s="12"/>
      <c r="W75" s="12"/>
      <c r="X75" s="72"/>
      <c r="Y75" s="73">
        <v>71</v>
      </c>
      <c r="Z75" s="199" t="s">
        <v>1407</v>
      </c>
      <c r="AA75" s="199">
        <v>0</v>
      </c>
      <c r="AB75" s="199" t="e">
        <v>#N/A</v>
      </c>
      <c r="AC75" s="199" t="e">
        <v>#N/A</v>
      </c>
      <c r="AD75" s="199">
        <v>0</v>
      </c>
      <c r="AE75" s="199">
        <v>0</v>
      </c>
      <c r="AF75" s="199">
        <v>0</v>
      </c>
      <c r="AI75" s="12">
        <v>71</v>
      </c>
      <c r="AJ75" s="78" t="s">
        <v>565</v>
      </c>
      <c r="AK75" s="78" t="s">
        <v>1295</v>
      </c>
      <c r="AL75" s="78" t="s">
        <v>1204</v>
      </c>
      <c r="AM75" s="78" t="s">
        <v>1208</v>
      </c>
      <c r="AN75" s="78">
        <v>34</v>
      </c>
      <c r="AO75" s="78" t="s">
        <v>43</v>
      </c>
      <c r="AP75" s="78">
        <v>0</v>
      </c>
      <c r="AQ75" s="78">
        <v>80</v>
      </c>
      <c r="AR75" s="233" t="s">
        <v>1619</v>
      </c>
      <c r="AS75" s="236"/>
      <c r="AT75" s="234">
        <v>6.61</v>
      </c>
      <c r="AU75" s="234">
        <v>0.18</v>
      </c>
    </row>
    <row r="76" spans="1:47" ht="15.6" x14ac:dyDescent="0.3">
      <c r="A76" s="70">
        <v>72</v>
      </c>
      <c r="B76" s="74" t="s">
        <v>1408</v>
      </c>
      <c r="C76" s="74">
        <v>0</v>
      </c>
      <c r="D76" s="74">
        <v>0</v>
      </c>
      <c r="E76" s="74">
        <v>0</v>
      </c>
      <c r="F76" s="74">
        <v>0</v>
      </c>
      <c r="G76" s="74">
        <v>0</v>
      </c>
      <c r="H76" s="147"/>
      <c r="I76" s="71">
        <v>0</v>
      </c>
      <c r="J76" s="71">
        <v>0</v>
      </c>
      <c r="K76" s="71">
        <v>0</v>
      </c>
      <c r="L76" s="71">
        <v>0</v>
      </c>
      <c r="M76" s="71">
        <v>0</v>
      </c>
      <c r="N76" s="71">
        <v>0</v>
      </c>
      <c r="O76" s="71">
        <v>0</v>
      </c>
      <c r="Q76" s="12"/>
      <c r="R76" s="12"/>
      <c r="S76" s="12"/>
      <c r="T76" s="12"/>
      <c r="U76" s="12"/>
      <c r="V76" s="12"/>
      <c r="W76" s="12"/>
      <c r="X76" s="72"/>
      <c r="Y76" s="73">
        <v>72</v>
      </c>
      <c r="Z76" s="199" t="s">
        <v>1408</v>
      </c>
      <c r="AA76" s="199">
        <v>0</v>
      </c>
      <c r="AB76" s="199" t="e">
        <v>#N/A</v>
      </c>
      <c r="AC76" s="199" t="e">
        <v>#N/A</v>
      </c>
      <c r="AD76" s="199">
        <v>0</v>
      </c>
      <c r="AE76" s="199">
        <v>0</v>
      </c>
      <c r="AF76" s="199">
        <v>0</v>
      </c>
      <c r="AI76" s="12">
        <v>72</v>
      </c>
      <c r="AJ76" s="78" t="s">
        <v>562</v>
      </c>
      <c r="AK76" s="78" t="s">
        <v>1297</v>
      </c>
      <c r="AL76" s="78" t="s">
        <v>1204</v>
      </c>
      <c r="AM76" s="78" t="s">
        <v>1208</v>
      </c>
      <c r="AN76" s="78">
        <v>300</v>
      </c>
      <c r="AO76" s="78" t="s">
        <v>43</v>
      </c>
      <c r="AP76" s="78">
        <v>0</v>
      </c>
      <c r="AQ76" s="78">
        <v>80</v>
      </c>
      <c r="AR76" s="233" t="s">
        <v>1619</v>
      </c>
      <c r="AS76" s="236"/>
      <c r="AT76" s="234">
        <v>13.9</v>
      </c>
      <c r="AU76" s="234">
        <v>0.18</v>
      </c>
    </row>
    <row r="77" spans="1:47" ht="15.6" x14ac:dyDescent="0.3">
      <c r="A77" s="70">
        <v>73</v>
      </c>
      <c r="B77" s="74" t="s">
        <v>1409</v>
      </c>
      <c r="C77" s="74">
        <v>0</v>
      </c>
      <c r="D77" s="74">
        <v>0</v>
      </c>
      <c r="E77" s="74">
        <v>0</v>
      </c>
      <c r="F77" s="74">
        <v>0</v>
      </c>
      <c r="G77" s="74">
        <v>0</v>
      </c>
      <c r="H77" s="147"/>
      <c r="I77" s="71">
        <v>0</v>
      </c>
      <c r="J77" s="71">
        <v>0</v>
      </c>
      <c r="K77" s="71">
        <v>0</v>
      </c>
      <c r="L77" s="71">
        <v>0</v>
      </c>
      <c r="M77" s="71">
        <v>0</v>
      </c>
      <c r="N77" s="71">
        <v>0</v>
      </c>
      <c r="O77" s="71">
        <v>0</v>
      </c>
      <c r="Q77" s="12"/>
      <c r="R77" s="12"/>
      <c r="S77" s="12"/>
      <c r="T77" s="12"/>
      <c r="U77" s="12"/>
      <c r="V77" s="12"/>
      <c r="W77" s="12"/>
      <c r="X77" s="72"/>
      <c r="Y77" s="73">
        <v>73</v>
      </c>
      <c r="Z77" s="199" t="s">
        <v>1409</v>
      </c>
      <c r="AA77" s="199">
        <v>0</v>
      </c>
      <c r="AB77" s="199" t="e">
        <v>#N/A</v>
      </c>
      <c r="AC77" s="199" t="e">
        <v>#N/A</v>
      </c>
      <c r="AD77" s="199">
        <v>0</v>
      </c>
      <c r="AE77" s="199">
        <v>0</v>
      </c>
      <c r="AF77" s="199">
        <v>0</v>
      </c>
      <c r="AI77" s="12">
        <v>73</v>
      </c>
      <c r="AJ77" s="78" t="s">
        <v>563</v>
      </c>
      <c r="AK77" s="78" t="s">
        <v>1297</v>
      </c>
      <c r="AL77" s="78" t="s">
        <v>1204</v>
      </c>
      <c r="AM77" s="78" t="s">
        <v>1208</v>
      </c>
      <c r="AN77" s="78">
        <v>300</v>
      </c>
      <c r="AO77" s="78" t="s">
        <v>43</v>
      </c>
      <c r="AP77" s="78">
        <v>0</v>
      </c>
      <c r="AQ77" s="78">
        <v>80</v>
      </c>
      <c r="AR77" s="233" t="s">
        <v>1619</v>
      </c>
      <c r="AS77" s="236"/>
      <c r="AT77" s="234">
        <v>17</v>
      </c>
      <c r="AU77" s="234">
        <v>0.18</v>
      </c>
    </row>
    <row r="78" spans="1:47" ht="15.6" x14ac:dyDescent="0.3">
      <c r="A78" s="70">
        <v>74</v>
      </c>
      <c r="B78" s="74" t="s">
        <v>1410</v>
      </c>
      <c r="C78" s="74">
        <v>0</v>
      </c>
      <c r="D78" s="74">
        <v>0</v>
      </c>
      <c r="E78" s="74">
        <v>0</v>
      </c>
      <c r="F78" s="74">
        <v>0</v>
      </c>
      <c r="G78" s="74">
        <v>0</v>
      </c>
      <c r="H78" s="147"/>
      <c r="I78" s="71">
        <v>0</v>
      </c>
      <c r="J78" s="71">
        <v>0</v>
      </c>
      <c r="K78" s="71">
        <v>0</v>
      </c>
      <c r="L78" s="71">
        <v>0</v>
      </c>
      <c r="M78" s="71">
        <v>0</v>
      </c>
      <c r="N78" s="71">
        <v>0</v>
      </c>
      <c r="O78" s="71">
        <v>0</v>
      </c>
      <c r="Q78" s="12"/>
      <c r="R78" s="12"/>
      <c r="S78" s="12"/>
      <c r="T78" s="12"/>
      <c r="U78" s="12"/>
      <c r="V78" s="12"/>
      <c r="W78" s="12"/>
      <c r="X78" s="72"/>
      <c r="Y78" s="73">
        <v>74</v>
      </c>
      <c r="Z78" s="199" t="s">
        <v>1410</v>
      </c>
      <c r="AA78" s="199">
        <v>0</v>
      </c>
      <c r="AB78" s="199" t="e">
        <v>#N/A</v>
      </c>
      <c r="AC78" s="199" t="e">
        <v>#N/A</v>
      </c>
      <c r="AD78" s="199">
        <v>0</v>
      </c>
      <c r="AE78" s="199">
        <v>0</v>
      </c>
      <c r="AF78" s="199">
        <v>0</v>
      </c>
      <c r="AI78" s="12">
        <v>74</v>
      </c>
      <c r="AJ78" s="78" t="s">
        <v>560</v>
      </c>
      <c r="AK78" s="78" t="s">
        <v>1294</v>
      </c>
      <c r="AL78" s="78" t="s">
        <v>1204</v>
      </c>
      <c r="AM78" s="78" t="s">
        <v>1208</v>
      </c>
      <c r="AN78" s="78">
        <v>123</v>
      </c>
      <c r="AO78" s="78" t="s">
        <v>43</v>
      </c>
      <c r="AP78" s="78">
        <v>0</v>
      </c>
      <c r="AQ78" s="78">
        <v>80</v>
      </c>
      <c r="AR78" s="233" t="s">
        <v>1619</v>
      </c>
      <c r="AS78" s="236"/>
      <c r="AT78" s="234">
        <v>6.61</v>
      </c>
      <c r="AU78" s="234">
        <v>0.18</v>
      </c>
    </row>
    <row r="79" spans="1:47" ht="15.6" x14ac:dyDescent="0.3">
      <c r="A79" s="70">
        <v>75</v>
      </c>
      <c r="B79" s="74" t="s">
        <v>1411</v>
      </c>
      <c r="C79" s="74">
        <v>0</v>
      </c>
      <c r="D79" s="74">
        <v>0</v>
      </c>
      <c r="E79" s="74">
        <v>0</v>
      </c>
      <c r="F79" s="74">
        <v>0</v>
      </c>
      <c r="G79" s="74">
        <v>0</v>
      </c>
      <c r="H79" s="147"/>
      <c r="I79" s="71">
        <v>0</v>
      </c>
      <c r="J79" s="71">
        <v>0</v>
      </c>
      <c r="K79" s="71">
        <v>0</v>
      </c>
      <c r="L79" s="71">
        <v>0</v>
      </c>
      <c r="M79" s="71">
        <v>0</v>
      </c>
      <c r="N79" s="71">
        <v>0</v>
      </c>
      <c r="O79" s="71">
        <v>0</v>
      </c>
      <c r="Q79" s="12"/>
      <c r="R79" s="12"/>
      <c r="S79" s="12"/>
      <c r="T79" s="12"/>
      <c r="U79" s="12"/>
      <c r="V79" s="12"/>
      <c r="W79" s="12"/>
      <c r="X79" s="72"/>
      <c r="Y79" s="73">
        <v>75</v>
      </c>
      <c r="Z79" s="199" t="s">
        <v>1411</v>
      </c>
      <c r="AA79" s="199">
        <v>0</v>
      </c>
      <c r="AB79" s="199" t="e">
        <v>#N/A</v>
      </c>
      <c r="AC79" s="199" t="e">
        <v>#N/A</v>
      </c>
      <c r="AD79" s="199">
        <v>0</v>
      </c>
      <c r="AE79" s="199">
        <v>0</v>
      </c>
      <c r="AF79" s="199">
        <v>0</v>
      </c>
      <c r="AI79" s="12">
        <v>75</v>
      </c>
      <c r="AJ79" s="78" t="s">
        <v>566</v>
      </c>
      <c r="AK79" s="78" t="s">
        <v>1294</v>
      </c>
      <c r="AL79" s="78" t="s">
        <v>1204</v>
      </c>
      <c r="AM79" s="78" t="s">
        <v>1208</v>
      </c>
      <c r="AN79" s="78">
        <v>110</v>
      </c>
      <c r="AO79" s="78" t="s">
        <v>43</v>
      </c>
      <c r="AP79" s="78">
        <v>0</v>
      </c>
      <c r="AQ79" s="78">
        <v>80</v>
      </c>
      <c r="AR79" s="233" t="s">
        <v>1619</v>
      </c>
      <c r="AS79" s="236"/>
      <c r="AT79" s="234">
        <v>6.61</v>
      </c>
      <c r="AU79" s="234">
        <v>0.18</v>
      </c>
    </row>
    <row r="80" spans="1:47" ht="15.6" x14ac:dyDescent="0.3">
      <c r="A80" s="70">
        <v>76</v>
      </c>
      <c r="B80" s="74" t="s">
        <v>1412</v>
      </c>
      <c r="C80" s="74">
        <v>0</v>
      </c>
      <c r="D80" s="74">
        <v>0</v>
      </c>
      <c r="E80" s="74">
        <v>0</v>
      </c>
      <c r="F80" s="74">
        <v>0</v>
      </c>
      <c r="G80" s="74">
        <v>0</v>
      </c>
      <c r="H80" s="147"/>
      <c r="I80" s="71">
        <v>0</v>
      </c>
      <c r="J80" s="71">
        <v>0</v>
      </c>
      <c r="K80" s="71">
        <v>0</v>
      </c>
      <c r="L80" s="71">
        <v>0</v>
      </c>
      <c r="M80" s="71">
        <v>0</v>
      </c>
      <c r="N80" s="71">
        <v>0</v>
      </c>
      <c r="O80" s="71">
        <v>0</v>
      </c>
      <c r="Q80" s="12"/>
      <c r="R80" s="12"/>
      <c r="S80" s="12"/>
      <c r="T80" s="12"/>
      <c r="U80" s="12"/>
      <c r="V80" s="12"/>
      <c r="W80" s="12"/>
      <c r="X80" s="72"/>
      <c r="Y80" s="73">
        <v>76</v>
      </c>
      <c r="Z80" s="199" t="s">
        <v>1412</v>
      </c>
      <c r="AA80" s="199">
        <v>0</v>
      </c>
      <c r="AB80" s="199" t="e">
        <v>#N/A</v>
      </c>
      <c r="AC80" s="199" t="e">
        <v>#N/A</v>
      </c>
      <c r="AD80" s="199">
        <v>0</v>
      </c>
      <c r="AE80" s="199">
        <v>0</v>
      </c>
      <c r="AF80" s="199">
        <v>0</v>
      </c>
      <c r="AI80" s="12">
        <v>76</v>
      </c>
      <c r="AJ80" s="78" t="s">
        <v>570</v>
      </c>
      <c r="AK80" s="78" t="s">
        <v>1298</v>
      </c>
      <c r="AL80" s="78" t="s">
        <v>1217</v>
      </c>
      <c r="AM80" s="78" t="s">
        <v>1208</v>
      </c>
      <c r="AN80" s="78">
        <v>100</v>
      </c>
      <c r="AO80" s="78" t="s">
        <v>43</v>
      </c>
      <c r="AP80" s="78" t="s">
        <v>1624</v>
      </c>
      <c r="AQ80" s="78">
        <v>80</v>
      </c>
      <c r="AR80" s="233" t="s">
        <v>1621</v>
      </c>
      <c r="AS80" s="236"/>
      <c r="AT80" s="234">
        <v>1</v>
      </c>
      <c r="AU80" s="234">
        <v>0.18</v>
      </c>
    </row>
    <row r="81" spans="1:47" ht="15.6" x14ac:dyDescent="0.3">
      <c r="A81" s="70">
        <v>77</v>
      </c>
      <c r="B81" s="74" t="s">
        <v>1413</v>
      </c>
      <c r="C81" s="74">
        <v>0</v>
      </c>
      <c r="D81" s="74">
        <v>0</v>
      </c>
      <c r="E81" s="74">
        <v>0</v>
      </c>
      <c r="F81" s="74">
        <v>0</v>
      </c>
      <c r="G81" s="74">
        <v>0</v>
      </c>
      <c r="H81" s="147"/>
      <c r="I81" s="71">
        <v>0</v>
      </c>
      <c r="J81" s="71">
        <v>0</v>
      </c>
      <c r="K81" s="71">
        <v>0</v>
      </c>
      <c r="L81" s="71">
        <v>0</v>
      </c>
      <c r="M81" s="71">
        <v>0</v>
      </c>
      <c r="N81" s="71">
        <v>0</v>
      </c>
      <c r="O81" s="71">
        <v>0</v>
      </c>
      <c r="Q81" s="12"/>
      <c r="R81" s="12"/>
      <c r="S81" s="12"/>
      <c r="T81" s="12"/>
      <c r="U81" s="12"/>
      <c r="V81" s="12"/>
      <c r="W81" s="12"/>
      <c r="X81" s="72"/>
      <c r="Y81" s="73">
        <v>77</v>
      </c>
      <c r="Z81" s="199" t="s">
        <v>1413</v>
      </c>
      <c r="AA81" s="199">
        <v>0</v>
      </c>
      <c r="AB81" s="199" t="e">
        <v>#N/A</v>
      </c>
      <c r="AC81" s="199" t="e">
        <v>#N/A</v>
      </c>
      <c r="AD81" s="199">
        <v>0</v>
      </c>
      <c r="AE81" s="199">
        <v>0</v>
      </c>
      <c r="AF81" s="199">
        <v>0</v>
      </c>
      <c r="AI81" s="12">
        <v>77</v>
      </c>
      <c r="AJ81" s="78" t="s">
        <v>559</v>
      </c>
      <c r="AK81" s="78" t="s">
        <v>1294</v>
      </c>
      <c r="AL81" s="78" t="s">
        <v>1204</v>
      </c>
      <c r="AM81" s="78" t="s">
        <v>1208</v>
      </c>
      <c r="AN81" s="78">
        <v>123</v>
      </c>
      <c r="AO81" s="78" t="s">
        <v>43</v>
      </c>
      <c r="AP81" s="78">
        <v>0</v>
      </c>
      <c r="AQ81" s="78">
        <v>80</v>
      </c>
      <c r="AR81" s="233" t="s">
        <v>1619</v>
      </c>
      <c r="AS81" s="236"/>
      <c r="AT81" s="234">
        <v>6.61</v>
      </c>
      <c r="AU81" s="234">
        <v>0.18</v>
      </c>
    </row>
    <row r="82" spans="1:47" ht="15.6" x14ac:dyDescent="0.3">
      <c r="A82" s="70">
        <v>78</v>
      </c>
      <c r="B82" s="74" t="s">
        <v>1414</v>
      </c>
      <c r="C82" s="74">
        <v>0</v>
      </c>
      <c r="D82" s="74">
        <v>0</v>
      </c>
      <c r="E82" s="74">
        <v>0</v>
      </c>
      <c r="F82" s="74">
        <v>0</v>
      </c>
      <c r="G82" s="74">
        <v>0</v>
      </c>
      <c r="H82" s="147"/>
      <c r="I82" s="71">
        <v>0</v>
      </c>
      <c r="J82" s="71">
        <v>0</v>
      </c>
      <c r="K82" s="71">
        <v>0</v>
      </c>
      <c r="L82" s="71">
        <v>0</v>
      </c>
      <c r="M82" s="71">
        <v>0</v>
      </c>
      <c r="N82" s="71">
        <v>0</v>
      </c>
      <c r="O82" s="71">
        <v>0</v>
      </c>
      <c r="Q82" s="12"/>
      <c r="R82" s="12"/>
      <c r="S82" s="12"/>
      <c r="T82" s="12"/>
      <c r="U82" s="12"/>
      <c r="V82" s="12"/>
      <c r="W82" s="12"/>
      <c r="X82" s="72"/>
      <c r="Y82" s="73">
        <v>78</v>
      </c>
      <c r="Z82" s="199" t="s">
        <v>1414</v>
      </c>
      <c r="AA82" s="199">
        <v>0</v>
      </c>
      <c r="AB82" s="199" t="e">
        <v>#N/A</v>
      </c>
      <c r="AC82" s="199" t="e">
        <v>#N/A</v>
      </c>
      <c r="AD82" s="199">
        <v>0</v>
      </c>
      <c r="AE82" s="199">
        <v>0</v>
      </c>
      <c r="AF82" s="199">
        <v>0</v>
      </c>
      <c r="AI82" s="12">
        <v>78</v>
      </c>
      <c r="AJ82" s="78" t="s">
        <v>561</v>
      </c>
      <c r="AK82" s="78" t="s">
        <v>1294</v>
      </c>
      <c r="AL82" s="78" t="s">
        <v>1204</v>
      </c>
      <c r="AM82" s="78" t="s">
        <v>1208</v>
      </c>
      <c r="AN82" s="78">
        <v>123</v>
      </c>
      <c r="AO82" s="78" t="s">
        <v>43</v>
      </c>
      <c r="AP82" s="78">
        <v>0</v>
      </c>
      <c r="AQ82" s="78">
        <v>80</v>
      </c>
      <c r="AR82" s="233" t="s">
        <v>1619</v>
      </c>
      <c r="AS82" s="236"/>
      <c r="AT82" s="234">
        <v>6.61</v>
      </c>
      <c r="AU82" s="234">
        <v>0.18</v>
      </c>
    </row>
    <row r="83" spans="1:47" ht="15.6" x14ac:dyDescent="0.3">
      <c r="A83" s="70">
        <v>79</v>
      </c>
      <c r="B83" s="74" t="s">
        <v>1415</v>
      </c>
      <c r="C83" s="74">
        <v>0</v>
      </c>
      <c r="D83" s="74">
        <v>0</v>
      </c>
      <c r="E83" s="74">
        <v>0</v>
      </c>
      <c r="F83" s="74">
        <v>0</v>
      </c>
      <c r="G83" s="74">
        <v>0</v>
      </c>
      <c r="H83" s="147"/>
      <c r="I83" s="71">
        <v>0</v>
      </c>
      <c r="J83" s="71">
        <v>0</v>
      </c>
      <c r="K83" s="71">
        <v>0</v>
      </c>
      <c r="L83" s="71">
        <v>0</v>
      </c>
      <c r="M83" s="71">
        <v>0</v>
      </c>
      <c r="N83" s="71">
        <v>0</v>
      </c>
      <c r="O83" s="71">
        <v>0</v>
      </c>
      <c r="Q83" s="12"/>
      <c r="R83" s="12"/>
      <c r="S83" s="12"/>
      <c r="T83" s="12"/>
      <c r="U83" s="12"/>
      <c r="V83" s="12"/>
      <c r="W83" s="12"/>
      <c r="X83" s="72"/>
      <c r="Y83" s="73">
        <v>79</v>
      </c>
      <c r="Z83" s="199" t="s">
        <v>1415</v>
      </c>
      <c r="AA83" s="199">
        <v>0</v>
      </c>
      <c r="AB83" s="199" t="e">
        <v>#N/A</v>
      </c>
      <c r="AC83" s="199" t="e">
        <v>#N/A</v>
      </c>
      <c r="AD83" s="199">
        <v>0</v>
      </c>
      <c r="AE83" s="199">
        <v>0</v>
      </c>
      <c r="AF83" s="199">
        <v>0</v>
      </c>
      <c r="AI83" s="12">
        <v>79</v>
      </c>
      <c r="AJ83" s="78" t="s">
        <v>567</v>
      </c>
      <c r="AK83" s="78" t="s">
        <v>1294</v>
      </c>
      <c r="AL83" s="78" t="s">
        <v>1204</v>
      </c>
      <c r="AM83" s="78" t="s">
        <v>1208</v>
      </c>
      <c r="AN83" s="78">
        <v>110</v>
      </c>
      <c r="AO83" s="78" t="s">
        <v>43</v>
      </c>
      <c r="AP83" s="78">
        <v>0</v>
      </c>
      <c r="AQ83" s="78">
        <v>80</v>
      </c>
      <c r="AR83" s="233" t="s">
        <v>1619</v>
      </c>
      <c r="AS83" s="236"/>
      <c r="AT83" s="234">
        <v>6.61</v>
      </c>
      <c r="AU83" s="234">
        <v>0.18</v>
      </c>
    </row>
    <row r="84" spans="1:47" ht="15.6" x14ac:dyDescent="0.3">
      <c r="A84" s="70">
        <v>80</v>
      </c>
      <c r="B84" s="74" t="s">
        <v>1416</v>
      </c>
      <c r="C84" s="74">
        <v>0</v>
      </c>
      <c r="D84" s="74">
        <v>0</v>
      </c>
      <c r="E84" s="74">
        <v>0</v>
      </c>
      <c r="F84" s="74">
        <v>0</v>
      </c>
      <c r="G84" s="74">
        <v>0</v>
      </c>
      <c r="H84" s="147"/>
      <c r="I84" s="71">
        <v>0</v>
      </c>
      <c r="J84" s="71">
        <v>0</v>
      </c>
      <c r="K84" s="71">
        <v>0</v>
      </c>
      <c r="L84" s="71">
        <v>0</v>
      </c>
      <c r="M84" s="71">
        <v>0</v>
      </c>
      <c r="N84" s="71">
        <v>0</v>
      </c>
      <c r="O84" s="71">
        <v>0</v>
      </c>
      <c r="Q84" s="12"/>
      <c r="R84" s="12"/>
      <c r="S84" s="12"/>
      <c r="T84" s="12"/>
      <c r="U84" s="12"/>
      <c r="V84" s="12"/>
      <c r="W84" s="12"/>
      <c r="X84" s="72"/>
      <c r="Y84" s="73">
        <v>80</v>
      </c>
      <c r="Z84" s="199" t="s">
        <v>1416</v>
      </c>
      <c r="AA84" s="199">
        <v>0</v>
      </c>
      <c r="AB84" s="199" t="e">
        <v>#N/A</v>
      </c>
      <c r="AC84" s="199" t="e">
        <v>#N/A</v>
      </c>
      <c r="AD84" s="199">
        <v>0</v>
      </c>
      <c r="AE84" s="199">
        <v>0</v>
      </c>
      <c r="AF84" s="199">
        <v>0</v>
      </c>
      <c r="AI84" s="12">
        <v>80</v>
      </c>
      <c r="AJ84" s="78" t="s">
        <v>568</v>
      </c>
      <c r="AK84" s="78" t="s">
        <v>1294</v>
      </c>
      <c r="AL84" s="78" t="s">
        <v>1204</v>
      </c>
      <c r="AM84" s="78" t="s">
        <v>1208</v>
      </c>
      <c r="AN84" s="78">
        <v>110</v>
      </c>
      <c r="AO84" s="78" t="s">
        <v>43</v>
      </c>
      <c r="AP84" s="78">
        <v>0</v>
      </c>
      <c r="AQ84" s="78">
        <v>80</v>
      </c>
      <c r="AR84" s="233" t="s">
        <v>1619</v>
      </c>
      <c r="AS84" s="236"/>
      <c r="AT84" s="234">
        <v>6.61</v>
      </c>
      <c r="AU84" s="234">
        <v>0.18</v>
      </c>
    </row>
    <row r="85" spans="1:47" ht="15.6" x14ac:dyDescent="0.3">
      <c r="A85" s="70">
        <v>81</v>
      </c>
      <c r="B85" s="74" t="s">
        <v>1417</v>
      </c>
      <c r="C85" s="74">
        <v>0</v>
      </c>
      <c r="D85" s="74">
        <v>0</v>
      </c>
      <c r="E85" s="74">
        <v>0</v>
      </c>
      <c r="F85" s="74">
        <v>0</v>
      </c>
      <c r="G85" s="74">
        <v>0</v>
      </c>
      <c r="H85" s="147"/>
      <c r="I85" s="71">
        <v>0</v>
      </c>
      <c r="J85" s="71">
        <v>0</v>
      </c>
      <c r="K85" s="71">
        <v>0</v>
      </c>
      <c r="L85" s="71">
        <v>0</v>
      </c>
      <c r="M85" s="71">
        <v>0</v>
      </c>
      <c r="N85" s="71">
        <v>0</v>
      </c>
      <c r="O85" s="71">
        <v>0</v>
      </c>
      <c r="Q85" s="12"/>
      <c r="R85" s="12"/>
      <c r="S85" s="12"/>
      <c r="T85" s="12"/>
      <c r="U85" s="12"/>
      <c r="V85" s="12"/>
      <c r="W85" s="12"/>
      <c r="X85" s="72"/>
      <c r="Y85" s="73">
        <v>81</v>
      </c>
      <c r="Z85" s="199" t="s">
        <v>1417</v>
      </c>
      <c r="AA85" s="199">
        <v>0</v>
      </c>
      <c r="AB85" s="199" t="e">
        <v>#N/A</v>
      </c>
      <c r="AC85" s="199" t="e">
        <v>#N/A</v>
      </c>
      <c r="AD85" s="199">
        <v>0</v>
      </c>
      <c r="AE85" s="199">
        <v>0</v>
      </c>
      <c r="AF85" s="199">
        <v>0</v>
      </c>
      <c r="AI85" s="12">
        <v>81</v>
      </c>
      <c r="AJ85" s="78" t="s">
        <v>564</v>
      </c>
      <c r="AK85" s="78" t="s">
        <v>1294</v>
      </c>
      <c r="AL85" s="78" t="s">
        <v>1204</v>
      </c>
      <c r="AM85" s="78" t="s">
        <v>1208</v>
      </c>
      <c r="AN85" s="78">
        <v>100</v>
      </c>
      <c r="AO85" s="78" t="s">
        <v>43</v>
      </c>
      <c r="AP85" s="78">
        <v>0</v>
      </c>
      <c r="AQ85" s="78">
        <v>80</v>
      </c>
      <c r="AR85" s="233" t="s">
        <v>1621</v>
      </c>
      <c r="AS85" s="236"/>
      <c r="AT85" s="234">
        <v>6.61</v>
      </c>
      <c r="AU85" s="234">
        <v>0.18</v>
      </c>
    </row>
    <row r="86" spans="1:47" ht="15.6" x14ac:dyDescent="0.3">
      <c r="A86" s="70">
        <v>82</v>
      </c>
      <c r="B86" s="74" t="s">
        <v>1418</v>
      </c>
      <c r="C86" s="74">
        <v>0</v>
      </c>
      <c r="D86" s="74">
        <v>0</v>
      </c>
      <c r="E86" s="74">
        <v>0</v>
      </c>
      <c r="F86" s="74">
        <v>0</v>
      </c>
      <c r="G86" s="74">
        <v>0</v>
      </c>
      <c r="H86" s="147"/>
      <c r="I86" s="71">
        <v>0</v>
      </c>
      <c r="J86" s="71">
        <v>0</v>
      </c>
      <c r="K86" s="71">
        <v>0</v>
      </c>
      <c r="L86" s="71">
        <v>0</v>
      </c>
      <c r="M86" s="71">
        <v>0</v>
      </c>
      <c r="N86" s="71">
        <v>0</v>
      </c>
      <c r="O86" s="71">
        <v>0</v>
      </c>
      <c r="Q86" s="12"/>
      <c r="R86" s="12"/>
      <c r="S86" s="12"/>
      <c r="T86" s="12"/>
      <c r="U86" s="12"/>
      <c r="V86" s="12"/>
      <c r="W86" s="12"/>
      <c r="X86" s="72"/>
      <c r="Y86" s="73">
        <v>82</v>
      </c>
      <c r="Z86" s="199" t="s">
        <v>1418</v>
      </c>
      <c r="AA86" s="199">
        <v>0</v>
      </c>
      <c r="AB86" s="199" t="e">
        <v>#N/A</v>
      </c>
      <c r="AC86" s="199" t="e">
        <v>#N/A</v>
      </c>
      <c r="AD86" s="199">
        <v>0</v>
      </c>
      <c r="AE86" s="199">
        <v>0</v>
      </c>
      <c r="AF86" s="199">
        <v>0</v>
      </c>
      <c r="AI86" s="12">
        <v>82</v>
      </c>
      <c r="AJ86" s="78" t="s">
        <v>595</v>
      </c>
      <c r="AK86" s="78" t="s">
        <v>1254</v>
      </c>
      <c r="AL86" s="78" t="s">
        <v>1202</v>
      </c>
      <c r="AM86" s="78" t="s">
        <v>1208</v>
      </c>
      <c r="AN86" s="78">
        <v>128</v>
      </c>
      <c r="AO86" s="78" t="s">
        <v>43</v>
      </c>
      <c r="AP86" s="78">
        <v>0</v>
      </c>
      <c r="AQ86" s="78">
        <v>80</v>
      </c>
      <c r="AR86" s="233" t="s">
        <v>1619</v>
      </c>
      <c r="AS86" s="236"/>
      <c r="AT86" s="234">
        <v>6.61</v>
      </c>
      <c r="AU86" s="234">
        <v>0.18</v>
      </c>
    </row>
    <row r="87" spans="1:47" ht="15.6" x14ac:dyDescent="0.3">
      <c r="A87" s="70">
        <v>83</v>
      </c>
      <c r="B87" s="74" t="s">
        <v>1419</v>
      </c>
      <c r="C87" s="74">
        <v>0</v>
      </c>
      <c r="D87" s="74">
        <v>0</v>
      </c>
      <c r="E87" s="74">
        <v>0</v>
      </c>
      <c r="F87" s="74">
        <v>0</v>
      </c>
      <c r="G87" s="74">
        <v>0</v>
      </c>
      <c r="H87" s="147"/>
      <c r="I87" s="71">
        <v>0</v>
      </c>
      <c r="J87" s="71">
        <v>0</v>
      </c>
      <c r="K87" s="71">
        <v>0</v>
      </c>
      <c r="L87" s="71">
        <v>0</v>
      </c>
      <c r="M87" s="71">
        <v>0</v>
      </c>
      <c r="N87" s="71">
        <v>0</v>
      </c>
      <c r="O87" s="71">
        <v>0</v>
      </c>
      <c r="Q87" s="12"/>
      <c r="R87" s="12"/>
      <c r="S87" s="12"/>
      <c r="T87" s="12"/>
      <c r="U87" s="12"/>
      <c r="V87" s="12"/>
      <c r="W87" s="12"/>
      <c r="X87" s="72"/>
      <c r="Y87" s="73">
        <v>83</v>
      </c>
      <c r="Z87" s="199" t="s">
        <v>1419</v>
      </c>
      <c r="AA87" s="199">
        <v>0</v>
      </c>
      <c r="AB87" s="199" t="e">
        <v>#N/A</v>
      </c>
      <c r="AC87" s="199" t="e">
        <v>#N/A</v>
      </c>
      <c r="AD87" s="199">
        <v>0</v>
      </c>
      <c r="AE87" s="199">
        <v>0</v>
      </c>
      <c r="AF87" s="199">
        <v>0</v>
      </c>
      <c r="AI87" s="12">
        <v>83</v>
      </c>
      <c r="AJ87" s="78" t="s">
        <v>594</v>
      </c>
      <c r="AK87" s="78" t="s">
        <v>1256</v>
      </c>
      <c r="AL87" s="78" t="s">
        <v>1202</v>
      </c>
      <c r="AM87" s="78" t="s">
        <v>1208</v>
      </c>
      <c r="AN87" s="78">
        <v>206</v>
      </c>
      <c r="AO87" s="78" t="s">
        <v>43</v>
      </c>
      <c r="AP87" s="78">
        <v>0</v>
      </c>
      <c r="AQ87" s="78">
        <v>80</v>
      </c>
      <c r="AR87" s="233" t="s">
        <v>1619</v>
      </c>
      <c r="AS87" s="236"/>
      <c r="AT87" s="234">
        <v>2</v>
      </c>
      <c r="AU87" s="234">
        <v>0.18</v>
      </c>
    </row>
    <row r="88" spans="1:47" ht="15.6" x14ac:dyDescent="0.3">
      <c r="A88" s="70">
        <v>84</v>
      </c>
      <c r="B88" s="74" t="s">
        <v>1420</v>
      </c>
      <c r="C88" s="74">
        <v>0</v>
      </c>
      <c r="D88" s="74">
        <v>0</v>
      </c>
      <c r="E88" s="74">
        <v>0</v>
      </c>
      <c r="F88" s="74">
        <v>0</v>
      </c>
      <c r="G88" s="74">
        <v>0</v>
      </c>
      <c r="H88" s="147"/>
      <c r="I88" s="71">
        <v>0</v>
      </c>
      <c r="J88" s="71">
        <v>0</v>
      </c>
      <c r="K88" s="71">
        <v>0</v>
      </c>
      <c r="L88" s="71">
        <v>0</v>
      </c>
      <c r="M88" s="71">
        <v>0</v>
      </c>
      <c r="N88" s="71">
        <v>0</v>
      </c>
      <c r="O88" s="71">
        <v>0</v>
      </c>
      <c r="Q88" s="12"/>
      <c r="R88" s="12"/>
      <c r="S88" s="12"/>
      <c r="T88" s="12"/>
      <c r="U88" s="12"/>
      <c r="V88" s="12"/>
      <c r="W88" s="12"/>
      <c r="X88" s="72"/>
      <c r="Y88" s="73">
        <v>84</v>
      </c>
      <c r="Z88" s="199" t="s">
        <v>1420</v>
      </c>
      <c r="AA88" s="199">
        <v>0</v>
      </c>
      <c r="AB88" s="199" t="e">
        <v>#N/A</v>
      </c>
      <c r="AC88" s="199" t="e">
        <v>#N/A</v>
      </c>
      <c r="AD88" s="199">
        <v>0</v>
      </c>
      <c r="AE88" s="199">
        <v>0</v>
      </c>
      <c r="AF88" s="199">
        <v>0</v>
      </c>
      <c r="AI88" s="12">
        <v>84</v>
      </c>
      <c r="AJ88" s="78" t="s">
        <v>596</v>
      </c>
      <c r="AK88" s="78" t="s">
        <v>1255</v>
      </c>
      <c r="AL88" s="78" t="s">
        <v>1202</v>
      </c>
      <c r="AM88" s="78" t="s">
        <v>1208</v>
      </c>
      <c r="AN88" s="78">
        <v>31</v>
      </c>
      <c r="AO88" s="78" t="s">
        <v>43</v>
      </c>
      <c r="AP88" s="78">
        <v>0</v>
      </c>
      <c r="AQ88" s="78">
        <v>80</v>
      </c>
      <c r="AR88" s="233" t="s">
        <v>1619</v>
      </c>
      <c r="AS88" s="236"/>
      <c r="AT88" s="234">
        <v>6.61</v>
      </c>
      <c r="AU88" s="234">
        <v>0.18</v>
      </c>
    </row>
    <row r="89" spans="1:47" ht="15.6" x14ac:dyDescent="0.3">
      <c r="A89" s="70">
        <v>85</v>
      </c>
      <c r="B89" s="74" t="s">
        <v>1421</v>
      </c>
      <c r="C89" s="74">
        <v>0</v>
      </c>
      <c r="D89" s="74">
        <v>0</v>
      </c>
      <c r="E89" s="74">
        <v>0</v>
      </c>
      <c r="F89" s="74">
        <v>0</v>
      </c>
      <c r="G89" s="74">
        <v>0</v>
      </c>
      <c r="H89" s="147"/>
      <c r="I89" s="71">
        <v>0</v>
      </c>
      <c r="J89" s="71">
        <v>0</v>
      </c>
      <c r="K89" s="71">
        <v>0</v>
      </c>
      <c r="L89" s="71">
        <v>0</v>
      </c>
      <c r="M89" s="71">
        <v>0</v>
      </c>
      <c r="N89" s="71">
        <v>0</v>
      </c>
      <c r="O89" s="71">
        <v>0</v>
      </c>
      <c r="Q89" s="12"/>
      <c r="R89" s="12"/>
      <c r="S89" s="12"/>
      <c r="T89" s="12"/>
      <c r="U89" s="12"/>
      <c r="V89" s="12"/>
      <c r="W89" s="12"/>
      <c r="X89" s="72"/>
      <c r="Y89" s="73">
        <v>85</v>
      </c>
      <c r="Z89" s="199" t="s">
        <v>1421</v>
      </c>
      <c r="AA89" s="199">
        <v>0</v>
      </c>
      <c r="AB89" s="199" t="e">
        <v>#N/A</v>
      </c>
      <c r="AC89" s="199" t="e">
        <v>#N/A</v>
      </c>
      <c r="AD89" s="199">
        <v>0</v>
      </c>
      <c r="AE89" s="199">
        <v>0</v>
      </c>
      <c r="AF89" s="199">
        <v>0</v>
      </c>
      <c r="AI89" s="12">
        <v>85</v>
      </c>
      <c r="AJ89" s="78" t="s">
        <v>597</v>
      </c>
      <c r="AK89" s="78" t="s">
        <v>1257</v>
      </c>
      <c r="AL89" s="78" t="s">
        <v>1202</v>
      </c>
      <c r="AM89" s="78" t="s">
        <v>1208</v>
      </c>
      <c r="AN89" s="78">
        <v>300</v>
      </c>
      <c r="AO89" s="78" t="s">
        <v>43</v>
      </c>
      <c r="AP89" s="78">
        <v>0</v>
      </c>
      <c r="AQ89" s="78">
        <v>80</v>
      </c>
      <c r="AR89" s="233" t="s">
        <v>1619</v>
      </c>
      <c r="AS89" s="236"/>
      <c r="AT89" s="234">
        <v>12.4</v>
      </c>
      <c r="AU89" s="234">
        <v>0.18</v>
      </c>
    </row>
    <row r="90" spans="1:47" ht="15.6" x14ac:dyDescent="0.3">
      <c r="A90" s="70">
        <v>86</v>
      </c>
      <c r="B90" s="74" t="s">
        <v>1422</v>
      </c>
      <c r="C90" s="74">
        <v>0</v>
      </c>
      <c r="D90" s="74">
        <v>0</v>
      </c>
      <c r="E90" s="74">
        <v>0</v>
      </c>
      <c r="F90" s="74">
        <v>0</v>
      </c>
      <c r="G90" s="74">
        <v>0</v>
      </c>
      <c r="H90" s="147"/>
      <c r="I90" s="71">
        <v>0</v>
      </c>
      <c r="J90" s="71">
        <v>0</v>
      </c>
      <c r="K90" s="71">
        <v>0</v>
      </c>
      <c r="L90" s="71">
        <v>0</v>
      </c>
      <c r="M90" s="71">
        <v>0</v>
      </c>
      <c r="N90" s="71">
        <v>0</v>
      </c>
      <c r="O90" s="71">
        <v>0</v>
      </c>
      <c r="Q90" s="12"/>
      <c r="R90" s="12"/>
      <c r="S90" s="12"/>
      <c r="T90" s="12"/>
      <c r="U90" s="12"/>
      <c r="V90" s="12"/>
      <c r="W90" s="12"/>
      <c r="X90" s="72"/>
      <c r="Y90" s="73">
        <v>86</v>
      </c>
      <c r="Z90" s="199" t="s">
        <v>1422</v>
      </c>
      <c r="AA90" s="199">
        <v>0</v>
      </c>
      <c r="AB90" s="199" t="e">
        <v>#N/A</v>
      </c>
      <c r="AC90" s="199" t="e">
        <v>#N/A</v>
      </c>
      <c r="AD90" s="199">
        <v>0</v>
      </c>
      <c r="AE90" s="199">
        <v>0</v>
      </c>
      <c r="AF90" s="199">
        <v>0</v>
      </c>
      <c r="AI90" s="12">
        <v>86</v>
      </c>
      <c r="AJ90" s="78" t="s">
        <v>598</v>
      </c>
      <c r="AK90" s="78" t="s">
        <v>1257</v>
      </c>
      <c r="AL90" s="78" t="s">
        <v>1202</v>
      </c>
      <c r="AM90" s="78" t="s">
        <v>1208</v>
      </c>
      <c r="AN90" s="78">
        <v>300</v>
      </c>
      <c r="AO90" s="78" t="s">
        <v>43</v>
      </c>
      <c r="AP90" s="78">
        <v>0</v>
      </c>
      <c r="AQ90" s="78">
        <v>80</v>
      </c>
      <c r="AR90" s="233" t="s">
        <v>1619</v>
      </c>
      <c r="AS90" s="236"/>
      <c r="AT90" s="234">
        <v>17</v>
      </c>
      <c r="AU90" s="234">
        <v>0.18</v>
      </c>
    </row>
    <row r="91" spans="1:47" ht="15.6" x14ac:dyDescent="0.3">
      <c r="A91" s="70">
        <v>87</v>
      </c>
      <c r="B91" s="74" t="s">
        <v>1423</v>
      </c>
      <c r="C91" s="74">
        <v>0</v>
      </c>
      <c r="D91" s="74">
        <v>0</v>
      </c>
      <c r="E91" s="74">
        <v>0</v>
      </c>
      <c r="F91" s="74">
        <v>0</v>
      </c>
      <c r="G91" s="74">
        <v>0</v>
      </c>
      <c r="H91" s="147"/>
      <c r="I91" s="71">
        <v>0</v>
      </c>
      <c r="J91" s="71">
        <v>0</v>
      </c>
      <c r="K91" s="71">
        <v>0</v>
      </c>
      <c r="L91" s="71">
        <v>0</v>
      </c>
      <c r="M91" s="71">
        <v>0</v>
      </c>
      <c r="N91" s="71">
        <v>0</v>
      </c>
      <c r="O91" s="71">
        <v>0</v>
      </c>
      <c r="Q91" s="12"/>
      <c r="R91" s="12"/>
      <c r="S91" s="12"/>
      <c r="T91" s="12"/>
      <c r="U91" s="12"/>
      <c r="V91" s="12"/>
      <c r="W91" s="12"/>
      <c r="X91" s="72"/>
      <c r="Y91" s="73">
        <v>87</v>
      </c>
      <c r="Z91" s="199" t="s">
        <v>1423</v>
      </c>
      <c r="AA91" s="199">
        <v>0</v>
      </c>
      <c r="AB91" s="199" t="e">
        <v>#N/A</v>
      </c>
      <c r="AC91" s="199" t="e">
        <v>#N/A</v>
      </c>
      <c r="AD91" s="199">
        <v>0</v>
      </c>
      <c r="AE91" s="199">
        <v>0</v>
      </c>
      <c r="AF91" s="199">
        <v>0</v>
      </c>
      <c r="AI91" s="12">
        <v>87</v>
      </c>
      <c r="AJ91" s="78" t="s">
        <v>601</v>
      </c>
      <c r="AK91" s="78" t="s">
        <v>1254</v>
      </c>
      <c r="AL91" s="78" t="s">
        <v>1202</v>
      </c>
      <c r="AM91" s="78" t="s">
        <v>1208</v>
      </c>
      <c r="AN91" s="78">
        <v>123</v>
      </c>
      <c r="AO91" s="78" t="s">
        <v>43</v>
      </c>
      <c r="AP91" s="78">
        <v>0</v>
      </c>
      <c r="AQ91" s="78">
        <v>80</v>
      </c>
      <c r="AR91" s="233" t="s">
        <v>1619</v>
      </c>
      <c r="AS91" s="236"/>
      <c r="AT91" s="234">
        <v>6.61</v>
      </c>
      <c r="AU91" s="234">
        <v>0.18</v>
      </c>
    </row>
    <row r="92" spans="1:47" ht="15.6" x14ac:dyDescent="0.3">
      <c r="A92" s="70">
        <v>88</v>
      </c>
      <c r="B92" s="74" t="s">
        <v>1424</v>
      </c>
      <c r="C92" s="74">
        <v>0</v>
      </c>
      <c r="D92" s="74">
        <v>0</v>
      </c>
      <c r="E92" s="74">
        <v>0</v>
      </c>
      <c r="F92" s="74">
        <v>0</v>
      </c>
      <c r="G92" s="74">
        <v>0</v>
      </c>
      <c r="H92" s="147"/>
      <c r="I92" s="71">
        <v>0</v>
      </c>
      <c r="J92" s="71">
        <v>0</v>
      </c>
      <c r="K92" s="71">
        <v>0</v>
      </c>
      <c r="L92" s="71">
        <v>0</v>
      </c>
      <c r="M92" s="71">
        <v>0</v>
      </c>
      <c r="N92" s="71">
        <v>0</v>
      </c>
      <c r="O92" s="71">
        <v>0</v>
      </c>
      <c r="Q92" s="12"/>
      <c r="R92" s="12"/>
      <c r="S92" s="12"/>
      <c r="T92" s="12"/>
      <c r="U92" s="12"/>
      <c r="V92" s="12"/>
      <c r="W92" s="12"/>
      <c r="X92" s="72"/>
      <c r="Y92" s="73">
        <v>88</v>
      </c>
      <c r="Z92" s="199" t="s">
        <v>1424</v>
      </c>
      <c r="AA92" s="199">
        <v>0</v>
      </c>
      <c r="AB92" s="199" t="e">
        <v>#N/A</v>
      </c>
      <c r="AC92" s="199" t="e">
        <v>#N/A</v>
      </c>
      <c r="AD92" s="199">
        <v>0</v>
      </c>
      <c r="AE92" s="199">
        <v>0</v>
      </c>
      <c r="AF92" s="199">
        <v>0</v>
      </c>
      <c r="AI92" s="12">
        <v>88</v>
      </c>
      <c r="AJ92" s="78" t="s">
        <v>603</v>
      </c>
      <c r="AK92" s="78" t="s">
        <v>1254</v>
      </c>
      <c r="AL92" s="78" t="s">
        <v>1202</v>
      </c>
      <c r="AM92" s="78" t="s">
        <v>1208</v>
      </c>
      <c r="AN92" s="78">
        <v>89</v>
      </c>
      <c r="AO92" s="78" t="s">
        <v>43</v>
      </c>
      <c r="AP92" s="78">
        <v>0</v>
      </c>
      <c r="AQ92" s="78">
        <v>80</v>
      </c>
      <c r="AR92" s="233" t="s">
        <v>1619</v>
      </c>
      <c r="AS92" s="236"/>
      <c r="AT92" s="234">
        <v>6.61</v>
      </c>
      <c r="AU92" s="234">
        <v>0.18</v>
      </c>
    </row>
    <row r="93" spans="1:47" ht="15.6" x14ac:dyDescent="0.3">
      <c r="A93" s="70">
        <v>89</v>
      </c>
      <c r="B93" s="74" t="s">
        <v>1425</v>
      </c>
      <c r="C93" s="74">
        <v>0</v>
      </c>
      <c r="D93" s="74">
        <v>0</v>
      </c>
      <c r="E93" s="74">
        <v>0</v>
      </c>
      <c r="F93" s="74">
        <v>0</v>
      </c>
      <c r="G93" s="74">
        <v>0</v>
      </c>
      <c r="H93" s="147"/>
      <c r="I93" s="71">
        <v>0</v>
      </c>
      <c r="J93" s="71">
        <v>0</v>
      </c>
      <c r="K93" s="71">
        <v>0</v>
      </c>
      <c r="L93" s="71">
        <v>0</v>
      </c>
      <c r="M93" s="71">
        <v>0</v>
      </c>
      <c r="N93" s="71">
        <v>0</v>
      </c>
      <c r="O93" s="71">
        <v>0</v>
      </c>
      <c r="Q93" s="12"/>
      <c r="R93" s="12"/>
      <c r="S93" s="12"/>
      <c r="T93" s="12"/>
      <c r="U93" s="12"/>
      <c r="V93" s="12"/>
      <c r="W93" s="12"/>
      <c r="X93" s="72"/>
      <c r="Y93" s="73">
        <v>89</v>
      </c>
      <c r="Z93" s="199" t="s">
        <v>1425</v>
      </c>
      <c r="AA93" s="199">
        <v>0</v>
      </c>
      <c r="AB93" s="199" t="e">
        <v>#N/A</v>
      </c>
      <c r="AC93" s="199" t="e">
        <v>#N/A</v>
      </c>
      <c r="AD93" s="199">
        <v>0</v>
      </c>
      <c r="AE93" s="199">
        <v>0</v>
      </c>
      <c r="AF93" s="199">
        <v>0</v>
      </c>
      <c r="AI93" s="12">
        <v>89</v>
      </c>
      <c r="AJ93" s="78" t="s">
        <v>1484</v>
      </c>
      <c r="AK93" s="78" t="s">
        <v>1259</v>
      </c>
      <c r="AL93" s="78" t="s">
        <v>1216</v>
      </c>
      <c r="AM93" s="78" t="s">
        <v>1208</v>
      </c>
      <c r="AN93" s="78">
        <v>101</v>
      </c>
      <c r="AO93" s="78" t="s">
        <v>43</v>
      </c>
      <c r="AP93" s="78" t="s">
        <v>1624</v>
      </c>
      <c r="AQ93" s="78">
        <v>80</v>
      </c>
      <c r="AR93" s="233" t="s">
        <v>1621</v>
      </c>
      <c r="AS93" s="236"/>
      <c r="AT93" s="234">
        <v>1</v>
      </c>
      <c r="AU93" s="234">
        <v>0.18</v>
      </c>
    </row>
    <row r="94" spans="1:47" ht="15.6" x14ac:dyDescent="0.3">
      <c r="A94" s="70">
        <v>90</v>
      </c>
      <c r="B94" s="74" t="s">
        <v>1426</v>
      </c>
      <c r="C94" s="74">
        <v>0</v>
      </c>
      <c r="D94" s="74">
        <v>0</v>
      </c>
      <c r="E94" s="74">
        <v>0</v>
      </c>
      <c r="F94" s="74">
        <v>0</v>
      </c>
      <c r="G94" s="74">
        <v>0</v>
      </c>
      <c r="H94" s="147"/>
      <c r="I94" s="71">
        <v>0</v>
      </c>
      <c r="J94" s="71">
        <v>0</v>
      </c>
      <c r="K94" s="71">
        <v>0</v>
      </c>
      <c r="L94" s="71">
        <v>0</v>
      </c>
      <c r="M94" s="71">
        <v>0</v>
      </c>
      <c r="N94" s="71">
        <v>0</v>
      </c>
      <c r="O94" s="71">
        <v>0</v>
      </c>
      <c r="Q94" s="12"/>
      <c r="R94" s="12"/>
      <c r="S94" s="12"/>
      <c r="T94" s="12"/>
      <c r="U94" s="12"/>
      <c r="V94" s="12"/>
      <c r="W94" s="12"/>
      <c r="X94" s="72"/>
      <c r="Y94" s="73">
        <v>90</v>
      </c>
      <c r="Z94" s="199" t="s">
        <v>1426</v>
      </c>
      <c r="AA94" s="199">
        <v>0</v>
      </c>
      <c r="AB94" s="199" t="e">
        <v>#N/A</v>
      </c>
      <c r="AC94" s="199" t="e">
        <v>#N/A</v>
      </c>
      <c r="AD94" s="199">
        <v>0</v>
      </c>
      <c r="AE94" s="199">
        <v>0</v>
      </c>
      <c r="AF94" s="199">
        <v>0</v>
      </c>
      <c r="AI94" s="12">
        <v>90</v>
      </c>
      <c r="AJ94" s="78" t="s">
        <v>600</v>
      </c>
      <c r="AK94" s="78" t="s">
        <v>1254</v>
      </c>
      <c r="AL94" s="78" t="s">
        <v>1202</v>
      </c>
      <c r="AM94" s="78" t="s">
        <v>1208</v>
      </c>
      <c r="AN94" s="78">
        <v>123</v>
      </c>
      <c r="AO94" s="78" t="s">
        <v>43</v>
      </c>
      <c r="AP94" s="78">
        <v>0</v>
      </c>
      <c r="AQ94" s="78">
        <v>80</v>
      </c>
      <c r="AR94" s="233" t="s">
        <v>1619</v>
      </c>
      <c r="AS94" s="236"/>
      <c r="AT94" s="234">
        <v>6.61</v>
      </c>
      <c r="AU94" s="234">
        <v>0.18</v>
      </c>
    </row>
    <row r="95" spans="1:47" ht="15.6" x14ac:dyDescent="0.3">
      <c r="A95" s="70">
        <v>91</v>
      </c>
      <c r="B95" s="74" t="s">
        <v>1427</v>
      </c>
      <c r="C95" s="74">
        <v>0</v>
      </c>
      <c r="D95" s="74">
        <v>0</v>
      </c>
      <c r="E95" s="74">
        <v>0</v>
      </c>
      <c r="F95" s="74">
        <v>0</v>
      </c>
      <c r="G95" s="74">
        <v>0</v>
      </c>
      <c r="H95" s="147"/>
      <c r="I95" s="71">
        <v>0</v>
      </c>
      <c r="J95" s="71">
        <v>0</v>
      </c>
      <c r="K95" s="71">
        <v>0</v>
      </c>
      <c r="L95" s="71">
        <v>0</v>
      </c>
      <c r="M95" s="71">
        <v>0</v>
      </c>
      <c r="N95" s="71">
        <v>0</v>
      </c>
      <c r="O95" s="71">
        <v>0</v>
      </c>
      <c r="Q95" s="12"/>
      <c r="R95" s="12"/>
      <c r="S95" s="12"/>
      <c r="T95" s="12"/>
      <c r="U95" s="12"/>
      <c r="V95" s="12"/>
      <c r="W95" s="12"/>
      <c r="X95" s="72"/>
      <c r="Y95" s="73">
        <v>91</v>
      </c>
      <c r="Z95" s="199" t="s">
        <v>1427</v>
      </c>
      <c r="AA95" s="199">
        <v>0</v>
      </c>
      <c r="AB95" s="199" t="e">
        <v>#N/A</v>
      </c>
      <c r="AC95" s="199" t="e">
        <v>#N/A</v>
      </c>
      <c r="AD95" s="199">
        <v>0</v>
      </c>
      <c r="AE95" s="199">
        <v>0</v>
      </c>
      <c r="AF95" s="199">
        <v>0</v>
      </c>
      <c r="AI95" s="12">
        <v>91</v>
      </c>
      <c r="AJ95" s="78" t="s">
        <v>602</v>
      </c>
      <c r="AK95" s="78" t="s">
        <v>1254</v>
      </c>
      <c r="AL95" s="78" t="s">
        <v>1202</v>
      </c>
      <c r="AM95" s="78" t="s">
        <v>1208</v>
      </c>
      <c r="AN95" s="78">
        <v>123</v>
      </c>
      <c r="AO95" s="78" t="s">
        <v>43</v>
      </c>
      <c r="AP95" s="78">
        <v>0</v>
      </c>
      <c r="AQ95" s="78">
        <v>80</v>
      </c>
      <c r="AR95" s="233" t="s">
        <v>1619</v>
      </c>
      <c r="AS95" s="236"/>
      <c r="AT95" s="234">
        <v>6.61</v>
      </c>
      <c r="AU95" s="234">
        <v>0.18</v>
      </c>
    </row>
    <row r="96" spans="1:47" ht="15.6" x14ac:dyDescent="0.3">
      <c r="A96" s="70">
        <v>92</v>
      </c>
      <c r="B96" s="74" t="s">
        <v>1428</v>
      </c>
      <c r="C96" s="74">
        <v>0</v>
      </c>
      <c r="D96" s="74">
        <v>0</v>
      </c>
      <c r="E96" s="74">
        <v>0</v>
      </c>
      <c r="F96" s="74">
        <v>0</v>
      </c>
      <c r="G96" s="74">
        <v>0</v>
      </c>
      <c r="H96" s="147"/>
      <c r="I96" s="71">
        <v>0</v>
      </c>
      <c r="J96" s="71">
        <v>0</v>
      </c>
      <c r="K96" s="71">
        <v>0</v>
      </c>
      <c r="L96" s="71">
        <v>0</v>
      </c>
      <c r="M96" s="71">
        <v>0</v>
      </c>
      <c r="N96" s="71">
        <v>0</v>
      </c>
      <c r="O96" s="71">
        <v>0</v>
      </c>
      <c r="Q96" s="12"/>
      <c r="R96" s="12"/>
      <c r="S96" s="12"/>
      <c r="T96" s="12"/>
      <c r="U96" s="12"/>
      <c r="V96" s="12"/>
      <c r="W96" s="12"/>
      <c r="X96" s="72"/>
      <c r="Y96" s="73">
        <v>92</v>
      </c>
      <c r="Z96" s="199" t="s">
        <v>1428</v>
      </c>
      <c r="AA96" s="199">
        <v>0</v>
      </c>
      <c r="AB96" s="199" t="e">
        <v>#N/A</v>
      </c>
      <c r="AC96" s="199" t="e">
        <v>#N/A</v>
      </c>
      <c r="AD96" s="199">
        <v>0</v>
      </c>
      <c r="AE96" s="199">
        <v>0</v>
      </c>
      <c r="AF96" s="199">
        <v>0</v>
      </c>
      <c r="AI96" s="12">
        <v>92</v>
      </c>
      <c r="AJ96" s="78" t="s">
        <v>604</v>
      </c>
      <c r="AK96" s="78" t="s">
        <v>1254</v>
      </c>
      <c r="AL96" s="78" t="s">
        <v>1202</v>
      </c>
      <c r="AM96" s="78" t="s">
        <v>1208</v>
      </c>
      <c r="AN96" s="78">
        <v>89</v>
      </c>
      <c r="AO96" s="78" t="s">
        <v>43</v>
      </c>
      <c r="AP96" s="78">
        <v>0</v>
      </c>
      <c r="AQ96" s="78">
        <v>80</v>
      </c>
      <c r="AR96" s="233" t="s">
        <v>1619</v>
      </c>
      <c r="AS96" s="236"/>
      <c r="AT96" s="234">
        <v>6.61</v>
      </c>
      <c r="AU96" s="234">
        <v>0.18</v>
      </c>
    </row>
    <row r="97" spans="1:47" ht="15.6" x14ac:dyDescent="0.3">
      <c r="A97" s="70">
        <v>93</v>
      </c>
      <c r="B97" s="74" t="s">
        <v>1429</v>
      </c>
      <c r="C97" s="74">
        <v>0</v>
      </c>
      <c r="D97" s="74">
        <v>0</v>
      </c>
      <c r="E97" s="74">
        <v>0</v>
      </c>
      <c r="F97" s="74">
        <v>0</v>
      </c>
      <c r="G97" s="74">
        <v>0</v>
      </c>
      <c r="H97" s="147"/>
      <c r="I97" s="71">
        <v>0</v>
      </c>
      <c r="J97" s="71">
        <v>0</v>
      </c>
      <c r="K97" s="71">
        <v>0</v>
      </c>
      <c r="L97" s="71">
        <v>0</v>
      </c>
      <c r="M97" s="71">
        <v>0</v>
      </c>
      <c r="N97" s="71">
        <v>0</v>
      </c>
      <c r="O97" s="71">
        <v>0</v>
      </c>
      <c r="Q97" s="12"/>
      <c r="R97" s="12"/>
      <c r="S97" s="12"/>
      <c r="T97" s="12"/>
      <c r="U97" s="12"/>
      <c r="V97" s="12"/>
      <c r="W97" s="12"/>
      <c r="X97" s="72"/>
      <c r="Y97" s="73">
        <v>93</v>
      </c>
      <c r="Z97" s="199" t="s">
        <v>1429</v>
      </c>
      <c r="AA97" s="199">
        <v>0</v>
      </c>
      <c r="AB97" s="199" t="e">
        <v>#N/A</v>
      </c>
      <c r="AC97" s="199" t="e">
        <v>#N/A</v>
      </c>
      <c r="AD97" s="199">
        <v>0</v>
      </c>
      <c r="AE97" s="199">
        <v>0</v>
      </c>
      <c r="AF97" s="199">
        <v>0</v>
      </c>
      <c r="AI97" s="12">
        <v>93</v>
      </c>
      <c r="AJ97" s="78" t="s">
        <v>605</v>
      </c>
      <c r="AK97" s="78" t="s">
        <v>1254</v>
      </c>
      <c r="AL97" s="78" t="s">
        <v>1202</v>
      </c>
      <c r="AM97" s="78" t="s">
        <v>1208</v>
      </c>
      <c r="AN97" s="78">
        <v>89</v>
      </c>
      <c r="AO97" s="78" t="s">
        <v>43</v>
      </c>
      <c r="AP97" s="78">
        <v>0</v>
      </c>
      <c r="AQ97" s="78">
        <v>80</v>
      </c>
      <c r="AR97" s="233" t="s">
        <v>1619</v>
      </c>
      <c r="AS97" s="236"/>
      <c r="AT97" s="234">
        <v>6.61</v>
      </c>
      <c r="AU97" s="234">
        <v>0.18</v>
      </c>
    </row>
    <row r="98" spans="1:47" ht="15.6" x14ac:dyDescent="0.3">
      <c r="A98" s="70">
        <v>94</v>
      </c>
      <c r="B98" s="74" t="s">
        <v>1430</v>
      </c>
      <c r="C98" s="74">
        <v>0</v>
      </c>
      <c r="D98" s="74">
        <v>0</v>
      </c>
      <c r="E98" s="74">
        <v>0</v>
      </c>
      <c r="F98" s="74">
        <v>0</v>
      </c>
      <c r="G98" s="74">
        <v>0</v>
      </c>
      <c r="H98" s="147"/>
      <c r="I98" s="71">
        <v>0</v>
      </c>
      <c r="J98" s="71">
        <v>0</v>
      </c>
      <c r="K98" s="71">
        <v>0</v>
      </c>
      <c r="L98" s="71">
        <v>0</v>
      </c>
      <c r="M98" s="71">
        <v>0</v>
      </c>
      <c r="N98" s="71">
        <v>0</v>
      </c>
      <c r="O98" s="71">
        <v>0</v>
      </c>
      <c r="Q98" s="12"/>
      <c r="R98" s="12"/>
      <c r="S98" s="12"/>
      <c r="T98" s="12"/>
      <c r="U98" s="12"/>
      <c r="V98" s="12"/>
      <c r="W98" s="12"/>
      <c r="X98" s="72"/>
      <c r="Y98" s="73">
        <v>94</v>
      </c>
      <c r="Z98" s="199" t="s">
        <v>1430</v>
      </c>
      <c r="AA98" s="199">
        <v>0</v>
      </c>
      <c r="AB98" s="199" t="e">
        <v>#N/A</v>
      </c>
      <c r="AC98" s="199" t="e">
        <v>#N/A</v>
      </c>
      <c r="AD98" s="199">
        <v>0</v>
      </c>
      <c r="AE98" s="199">
        <v>0</v>
      </c>
      <c r="AF98" s="199">
        <v>0</v>
      </c>
      <c r="AI98" s="12">
        <v>94</v>
      </c>
      <c r="AJ98" s="78" t="s">
        <v>599</v>
      </c>
      <c r="AK98" s="78" t="s">
        <v>1254</v>
      </c>
      <c r="AL98" s="78" t="s">
        <v>1202</v>
      </c>
      <c r="AM98" s="78" t="s">
        <v>1208</v>
      </c>
      <c r="AN98" s="78">
        <v>101</v>
      </c>
      <c r="AO98" s="78" t="s">
        <v>43</v>
      </c>
      <c r="AP98" s="78">
        <v>0</v>
      </c>
      <c r="AQ98" s="78">
        <v>80</v>
      </c>
      <c r="AR98" s="233" t="s">
        <v>1621</v>
      </c>
      <c r="AS98" s="236"/>
      <c r="AT98" s="234">
        <v>6.61</v>
      </c>
      <c r="AU98" s="234">
        <v>0.18</v>
      </c>
    </row>
    <row r="99" spans="1:47" ht="15.6" x14ac:dyDescent="0.3">
      <c r="A99" s="70">
        <v>95</v>
      </c>
      <c r="B99" s="74" t="s">
        <v>1431</v>
      </c>
      <c r="C99" s="74">
        <v>0</v>
      </c>
      <c r="D99" s="74">
        <v>0</v>
      </c>
      <c r="E99" s="74">
        <v>0</v>
      </c>
      <c r="F99" s="74">
        <v>0</v>
      </c>
      <c r="G99" s="74">
        <v>0</v>
      </c>
      <c r="H99" s="147"/>
      <c r="I99" s="71">
        <v>0</v>
      </c>
      <c r="J99" s="71">
        <v>0</v>
      </c>
      <c r="K99" s="71">
        <v>0</v>
      </c>
      <c r="L99" s="71">
        <v>0</v>
      </c>
      <c r="M99" s="71">
        <v>0</v>
      </c>
      <c r="N99" s="71">
        <v>0</v>
      </c>
      <c r="O99" s="71">
        <v>0</v>
      </c>
      <c r="Q99" s="12"/>
      <c r="R99" s="12"/>
      <c r="S99" s="12"/>
      <c r="T99" s="12"/>
      <c r="U99" s="12"/>
      <c r="V99" s="12"/>
      <c r="W99" s="12"/>
      <c r="X99" s="72"/>
      <c r="Y99" s="73">
        <v>95</v>
      </c>
      <c r="Z99" s="199" t="s">
        <v>1431</v>
      </c>
      <c r="AA99" s="199">
        <v>0</v>
      </c>
      <c r="AB99" s="199" t="e">
        <v>#N/A</v>
      </c>
      <c r="AC99" s="199" t="e">
        <v>#N/A</v>
      </c>
      <c r="AD99" s="199">
        <v>0</v>
      </c>
      <c r="AE99" s="199">
        <v>0</v>
      </c>
      <c r="AF99" s="199">
        <v>0</v>
      </c>
      <c r="AI99" s="12">
        <v>95</v>
      </c>
      <c r="AJ99" s="78" t="s">
        <v>609</v>
      </c>
      <c r="AK99" s="78" t="s">
        <v>1297</v>
      </c>
      <c r="AL99" s="78" t="s">
        <v>1204</v>
      </c>
      <c r="AM99" s="78" t="s">
        <v>1208</v>
      </c>
      <c r="AN99" s="78">
        <v>300</v>
      </c>
      <c r="AO99" s="78" t="s">
        <v>43</v>
      </c>
      <c r="AP99" s="78">
        <v>0</v>
      </c>
      <c r="AQ99" s="78">
        <v>80</v>
      </c>
      <c r="AR99" s="233" t="s">
        <v>1619</v>
      </c>
      <c r="AS99" s="236"/>
      <c r="AT99" s="234">
        <v>12.4</v>
      </c>
      <c r="AU99" s="234">
        <v>0.18</v>
      </c>
    </row>
    <row r="100" spans="1:47" ht="15.6" x14ac:dyDescent="0.3">
      <c r="A100" s="70">
        <v>96</v>
      </c>
      <c r="B100" s="74" t="s">
        <v>1432</v>
      </c>
      <c r="C100" s="74">
        <v>0</v>
      </c>
      <c r="D100" s="74">
        <v>0</v>
      </c>
      <c r="E100" s="74">
        <v>0</v>
      </c>
      <c r="F100" s="74">
        <v>0</v>
      </c>
      <c r="G100" s="74">
        <v>0</v>
      </c>
      <c r="H100" s="147"/>
      <c r="I100" s="71">
        <v>0</v>
      </c>
      <c r="J100" s="71">
        <v>0</v>
      </c>
      <c r="K100" s="71">
        <v>0</v>
      </c>
      <c r="L100" s="71">
        <v>0</v>
      </c>
      <c r="M100" s="71">
        <v>0</v>
      </c>
      <c r="N100" s="71">
        <v>0</v>
      </c>
      <c r="O100" s="71">
        <v>0</v>
      </c>
      <c r="Q100" s="12"/>
      <c r="R100" s="12"/>
      <c r="S100" s="12"/>
      <c r="T100" s="12"/>
      <c r="U100" s="12"/>
      <c r="V100" s="12"/>
      <c r="W100" s="12"/>
      <c r="X100" s="72"/>
      <c r="Y100" s="73">
        <v>96</v>
      </c>
      <c r="Z100" s="199" t="s">
        <v>1432</v>
      </c>
      <c r="AA100" s="199">
        <v>0</v>
      </c>
      <c r="AB100" s="199" t="e">
        <v>#N/A</v>
      </c>
      <c r="AC100" s="199" t="e">
        <v>#N/A</v>
      </c>
      <c r="AD100" s="199">
        <v>0</v>
      </c>
      <c r="AE100" s="199">
        <v>0</v>
      </c>
      <c r="AF100" s="199">
        <v>0</v>
      </c>
      <c r="AI100" s="12">
        <v>96</v>
      </c>
      <c r="AJ100" s="78" t="s">
        <v>620</v>
      </c>
      <c r="AK100" s="78" t="s">
        <v>1297</v>
      </c>
      <c r="AL100" s="78" t="s">
        <v>1204</v>
      </c>
      <c r="AM100" s="78" t="s">
        <v>1208</v>
      </c>
      <c r="AN100" s="78">
        <v>300</v>
      </c>
      <c r="AO100" s="78" t="s">
        <v>43</v>
      </c>
      <c r="AP100" s="78">
        <v>0</v>
      </c>
      <c r="AQ100" s="78">
        <v>80</v>
      </c>
      <c r="AR100" s="233" t="s">
        <v>1619</v>
      </c>
      <c r="AS100" s="236"/>
      <c r="AT100" s="234">
        <v>17</v>
      </c>
      <c r="AU100" s="234">
        <v>0.18</v>
      </c>
    </row>
    <row r="101" spans="1:47" ht="15.6" x14ac:dyDescent="0.3">
      <c r="A101" s="70">
        <v>97</v>
      </c>
      <c r="B101" s="74" t="s">
        <v>1433</v>
      </c>
      <c r="C101" s="74">
        <v>0</v>
      </c>
      <c r="D101" s="74">
        <v>0</v>
      </c>
      <c r="E101" s="74">
        <v>0</v>
      </c>
      <c r="F101" s="74">
        <v>0</v>
      </c>
      <c r="G101" s="74">
        <v>0</v>
      </c>
      <c r="H101" s="147"/>
      <c r="I101" s="71">
        <v>0</v>
      </c>
      <c r="J101" s="71">
        <v>0</v>
      </c>
      <c r="K101" s="71">
        <v>0</v>
      </c>
      <c r="L101" s="71">
        <v>0</v>
      </c>
      <c r="M101" s="71">
        <v>0</v>
      </c>
      <c r="N101" s="71">
        <v>0</v>
      </c>
      <c r="O101" s="71">
        <v>0</v>
      </c>
      <c r="Q101" s="12"/>
      <c r="R101" s="12"/>
      <c r="S101" s="12"/>
      <c r="T101" s="12"/>
      <c r="U101" s="12"/>
      <c r="V101" s="12"/>
      <c r="W101" s="12"/>
      <c r="X101" s="72"/>
      <c r="Y101" s="73">
        <v>97</v>
      </c>
      <c r="Z101" s="199" t="s">
        <v>1433</v>
      </c>
      <c r="AA101" s="199">
        <v>0</v>
      </c>
      <c r="AB101" s="199" t="e">
        <v>#N/A</v>
      </c>
      <c r="AC101" s="199" t="e">
        <v>#N/A</v>
      </c>
      <c r="AD101" s="199">
        <v>0</v>
      </c>
      <c r="AE101" s="199">
        <v>0</v>
      </c>
      <c r="AF101" s="199">
        <v>0</v>
      </c>
      <c r="AI101" s="12">
        <v>97</v>
      </c>
      <c r="AJ101" s="78" t="s">
        <v>623</v>
      </c>
      <c r="AK101" s="78" t="s">
        <v>1294</v>
      </c>
      <c r="AL101" s="78" t="s">
        <v>1204</v>
      </c>
      <c r="AM101" s="78" t="s">
        <v>1208</v>
      </c>
      <c r="AN101" s="78">
        <v>123</v>
      </c>
      <c r="AO101" s="78" t="s">
        <v>43</v>
      </c>
      <c r="AP101" s="78">
        <v>0</v>
      </c>
      <c r="AQ101" s="78">
        <v>80</v>
      </c>
      <c r="AR101" s="233" t="s">
        <v>1619</v>
      </c>
      <c r="AS101" s="236"/>
      <c r="AT101" s="234">
        <v>6.61</v>
      </c>
      <c r="AU101" s="234">
        <v>0.18</v>
      </c>
    </row>
    <row r="102" spans="1:47" ht="15.6" x14ac:dyDescent="0.3">
      <c r="A102" s="70">
        <v>98</v>
      </c>
      <c r="B102" s="74" t="s">
        <v>1434</v>
      </c>
      <c r="C102" s="74">
        <v>0</v>
      </c>
      <c r="D102" s="74">
        <v>0</v>
      </c>
      <c r="E102" s="74">
        <v>0</v>
      </c>
      <c r="F102" s="74">
        <v>0</v>
      </c>
      <c r="G102" s="74">
        <v>0</v>
      </c>
      <c r="H102" s="147"/>
      <c r="I102" s="71">
        <v>0</v>
      </c>
      <c r="J102" s="71">
        <v>0</v>
      </c>
      <c r="K102" s="71">
        <v>0</v>
      </c>
      <c r="L102" s="71">
        <v>0</v>
      </c>
      <c r="M102" s="71">
        <v>0</v>
      </c>
      <c r="N102" s="71">
        <v>0</v>
      </c>
      <c r="O102" s="71">
        <v>0</v>
      </c>
      <c r="Q102" s="12"/>
      <c r="R102" s="12"/>
      <c r="S102" s="12"/>
      <c r="T102" s="12"/>
      <c r="U102" s="12"/>
      <c r="V102" s="12"/>
      <c r="W102" s="12"/>
      <c r="X102" s="72"/>
      <c r="Y102" s="73">
        <v>98</v>
      </c>
      <c r="Z102" s="199" t="s">
        <v>1434</v>
      </c>
      <c r="AA102" s="199">
        <v>0</v>
      </c>
      <c r="AB102" s="199" t="e">
        <v>#N/A</v>
      </c>
      <c r="AC102" s="199" t="e">
        <v>#N/A</v>
      </c>
      <c r="AD102" s="199">
        <v>0</v>
      </c>
      <c r="AE102" s="199">
        <v>0</v>
      </c>
      <c r="AF102" s="199">
        <v>0</v>
      </c>
      <c r="AI102" s="12">
        <v>98</v>
      </c>
      <c r="AJ102" s="78" t="s">
        <v>624</v>
      </c>
      <c r="AK102" s="78" t="s">
        <v>1294</v>
      </c>
      <c r="AL102" s="78" t="s">
        <v>1204</v>
      </c>
      <c r="AM102" s="78" t="s">
        <v>1208</v>
      </c>
      <c r="AN102" s="78">
        <v>89</v>
      </c>
      <c r="AO102" s="78" t="s">
        <v>43</v>
      </c>
      <c r="AP102" s="78">
        <v>0</v>
      </c>
      <c r="AQ102" s="78">
        <v>80</v>
      </c>
      <c r="AR102" s="233" t="s">
        <v>1619</v>
      </c>
      <c r="AS102" s="236"/>
      <c r="AT102" s="234">
        <v>6.61</v>
      </c>
      <c r="AU102" s="234">
        <v>0.18</v>
      </c>
    </row>
    <row r="103" spans="1:47" ht="15.6" x14ac:dyDescent="0.3">
      <c r="A103" s="70">
        <v>99</v>
      </c>
      <c r="B103" s="74" t="s">
        <v>1435</v>
      </c>
      <c r="C103" s="74">
        <v>0</v>
      </c>
      <c r="D103" s="74">
        <v>0</v>
      </c>
      <c r="E103" s="74">
        <v>0</v>
      </c>
      <c r="F103" s="74">
        <v>0</v>
      </c>
      <c r="G103" s="74">
        <v>0</v>
      </c>
      <c r="H103" s="147"/>
      <c r="I103" s="71">
        <v>0</v>
      </c>
      <c r="J103" s="71">
        <v>0</v>
      </c>
      <c r="K103" s="71">
        <v>0</v>
      </c>
      <c r="L103" s="71">
        <v>0</v>
      </c>
      <c r="M103" s="71">
        <v>0</v>
      </c>
      <c r="N103" s="71">
        <v>0</v>
      </c>
      <c r="O103" s="71">
        <v>0</v>
      </c>
      <c r="Q103" s="12"/>
      <c r="R103" s="12"/>
      <c r="S103" s="12"/>
      <c r="T103" s="12"/>
      <c r="U103" s="12"/>
      <c r="V103" s="12"/>
      <c r="W103" s="12"/>
      <c r="X103" s="72"/>
      <c r="Y103" s="73">
        <v>99</v>
      </c>
      <c r="Z103" s="199" t="s">
        <v>1435</v>
      </c>
      <c r="AA103" s="199">
        <v>0</v>
      </c>
      <c r="AB103" s="199" t="e">
        <v>#N/A</v>
      </c>
      <c r="AC103" s="199" t="e">
        <v>#N/A</v>
      </c>
      <c r="AD103" s="199">
        <v>0</v>
      </c>
      <c r="AE103" s="199">
        <v>0</v>
      </c>
      <c r="AF103" s="199">
        <v>0</v>
      </c>
      <c r="AI103" s="12">
        <v>99</v>
      </c>
      <c r="AJ103" s="78" t="s">
        <v>665</v>
      </c>
      <c r="AK103" s="78" t="s">
        <v>1298</v>
      </c>
      <c r="AL103" s="78" t="s">
        <v>1217</v>
      </c>
      <c r="AM103" s="78" t="s">
        <v>1208</v>
      </c>
      <c r="AN103" s="78">
        <v>101</v>
      </c>
      <c r="AO103" s="78" t="s">
        <v>43</v>
      </c>
      <c r="AP103" s="78" t="s">
        <v>1624</v>
      </c>
      <c r="AQ103" s="78">
        <v>80</v>
      </c>
      <c r="AR103" s="233" t="s">
        <v>1621</v>
      </c>
      <c r="AS103" s="236"/>
      <c r="AT103" s="234">
        <v>1</v>
      </c>
      <c r="AU103" s="234">
        <v>0.18</v>
      </c>
    </row>
    <row r="104" spans="1:47" ht="15.6" x14ac:dyDescent="0.3">
      <c r="A104" s="70">
        <v>100</v>
      </c>
      <c r="B104" s="74" t="s">
        <v>1436</v>
      </c>
      <c r="C104" s="74">
        <v>0</v>
      </c>
      <c r="D104" s="74">
        <v>0</v>
      </c>
      <c r="E104" s="74">
        <v>0</v>
      </c>
      <c r="F104" s="74">
        <v>0</v>
      </c>
      <c r="G104" s="74">
        <v>0</v>
      </c>
      <c r="H104" s="148"/>
      <c r="I104" s="71">
        <v>0</v>
      </c>
      <c r="J104" s="71">
        <v>0</v>
      </c>
      <c r="K104" s="71">
        <v>0</v>
      </c>
      <c r="L104" s="71">
        <v>0</v>
      </c>
      <c r="M104" s="71">
        <v>0</v>
      </c>
      <c r="N104" s="71">
        <v>0</v>
      </c>
      <c r="O104" s="71">
        <v>0</v>
      </c>
      <c r="Q104" s="12"/>
      <c r="R104" s="12"/>
      <c r="S104" s="12"/>
      <c r="T104" s="12"/>
      <c r="U104" s="12"/>
      <c r="V104" s="12"/>
      <c r="W104" s="12"/>
      <c r="X104" s="72"/>
      <c r="Y104" s="73">
        <v>100</v>
      </c>
      <c r="Z104" s="199" t="s">
        <v>1436</v>
      </c>
      <c r="AA104" s="199">
        <v>0</v>
      </c>
      <c r="AB104" s="199" t="e">
        <v>#N/A</v>
      </c>
      <c r="AC104" s="199" t="e">
        <v>#N/A</v>
      </c>
      <c r="AD104" s="199">
        <v>0</v>
      </c>
      <c r="AE104" s="199">
        <v>0</v>
      </c>
      <c r="AF104" s="199">
        <v>0</v>
      </c>
      <c r="AI104" s="12">
        <v>100</v>
      </c>
      <c r="AJ104" s="78" t="s">
        <v>622</v>
      </c>
      <c r="AK104" s="78" t="s">
        <v>1294</v>
      </c>
      <c r="AL104" s="78" t="s">
        <v>1204</v>
      </c>
      <c r="AM104" s="78" t="s">
        <v>1208</v>
      </c>
      <c r="AN104" s="78">
        <v>123</v>
      </c>
      <c r="AO104" s="78" t="s">
        <v>43</v>
      </c>
      <c r="AP104" s="78">
        <v>0</v>
      </c>
      <c r="AQ104" s="78">
        <v>80</v>
      </c>
      <c r="AR104" s="233" t="s">
        <v>1619</v>
      </c>
      <c r="AS104" s="236"/>
      <c r="AT104" s="234">
        <v>6.61</v>
      </c>
      <c r="AU104" s="234">
        <v>0.18</v>
      </c>
    </row>
    <row r="105" spans="1:47" x14ac:dyDescent="0.3">
      <c r="AI105" s="12">
        <v>101</v>
      </c>
      <c r="AJ105" s="78" t="s">
        <v>625</v>
      </c>
      <c r="AK105" s="78" t="s">
        <v>1294</v>
      </c>
      <c r="AL105" s="78" t="s">
        <v>1204</v>
      </c>
      <c r="AM105" s="78" t="s">
        <v>1208</v>
      </c>
      <c r="AN105" s="78">
        <v>89</v>
      </c>
      <c r="AO105" s="78" t="s">
        <v>43</v>
      </c>
      <c r="AP105" s="78">
        <v>0</v>
      </c>
      <c r="AQ105" s="78">
        <v>80</v>
      </c>
      <c r="AR105" s="233" t="s">
        <v>1619</v>
      </c>
      <c r="AS105" s="236"/>
      <c r="AT105" s="234">
        <v>6.61</v>
      </c>
      <c r="AU105" s="234">
        <v>0.18</v>
      </c>
    </row>
    <row r="106" spans="1:47" x14ac:dyDescent="0.3">
      <c r="AI106" s="12">
        <v>102</v>
      </c>
      <c r="AJ106" s="78" t="s">
        <v>626</v>
      </c>
      <c r="AK106" s="78" t="s">
        <v>1294</v>
      </c>
      <c r="AL106" s="78" t="s">
        <v>1204</v>
      </c>
      <c r="AM106" s="78" t="s">
        <v>1208</v>
      </c>
      <c r="AN106" s="78">
        <v>89</v>
      </c>
      <c r="AO106" s="78" t="s">
        <v>43</v>
      </c>
      <c r="AP106" s="78">
        <v>0</v>
      </c>
      <c r="AQ106" s="78">
        <v>80</v>
      </c>
      <c r="AR106" s="233" t="s">
        <v>1619</v>
      </c>
      <c r="AS106" s="236"/>
      <c r="AT106" s="234">
        <v>6.61</v>
      </c>
      <c r="AU106" s="234">
        <v>0.18</v>
      </c>
    </row>
    <row r="107" spans="1:47" x14ac:dyDescent="0.3">
      <c r="AI107" s="12">
        <v>103</v>
      </c>
      <c r="AJ107" s="78" t="s">
        <v>621</v>
      </c>
      <c r="AK107" s="78" t="s">
        <v>1294</v>
      </c>
      <c r="AL107" s="78" t="s">
        <v>1204</v>
      </c>
      <c r="AM107" s="78" t="s">
        <v>1208</v>
      </c>
      <c r="AN107" s="78">
        <v>101</v>
      </c>
      <c r="AO107" s="78" t="s">
        <v>43</v>
      </c>
      <c r="AP107" s="78">
        <v>0</v>
      </c>
      <c r="AQ107" s="78">
        <v>80</v>
      </c>
      <c r="AR107" s="233" t="s">
        <v>1621</v>
      </c>
      <c r="AS107" s="236"/>
      <c r="AT107" s="234">
        <v>6.61</v>
      </c>
      <c r="AU107" s="234">
        <v>0.18</v>
      </c>
    </row>
    <row r="108" spans="1:47" x14ac:dyDescent="0.3">
      <c r="AI108" s="12">
        <v>104</v>
      </c>
      <c r="AJ108" s="78" t="s">
        <v>1485</v>
      </c>
      <c r="AK108" s="78" t="s">
        <v>1252</v>
      </c>
      <c r="AL108" s="78" t="s">
        <v>952</v>
      </c>
      <c r="AM108" s="78" t="s">
        <v>953</v>
      </c>
      <c r="AN108" s="78">
        <v>850</v>
      </c>
      <c r="AO108" s="78" t="s">
        <v>43</v>
      </c>
      <c r="AP108" s="78">
        <v>0</v>
      </c>
      <c r="AQ108" s="78">
        <v>0</v>
      </c>
      <c r="AR108" s="233">
        <v>0</v>
      </c>
      <c r="AS108" s="236"/>
      <c r="AT108" s="234">
        <v>0</v>
      </c>
      <c r="AU108" s="234">
        <v>0</v>
      </c>
    </row>
    <row r="109" spans="1:47" x14ac:dyDescent="0.3">
      <c r="AI109" s="12">
        <v>105</v>
      </c>
      <c r="AJ109" s="78" t="s">
        <v>1486</v>
      </c>
      <c r="AK109" s="78" t="s">
        <v>285</v>
      </c>
      <c r="AL109" s="78" t="s">
        <v>921</v>
      </c>
      <c r="AM109" s="78" t="s">
        <v>946</v>
      </c>
      <c r="AN109" s="78">
        <v>885</v>
      </c>
      <c r="AO109" s="78" t="s">
        <v>43</v>
      </c>
      <c r="AP109" s="78">
        <v>0</v>
      </c>
      <c r="AQ109" s="78">
        <v>0</v>
      </c>
      <c r="AR109" s="233">
        <v>0</v>
      </c>
      <c r="AS109" s="236"/>
      <c r="AT109" s="234">
        <v>0</v>
      </c>
      <c r="AU109" s="234">
        <v>0</v>
      </c>
    </row>
    <row r="110" spans="1:47" x14ac:dyDescent="0.3">
      <c r="AI110" s="12">
        <v>106</v>
      </c>
      <c r="AJ110" s="78" t="s">
        <v>1487</v>
      </c>
      <c r="AK110" s="78" t="s">
        <v>284</v>
      </c>
      <c r="AL110" s="78" t="s">
        <v>921</v>
      </c>
      <c r="AM110" s="78" t="s">
        <v>946</v>
      </c>
      <c r="AN110" s="78">
        <v>900</v>
      </c>
      <c r="AO110" s="78" t="s">
        <v>43</v>
      </c>
      <c r="AP110" s="78">
        <v>0</v>
      </c>
      <c r="AQ110" s="78">
        <v>0</v>
      </c>
      <c r="AR110" s="233">
        <v>0</v>
      </c>
      <c r="AS110" s="236"/>
      <c r="AT110" s="234">
        <v>0</v>
      </c>
      <c r="AU110" s="234">
        <v>0</v>
      </c>
    </row>
    <row r="111" spans="1:47" x14ac:dyDescent="0.3">
      <c r="AI111" s="12">
        <v>107</v>
      </c>
      <c r="AJ111" s="78" t="s">
        <v>1488</v>
      </c>
      <c r="AK111" s="78" t="s">
        <v>412</v>
      </c>
      <c r="AL111" s="78" t="s">
        <v>925</v>
      </c>
      <c r="AM111" s="78" t="s">
        <v>925</v>
      </c>
      <c r="AN111" s="78">
        <v>337</v>
      </c>
      <c r="AO111" s="78" t="s">
        <v>43</v>
      </c>
      <c r="AP111" s="78">
        <v>0</v>
      </c>
      <c r="AQ111" s="78">
        <v>0</v>
      </c>
      <c r="AR111" s="233">
        <v>0</v>
      </c>
      <c r="AS111" s="236"/>
      <c r="AT111" s="234">
        <v>0</v>
      </c>
      <c r="AU111" s="234">
        <v>0</v>
      </c>
    </row>
    <row r="112" spans="1:47" x14ac:dyDescent="0.3">
      <c r="AI112" s="12">
        <v>108</v>
      </c>
      <c r="AJ112" s="78" t="s">
        <v>1489</v>
      </c>
      <c r="AK112" s="78" t="s">
        <v>1237</v>
      </c>
      <c r="AL112" s="78" t="s">
        <v>1206</v>
      </c>
      <c r="AM112" s="78" t="s">
        <v>1208</v>
      </c>
      <c r="AN112" s="78">
        <v>45</v>
      </c>
      <c r="AO112" s="78" t="s">
        <v>43</v>
      </c>
      <c r="AP112" s="78">
        <v>0</v>
      </c>
      <c r="AQ112" s="78">
        <v>0</v>
      </c>
      <c r="AR112" s="233">
        <v>0</v>
      </c>
      <c r="AS112" s="236"/>
      <c r="AT112" s="234">
        <v>0</v>
      </c>
      <c r="AU112" s="234">
        <v>0</v>
      </c>
    </row>
    <row r="113" spans="35:47" x14ac:dyDescent="0.3">
      <c r="AI113" s="12">
        <v>109</v>
      </c>
      <c r="AJ113" s="78" t="s">
        <v>1490</v>
      </c>
      <c r="AK113" s="78" t="s">
        <v>1238</v>
      </c>
      <c r="AL113" s="78" t="s">
        <v>1212</v>
      </c>
      <c r="AM113" s="78" t="s">
        <v>1208</v>
      </c>
      <c r="AN113" s="78">
        <v>981.2</v>
      </c>
      <c r="AO113" s="78" t="s">
        <v>43</v>
      </c>
      <c r="AP113" s="78">
        <v>0</v>
      </c>
      <c r="AQ113" s="78">
        <v>0</v>
      </c>
      <c r="AR113" s="233">
        <v>0</v>
      </c>
      <c r="AS113" s="236"/>
      <c r="AT113" s="234">
        <v>0</v>
      </c>
      <c r="AU113" s="234">
        <v>0</v>
      </c>
    </row>
    <row r="114" spans="35:47" x14ac:dyDescent="0.3">
      <c r="AI114" s="12">
        <v>110</v>
      </c>
      <c r="AJ114" s="78" t="s">
        <v>105</v>
      </c>
      <c r="AK114" s="78" t="s">
        <v>1236</v>
      </c>
      <c r="AL114" s="78" t="s">
        <v>105</v>
      </c>
      <c r="AM114" s="78" t="s">
        <v>943</v>
      </c>
      <c r="AN114" s="78">
        <v>500</v>
      </c>
      <c r="AO114" s="78" t="s">
        <v>43</v>
      </c>
      <c r="AP114" s="78">
        <v>0</v>
      </c>
      <c r="AQ114" s="78">
        <v>0</v>
      </c>
      <c r="AR114" s="233">
        <v>0</v>
      </c>
      <c r="AS114" s="236"/>
      <c r="AT114" s="234">
        <v>0</v>
      </c>
      <c r="AU114" s="234">
        <v>0</v>
      </c>
    </row>
    <row r="115" spans="35:47" x14ac:dyDescent="0.3">
      <c r="AI115" s="12">
        <v>111</v>
      </c>
      <c r="AJ115" s="78" t="s">
        <v>410</v>
      </c>
      <c r="AK115" s="78" t="s">
        <v>1241</v>
      </c>
      <c r="AL115" s="78" t="s">
        <v>1196</v>
      </c>
      <c r="AM115" s="78" t="s">
        <v>943</v>
      </c>
      <c r="AN115" s="78">
        <v>135</v>
      </c>
      <c r="AO115" s="78" t="s">
        <v>43</v>
      </c>
      <c r="AP115" s="78">
        <v>0</v>
      </c>
      <c r="AQ115" s="78">
        <v>0</v>
      </c>
      <c r="AR115" s="233">
        <v>0</v>
      </c>
      <c r="AS115" s="236"/>
      <c r="AT115" s="234">
        <v>0</v>
      </c>
      <c r="AU115" s="234">
        <v>0</v>
      </c>
    </row>
    <row r="116" spans="35:47" x14ac:dyDescent="0.3">
      <c r="AI116" s="12">
        <v>112</v>
      </c>
      <c r="AJ116" s="78" t="s">
        <v>1491</v>
      </c>
      <c r="AK116" s="78" t="s">
        <v>1241</v>
      </c>
      <c r="AL116" s="78" t="s">
        <v>1196</v>
      </c>
      <c r="AM116" s="78" t="s">
        <v>943</v>
      </c>
      <c r="AN116" s="78">
        <v>155</v>
      </c>
      <c r="AO116" s="78" t="s">
        <v>43</v>
      </c>
      <c r="AP116" s="78">
        <v>0</v>
      </c>
      <c r="AQ116" s="78">
        <v>0</v>
      </c>
      <c r="AR116" s="233">
        <v>0</v>
      </c>
      <c r="AS116" s="236"/>
      <c r="AT116" s="234">
        <v>0</v>
      </c>
      <c r="AU116" s="234">
        <v>0</v>
      </c>
    </row>
    <row r="117" spans="35:47" x14ac:dyDescent="0.3">
      <c r="AI117" s="12">
        <v>113</v>
      </c>
      <c r="AJ117" s="78" t="s">
        <v>286</v>
      </c>
      <c r="AK117" s="78" t="s">
        <v>1258</v>
      </c>
      <c r="AL117" s="78" t="s">
        <v>952</v>
      </c>
      <c r="AM117" s="78" t="s">
        <v>953</v>
      </c>
      <c r="AN117" s="78">
        <v>180</v>
      </c>
      <c r="AO117" s="78" t="s">
        <v>43</v>
      </c>
      <c r="AP117" s="78">
        <v>0</v>
      </c>
      <c r="AQ117" s="78">
        <v>0</v>
      </c>
      <c r="AR117" s="233">
        <v>0</v>
      </c>
      <c r="AS117" s="236"/>
      <c r="AT117" s="234">
        <v>0</v>
      </c>
      <c r="AU117" s="234">
        <v>0</v>
      </c>
    </row>
    <row r="118" spans="35:47" x14ac:dyDescent="0.3">
      <c r="AI118" s="12">
        <v>114</v>
      </c>
      <c r="AJ118" s="78" t="s">
        <v>1492</v>
      </c>
      <c r="AK118" s="78" t="s">
        <v>1238</v>
      </c>
      <c r="AL118" s="78" t="s">
        <v>1212</v>
      </c>
      <c r="AM118" s="78" t="s">
        <v>1208</v>
      </c>
      <c r="AN118" s="78">
        <v>981</v>
      </c>
      <c r="AO118" s="78" t="s">
        <v>43</v>
      </c>
      <c r="AP118" s="78">
        <v>0</v>
      </c>
      <c r="AQ118" s="78">
        <v>0</v>
      </c>
      <c r="AR118" s="233">
        <v>0</v>
      </c>
      <c r="AS118" s="236"/>
      <c r="AT118" s="234">
        <v>0</v>
      </c>
      <c r="AU118" s="234">
        <v>0</v>
      </c>
    </row>
    <row r="119" spans="35:47" x14ac:dyDescent="0.3">
      <c r="AI119" s="12">
        <v>115</v>
      </c>
      <c r="AJ119" s="78" t="s">
        <v>427</v>
      </c>
      <c r="AK119" s="78" t="s">
        <v>1291</v>
      </c>
      <c r="AL119" s="78" t="s">
        <v>952</v>
      </c>
      <c r="AM119" s="78" t="s">
        <v>953</v>
      </c>
      <c r="AN119" s="78">
        <v>180</v>
      </c>
      <c r="AO119" s="78" t="s">
        <v>43</v>
      </c>
      <c r="AP119" s="78">
        <v>0</v>
      </c>
      <c r="AQ119" s="78">
        <v>0</v>
      </c>
      <c r="AR119" s="233">
        <v>0</v>
      </c>
      <c r="AS119" s="236"/>
      <c r="AT119" s="234">
        <v>0</v>
      </c>
      <c r="AU119" s="234">
        <v>0</v>
      </c>
    </row>
    <row r="120" spans="35:47" x14ac:dyDescent="0.3">
      <c r="AI120" s="12">
        <v>116</v>
      </c>
      <c r="AJ120" s="78" t="s">
        <v>440</v>
      </c>
      <c r="AK120" s="78" t="s">
        <v>1243</v>
      </c>
      <c r="AL120" s="78" t="s">
        <v>1196</v>
      </c>
      <c r="AM120" s="78" t="s">
        <v>943</v>
      </c>
      <c r="AN120" s="78">
        <v>135</v>
      </c>
      <c r="AO120" s="78" t="s">
        <v>43</v>
      </c>
      <c r="AP120" s="78">
        <v>0</v>
      </c>
      <c r="AQ120" s="78">
        <v>0</v>
      </c>
      <c r="AR120" s="233">
        <v>0</v>
      </c>
      <c r="AS120" s="236"/>
      <c r="AT120" s="234">
        <v>0</v>
      </c>
      <c r="AU120" s="234">
        <v>0</v>
      </c>
    </row>
    <row r="121" spans="35:47" x14ac:dyDescent="0.3">
      <c r="AI121" s="12">
        <v>117</v>
      </c>
      <c r="AJ121" s="78" t="s">
        <v>1493</v>
      </c>
      <c r="AK121" s="78" t="s">
        <v>1243</v>
      </c>
      <c r="AL121" s="78" t="s">
        <v>1196</v>
      </c>
      <c r="AM121" s="78" t="s">
        <v>943</v>
      </c>
      <c r="AN121" s="78">
        <v>155</v>
      </c>
      <c r="AO121" s="78" t="s">
        <v>43</v>
      </c>
      <c r="AP121" s="78">
        <v>0</v>
      </c>
      <c r="AQ121" s="78">
        <v>0</v>
      </c>
      <c r="AR121" s="233">
        <v>0</v>
      </c>
      <c r="AS121" s="236"/>
      <c r="AT121" s="234">
        <v>0</v>
      </c>
      <c r="AU121" s="234">
        <v>0</v>
      </c>
    </row>
    <row r="122" spans="35:47" x14ac:dyDescent="0.3">
      <c r="AI122" s="12">
        <v>118</v>
      </c>
      <c r="AJ122" s="78" t="s">
        <v>1494</v>
      </c>
      <c r="AK122" s="78" t="s">
        <v>707</v>
      </c>
      <c r="AL122" s="78" t="s">
        <v>921</v>
      </c>
      <c r="AM122" s="78" t="s">
        <v>946</v>
      </c>
      <c r="AN122" s="78">
        <v>900</v>
      </c>
      <c r="AO122" s="78" t="s">
        <v>43</v>
      </c>
      <c r="AP122" s="78">
        <v>0</v>
      </c>
      <c r="AQ122" s="78">
        <v>0</v>
      </c>
      <c r="AR122" s="233">
        <v>0</v>
      </c>
      <c r="AS122" s="236"/>
      <c r="AT122" s="234">
        <v>0</v>
      </c>
      <c r="AU122" s="234">
        <v>0</v>
      </c>
    </row>
    <row r="123" spans="35:47" x14ac:dyDescent="0.3">
      <c r="AI123" s="12">
        <v>119</v>
      </c>
      <c r="AJ123" s="78" t="s">
        <v>1495</v>
      </c>
      <c r="AK123" s="78" t="s">
        <v>426</v>
      </c>
      <c r="AL123" s="78" t="s">
        <v>925</v>
      </c>
      <c r="AM123" s="78" t="s">
        <v>925</v>
      </c>
      <c r="AN123" s="78">
        <v>337</v>
      </c>
      <c r="AO123" s="78" t="s">
        <v>43</v>
      </c>
      <c r="AP123" s="78">
        <v>0</v>
      </c>
      <c r="AQ123" s="78">
        <v>0</v>
      </c>
      <c r="AR123" s="233">
        <v>0</v>
      </c>
      <c r="AS123" s="236"/>
      <c r="AT123" s="234">
        <v>0</v>
      </c>
      <c r="AU123" s="234">
        <v>0</v>
      </c>
    </row>
    <row r="124" spans="35:47" x14ac:dyDescent="0.3">
      <c r="AI124" s="12">
        <v>120</v>
      </c>
      <c r="AJ124" s="78" t="s">
        <v>1496</v>
      </c>
      <c r="AK124" s="78" t="s">
        <v>1250</v>
      </c>
      <c r="AL124" s="78" t="s">
        <v>1205</v>
      </c>
      <c r="AM124" s="78" t="s">
        <v>1208</v>
      </c>
      <c r="AN124" s="78">
        <v>45</v>
      </c>
      <c r="AO124" s="78" t="s">
        <v>43</v>
      </c>
      <c r="AP124" s="78">
        <v>0</v>
      </c>
      <c r="AQ124" s="78">
        <v>0</v>
      </c>
      <c r="AR124" s="233">
        <v>0</v>
      </c>
      <c r="AS124" s="236"/>
      <c r="AT124" s="234">
        <v>0</v>
      </c>
      <c r="AU124" s="234">
        <v>0</v>
      </c>
    </row>
    <row r="125" spans="35:47" x14ac:dyDescent="0.3">
      <c r="AI125" s="12">
        <v>121</v>
      </c>
      <c r="AJ125" s="78" t="s">
        <v>1497</v>
      </c>
      <c r="AK125" s="78" t="s">
        <v>442</v>
      </c>
      <c r="AL125" s="78" t="s">
        <v>921</v>
      </c>
      <c r="AM125" s="78" t="s">
        <v>946</v>
      </c>
      <c r="AN125" s="78">
        <v>885</v>
      </c>
      <c r="AO125" s="78" t="s">
        <v>43</v>
      </c>
      <c r="AP125" s="78">
        <v>0</v>
      </c>
      <c r="AQ125" s="78">
        <v>0</v>
      </c>
      <c r="AR125" s="233">
        <v>0</v>
      </c>
      <c r="AS125" s="236"/>
      <c r="AT125" s="234">
        <v>0</v>
      </c>
      <c r="AU125" s="234">
        <v>0</v>
      </c>
    </row>
    <row r="126" spans="35:47" x14ac:dyDescent="0.3">
      <c r="AI126" s="12">
        <v>122</v>
      </c>
      <c r="AJ126" s="78" t="s">
        <v>1498</v>
      </c>
      <c r="AK126" s="78" t="s">
        <v>1304</v>
      </c>
      <c r="AL126" s="78" t="s">
        <v>1229</v>
      </c>
      <c r="AM126" s="78" t="s">
        <v>943</v>
      </c>
      <c r="AN126" s="78">
        <v>1000</v>
      </c>
      <c r="AO126" s="78" t="s">
        <v>43</v>
      </c>
      <c r="AP126" s="78">
        <v>0</v>
      </c>
      <c r="AQ126" s="78">
        <v>0</v>
      </c>
      <c r="AR126" s="233">
        <v>0</v>
      </c>
      <c r="AS126" s="236"/>
      <c r="AT126" s="234">
        <v>0</v>
      </c>
      <c r="AU126" s="234">
        <v>0</v>
      </c>
    </row>
    <row r="127" spans="35:47" x14ac:dyDescent="0.3">
      <c r="AI127" s="12">
        <v>123</v>
      </c>
      <c r="AJ127" s="78" t="s">
        <v>1499</v>
      </c>
      <c r="AK127" s="78" t="s">
        <v>1305</v>
      </c>
      <c r="AL127" s="78" t="s">
        <v>1229</v>
      </c>
      <c r="AM127" s="78" t="s">
        <v>943</v>
      </c>
      <c r="AN127" s="78">
        <v>1000</v>
      </c>
      <c r="AO127" s="78" t="s">
        <v>43</v>
      </c>
      <c r="AP127" s="78">
        <v>0</v>
      </c>
      <c r="AQ127" s="78">
        <v>0</v>
      </c>
      <c r="AR127" s="233">
        <v>0</v>
      </c>
      <c r="AS127" s="236"/>
      <c r="AT127" s="234">
        <v>0</v>
      </c>
      <c r="AU127" s="234">
        <v>0</v>
      </c>
    </row>
    <row r="128" spans="35:47" x14ac:dyDescent="0.3">
      <c r="AI128" s="12">
        <v>124</v>
      </c>
      <c r="AJ128" s="78" t="s">
        <v>1500</v>
      </c>
      <c r="AK128" s="78" t="s">
        <v>1306</v>
      </c>
      <c r="AL128" s="78" t="s">
        <v>1229</v>
      </c>
      <c r="AM128" s="78" t="s">
        <v>943</v>
      </c>
      <c r="AN128" s="78">
        <v>960</v>
      </c>
      <c r="AO128" s="78" t="s">
        <v>43</v>
      </c>
      <c r="AP128" s="78">
        <v>0</v>
      </c>
      <c r="AQ128" s="78">
        <v>0</v>
      </c>
      <c r="AR128" s="233">
        <v>0</v>
      </c>
      <c r="AS128" s="236"/>
      <c r="AT128" s="234">
        <v>0</v>
      </c>
      <c r="AU128" s="234">
        <v>0</v>
      </c>
    </row>
    <row r="129" spans="35:47" x14ac:dyDescent="0.3">
      <c r="AI129" s="12">
        <v>125</v>
      </c>
      <c r="AJ129" s="78" t="s">
        <v>1501</v>
      </c>
      <c r="AK129" s="78" t="s">
        <v>408</v>
      </c>
      <c r="AL129" s="78" t="s">
        <v>917</v>
      </c>
      <c r="AM129" s="78" t="s">
        <v>918</v>
      </c>
      <c r="AN129" s="78">
        <v>740</v>
      </c>
      <c r="AO129" s="78" t="s">
        <v>43</v>
      </c>
      <c r="AP129" s="78">
        <v>0</v>
      </c>
      <c r="AQ129" s="78">
        <v>0</v>
      </c>
      <c r="AR129" s="233">
        <v>0</v>
      </c>
      <c r="AS129" s="236"/>
      <c r="AT129" s="234">
        <v>0</v>
      </c>
      <c r="AU129" s="234">
        <v>0</v>
      </c>
    </row>
    <row r="130" spans="35:47" x14ac:dyDescent="0.3">
      <c r="AI130" s="12">
        <v>126</v>
      </c>
      <c r="AJ130" s="78" t="s">
        <v>1502</v>
      </c>
      <c r="AK130" s="78" t="s">
        <v>1307</v>
      </c>
      <c r="AL130" s="78" t="s">
        <v>1229</v>
      </c>
      <c r="AM130" s="78" t="s">
        <v>943</v>
      </c>
      <c r="AN130" s="78">
        <v>740</v>
      </c>
      <c r="AO130" s="78" t="s">
        <v>43</v>
      </c>
      <c r="AP130" s="78">
        <v>0</v>
      </c>
      <c r="AQ130" s="78">
        <v>0</v>
      </c>
      <c r="AR130" s="233">
        <v>0</v>
      </c>
      <c r="AS130" s="236"/>
      <c r="AT130" s="234">
        <v>0</v>
      </c>
      <c r="AU130" s="234">
        <v>0</v>
      </c>
    </row>
    <row r="131" spans="35:47" x14ac:dyDescent="0.3">
      <c r="AI131" s="12">
        <v>127</v>
      </c>
      <c r="AJ131" s="78" t="s">
        <v>1503</v>
      </c>
      <c r="AK131" s="78" t="s">
        <v>444</v>
      </c>
      <c r="AL131" s="78" t="s">
        <v>917</v>
      </c>
      <c r="AM131" s="78" t="s">
        <v>918</v>
      </c>
      <c r="AN131" s="78">
        <v>740</v>
      </c>
      <c r="AO131" s="78" t="s">
        <v>43</v>
      </c>
      <c r="AP131" s="78">
        <v>0</v>
      </c>
      <c r="AQ131" s="78">
        <v>0</v>
      </c>
      <c r="AR131" s="233">
        <v>0</v>
      </c>
      <c r="AS131" s="236"/>
      <c r="AT131" s="234">
        <v>0</v>
      </c>
      <c r="AU131" s="234">
        <v>0</v>
      </c>
    </row>
    <row r="132" spans="35:47" x14ac:dyDescent="0.3">
      <c r="AI132" s="12">
        <v>128</v>
      </c>
      <c r="AJ132" s="78" t="s">
        <v>1504</v>
      </c>
      <c r="AK132" s="78" t="s">
        <v>408</v>
      </c>
      <c r="AL132" s="78" t="s">
        <v>917</v>
      </c>
      <c r="AM132" s="78" t="s">
        <v>918</v>
      </c>
      <c r="AN132" s="78">
        <v>960</v>
      </c>
      <c r="AO132" s="78" t="s">
        <v>43</v>
      </c>
      <c r="AP132" s="78">
        <v>0</v>
      </c>
      <c r="AQ132" s="78">
        <v>0</v>
      </c>
      <c r="AR132" s="233">
        <v>0</v>
      </c>
      <c r="AS132" s="236"/>
      <c r="AT132" s="234">
        <v>0</v>
      </c>
      <c r="AU132" s="234">
        <v>0</v>
      </c>
    </row>
    <row r="133" spans="35:47" x14ac:dyDescent="0.3">
      <c r="AI133" s="12">
        <v>129</v>
      </c>
      <c r="AJ133" s="78" t="s">
        <v>1505</v>
      </c>
      <c r="AK133" s="78" t="s">
        <v>444</v>
      </c>
      <c r="AL133" s="78" t="s">
        <v>917</v>
      </c>
      <c r="AM133" s="78" t="s">
        <v>918</v>
      </c>
      <c r="AN133" s="78">
        <v>960</v>
      </c>
      <c r="AO133" s="78" t="s">
        <v>43</v>
      </c>
      <c r="AP133" s="78">
        <v>0</v>
      </c>
      <c r="AQ133" s="78">
        <v>0</v>
      </c>
      <c r="AR133" s="233">
        <v>0</v>
      </c>
      <c r="AS133" s="236"/>
      <c r="AT133" s="234">
        <v>0</v>
      </c>
      <c r="AU133" s="234">
        <v>0</v>
      </c>
    </row>
    <row r="134" spans="35:47" x14ac:dyDescent="0.3">
      <c r="AI134" s="12">
        <v>130</v>
      </c>
      <c r="AJ134" s="78" t="s">
        <v>1506</v>
      </c>
      <c r="AK134" s="78" t="s">
        <v>1312</v>
      </c>
      <c r="AL134" s="78" t="s">
        <v>1220</v>
      </c>
      <c r="AM134" s="78" t="s">
        <v>1208</v>
      </c>
      <c r="AN134" s="78">
        <v>300</v>
      </c>
      <c r="AO134" s="78" t="s">
        <v>43</v>
      </c>
      <c r="AP134" s="78">
        <v>0</v>
      </c>
      <c r="AQ134" s="78">
        <v>0</v>
      </c>
      <c r="AR134" s="233">
        <v>0</v>
      </c>
      <c r="AS134" s="236"/>
      <c r="AT134" s="234">
        <v>0.71</v>
      </c>
      <c r="AU134" s="234">
        <v>0.18</v>
      </c>
    </row>
    <row r="135" spans="35:47" x14ac:dyDescent="0.3">
      <c r="AI135" s="12">
        <v>131</v>
      </c>
      <c r="AJ135" s="78" t="s">
        <v>1507</v>
      </c>
      <c r="AK135" s="78" t="s">
        <v>1313</v>
      </c>
      <c r="AL135" s="78" t="s">
        <v>1220</v>
      </c>
      <c r="AM135" s="78" t="s">
        <v>1208</v>
      </c>
      <c r="AN135" s="78">
        <v>39</v>
      </c>
      <c r="AO135" s="78" t="s">
        <v>43</v>
      </c>
      <c r="AP135" s="78">
        <v>0</v>
      </c>
      <c r="AQ135" s="78">
        <v>0</v>
      </c>
      <c r="AR135" s="233">
        <v>0</v>
      </c>
      <c r="AS135" s="236"/>
      <c r="AT135" s="234">
        <v>0</v>
      </c>
      <c r="AU135" s="234">
        <v>0</v>
      </c>
    </row>
    <row r="136" spans="35:47" x14ac:dyDescent="0.3">
      <c r="AI136" s="12">
        <v>132</v>
      </c>
      <c r="AJ136" s="78" t="s">
        <v>1508</v>
      </c>
      <c r="AK136" s="78" t="s">
        <v>1308</v>
      </c>
      <c r="AL136" s="78" t="s">
        <v>1218</v>
      </c>
      <c r="AM136" s="78" t="s">
        <v>1208</v>
      </c>
      <c r="AN136" s="78">
        <v>95</v>
      </c>
      <c r="AO136" s="78" t="s">
        <v>43</v>
      </c>
      <c r="AP136" s="78">
        <v>0</v>
      </c>
      <c r="AQ136" s="78">
        <v>0</v>
      </c>
      <c r="AR136" s="233">
        <v>0</v>
      </c>
      <c r="AS136" s="236"/>
      <c r="AT136" s="234">
        <v>0</v>
      </c>
      <c r="AU136" s="234">
        <v>0</v>
      </c>
    </row>
    <row r="137" spans="35:47" x14ac:dyDescent="0.3">
      <c r="AI137" s="12">
        <v>133</v>
      </c>
      <c r="AJ137" s="78" t="s">
        <v>1509</v>
      </c>
      <c r="AK137" s="78" t="s">
        <v>1309</v>
      </c>
      <c r="AL137" s="78" t="s">
        <v>1230</v>
      </c>
      <c r="AM137" s="78" t="s">
        <v>1208</v>
      </c>
      <c r="AN137" s="78">
        <v>980</v>
      </c>
      <c r="AO137" s="78" t="s">
        <v>43</v>
      </c>
      <c r="AP137" s="78" t="s">
        <v>1625</v>
      </c>
      <c r="AQ137" s="78">
        <v>0</v>
      </c>
      <c r="AR137" s="233">
        <v>0</v>
      </c>
      <c r="AS137" s="236"/>
      <c r="AT137" s="234">
        <v>0</v>
      </c>
      <c r="AU137" s="234">
        <v>0</v>
      </c>
    </row>
    <row r="138" spans="35:47" x14ac:dyDescent="0.3">
      <c r="AI138" s="12">
        <v>134</v>
      </c>
      <c r="AJ138" s="78" t="s">
        <v>1510</v>
      </c>
      <c r="AK138" s="78" t="s">
        <v>1310</v>
      </c>
      <c r="AL138" s="78" t="s">
        <v>1310</v>
      </c>
      <c r="AM138" s="78" t="s">
        <v>1211</v>
      </c>
      <c r="AN138" s="78">
        <v>980</v>
      </c>
      <c r="AO138" s="78" t="s">
        <v>43</v>
      </c>
      <c r="AP138" s="78" t="s">
        <v>1625</v>
      </c>
      <c r="AQ138" s="78">
        <v>0</v>
      </c>
      <c r="AR138" s="233">
        <v>0</v>
      </c>
      <c r="AS138" s="236"/>
      <c r="AT138" s="234">
        <v>0</v>
      </c>
      <c r="AU138" s="234">
        <v>0</v>
      </c>
    </row>
    <row r="139" spans="35:47" x14ac:dyDescent="0.3">
      <c r="AI139" s="12">
        <v>135</v>
      </c>
      <c r="AJ139" s="78" t="s">
        <v>1511</v>
      </c>
      <c r="AK139" s="78" t="s">
        <v>1254</v>
      </c>
      <c r="AL139" s="78" t="s">
        <v>1202</v>
      </c>
      <c r="AM139" s="78" t="s">
        <v>1208</v>
      </c>
      <c r="AN139" s="78">
        <v>80</v>
      </c>
      <c r="AO139" s="78" t="s">
        <v>43</v>
      </c>
      <c r="AP139" s="78">
        <v>0</v>
      </c>
      <c r="AQ139" s="78">
        <v>80</v>
      </c>
      <c r="AR139" s="233" t="s">
        <v>1619</v>
      </c>
      <c r="AS139" s="236"/>
      <c r="AT139" s="234">
        <v>6.61</v>
      </c>
      <c r="AU139" s="234">
        <v>0.24</v>
      </c>
    </row>
    <row r="140" spans="35:47" x14ac:dyDescent="0.3">
      <c r="AI140" s="12">
        <v>136</v>
      </c>
      <c r="AJ140" s="78" t="s">
        <v>1512</v>
      </c>
      <c r="AK140" s="78" t="s">
        <v>1257</v>
      </c>
      <c r="AL140" s="78" t="s">
        <v>1202</v>
      </c>
      <c r="AM140" s="78" t="s">
        <v>1208</v>
      </c>
      <c r="AN140" s="78">
        <v>300</v>
      </c>
      <c r="AO140" s="78" t="s">
        <v>43</v>
      </c>
      <c r="AP140" s="78">
        <v>0</v>
      </c>
      <c r="AQ140" s="78">
        <v>80</v>
      </c>
      <c r="AR140" s="233" t="s">
        <v>1619</v>
      </c>
      <c r="AS140" s="236"/>
      <c r="AT140" s="234">
        <v>17</v>
      </c>
      <c r="AU140" s="234">
        <v>0.18</v>
      </c>
    </row>
    <row r="141" spans="35:47" x14ac:dyDescent="0.3">
      <c r="AI141" s="12">
        <v>137</v>
      </c>
      <c r="AJ141" s="78" t="s">
        <v>1513</v>
      </c>
      <c r="AK141" s="78" t="s">
        <v>1254</v>
      </c>
      <c r="AL141" s="78" t="s">
        <v>1202</v>
      </c>
      <c r="AM141" s="78" t="s">
        <v>1208</v>
      </c>
      <c r="AN141" s="78">
        <v>110</v>
      </c>
      <c r="AO141" s="78" t="s">
        <v>43</v>
      </c>
      <c r="AP141" s="78">
        <v>0</v>
      </c>
      <c r="AQ141" s="78">
        <v>80</v>
      </c>
      <c r="AR141" s="233" t="s">
        <v>1619</v>
      </c>
      <c r="AS141" s="236"/>
      <c r="AT141" s="234">
        <v>6.61</v>
      </c>
      <c r="AU141" s="234">
        <v>0.18</v>
      </c>
    </row>
    <row r="142" spans="35:47" x14ac:dyDescent="0.3">
      <c r="AI142" s="12">
        <v>138</v>
      </c>
      <c r="AJ142" s="78" t="s">
        <v>1514</v>
      </c>
      <c r="AK142" s="78" t="s">
        <v>1260</v>
      </c>
      <c r="AL142" s="78" t="s">
        <v>1202</v>
      </c>
      <c r="AM142" s="78" t="s">
        <v>1208</v>
      </c>
      <c r="AN142" s="78">
        <v>50</v>
      </c>
      <c r="AO142" s="78" t="s">
        <v>43</v>
      </c>
      <c r="AP142" s="78">
        <v>0</v>
      </c>
      <c r="AQ142" s="78">
        <v>80</v>
      </c>
      <c r="AR142" s="233" t="s">
        <v>1619</v>
      </c>
      <c r="AS142" s="236"/>
      <c r="AT142" s="234">
        <v>9.32</v>
      </c>
      <c r="AU142" s="234">
        <v>0.45</v>
      </c>
    </row>
    <row r="143" spans="35:47" x14ac:dyDescent="0.3">
      <c r="AI143" s="12">
        <v>139</v>
      </c>
      <c r="AJ143" s="78" t="s">
        <v>1515</v>
      </c>
      <c r="AK143" s="78" t="s">
        <v>1260</v>
      </c>
      <c r="AL143" s="78" t="s">
        <v>1202</v>
      </c>
      <c r="AM143" s="78" t="s">
        <v>1208</v>
      </c>
      <c r="AN143" s="78">
        <v>66</v>
      </c>
      <c r="AO143" s="78" t="s">
        <v>43</v>
      </c>
      <c r="AP143" s="78">
        <v>0</v>
      </c>
      <c r="AQ143" s="78">
        <v>80</v>
      </c>
      <c r="AR143" s="233" t="s">
        <v>1619</v>
      </c>
      <c r="AS143" s="236"/>
      <c r="AT143" s="234">
        <v>9.32</v>
      </c>
      <c r="AU143" s="234">
        <v>0.45</v>
      </c>
    </row>
    <row r="144" spans="35:47" x14ac:dyDescent="0.3">
      <c r="AI144" s="12">
        <v>140</v>
      </c>
      <c r="AJ144" s="78" t="s">
        <v>1516</v>
      </c>
      <c r="AK144" s="78" t="s">
        <v>1311</v>
      </c>
      <c r="AL144" s="78" t="s">
        <v>1202</v>
      </c>
      <c r="AM144" s="78" t="s">
        <v>1208</v>
      </c>
      <c r="AN144" s="78">
        <v>330</v>
      </c>
      <c r="AO144" s="78" t="s">
        <v>43</v>
      </c>
      <c r="AP144" s="78" t="s">
        <v>1623</v>
      </c>
      <c r="AQ144" s="78">
        <v>80</v>
      </c>
      <c r="AR144" s="233" t="s">
        <v>1619</v>
      </c>
      <c r="AS144" s="236"/>
      <c r="AT144" s="234">
        <v>13.7</v>
      </c>
      <c r="AU144" s="234">
        <v>0.45</v>
      </c>
    </row>
    <row r="145" spans="35:47" x14ac:dyDescent="0.3">
      <c r="AI145" s="12">
        <v>141</v>
      </c>
      <c r="AJ145" s="78" t="s">
        <v>1517</v>
      </c>
      <c r="AK145" s="78" t="s">
        <v>1260</v>
      </c>
      <c r="AL145" s="78" t="s">
        <v>1202</v>
      </c>
      <c r="AM145" s="78" t="s">
        <v>1208</v>
      </c>
      <c r="AN145" s="78">
        <v>45</v>
      </c>
      <c r="AO145" s="78" t="s">
        <v>43</v>
      </c>
      <c r="AP145" s="78">
        <v>0</v>
      </c>
      <c r="AQ145" s="78">
        <v>80</v>
      </c>
      <c r="AR145" s="233" t="s">
        <v>1619</v>
      </c>
      <c r="AS145" s="236"/>
      <c r="AT145" s="234">
        <v>9.32</v>
      </c>
      <c r="AU145" s="234">
        <v>0.45</v>
      </c>
    </row>
    <row r="146" spans="35:47" x14ac:dyDescent="0.3">
      <c r="AI146" s="12">
        <v>142</v>
      </c>
      <c r="AJ146" s="78" t="s">
        <v>1518</v>
      </c>
      <c r="AK146" s="78" t="s">
        <v>1260</v>
      </c>
      <c r="AL146" s="78" t="s">
        <v>1202</v>
      </c>
      <c r="AM146" s="78" t="s">
        <v>1208</v>
      </c>
      <c r="AN146" s="78">
        <v>45</v>
      </c>
      <c r="AO146" s="78" t="s">
        <v>43</v>
      </c>
      <c r="AP146" s="78">
        <v>0</v>
      </c>
      <c r="AQ146" s="78">
        <v>80</v>
      </c>
      <c r="AR146" s="233" t="s">
        <v>1619</v>
      </c>
      <c r="AS146" s="236"/>
      <c r="AT146" s="234">
        <v>9.32</v>
      </c>
      <c r="AU146" s="234">
        <v>0.45</v>
      </c>
    </row>
    <row r="147" spans="35:47" x14ac:dyDescent="0.3">
      <c r="AI147" s="12">
        <v>143</v>
      </c>
      <c r="AJ147" s="78" t="s">
        <v>1519</v>
      </c>
      <c r="AK147" s="78" t="s">
        <v>1259</v>
      </c>
      <c r="AL147" s="78" t="s">
        <v>1216</v>
      </c>
      <c r="AM147" s="78" t="s">
        <v>1208</v>
      </c>
      <c r="AN147" s="78">
        <v>87</v>
      </c>
      <c r="AO147" s="78" t="s">
        <v>43</v>
      </c>
      <c r="AP147" s="78" t="s">
        <v>1620</v>
      </c>
      <c r="AQ147" s="78">
        <v>80</v>
      </c>
      <c r="AR147" s="233" t="s">
        <v>1621</v>
      </c>
      <c r="AS147" s="236"/>
      <c r="AT147" s="234">
        <v>1</v>
      </c>
      <c r="AU147" s="234">
        <v>0.24</v>
      </c>
    </row>
    <row r="148" spans="35:47" x14ac:dyDescent="0.3">
      <c r="AI148" s="12">
        <v>144</v>
      </c>
      <c r="AJ148" s="78" t="s">
        <v>1520</v>
      </c>
      <c r="AK148" s="78" t="s">
        <v>1259</v>
      </c>
      <c r="AL148" s="78" t="s">
        <v>1216</v>
      </c>
      <c r="AM148" s="78" t="s">
        <v>1208</v>
      </c>
      <c r="AN148" s="78">
        <v>100</v>
      </c>
      <c r="AO148" s="78" t="s">
        <v>43</v>
      </c>
      <c r="AP148" s="78" t="s">
        <v>1624</v>
      </c>
      <c r="AQ148" s="78">
        <v>80</v>
      </c>
      <c r="AR148" s="233" t="s">
        <v>1621</v>
      </c>
      <c r="AS148" s="236"/>
      <c r="AT148" s="234">
        <v>1</v>
      </c>
      <c r="AU148" s="234">
        <v>0.18</v>
      </c>
    </row>
    <row r="149" spans="35:47" x14ac:dyDescent="0.3">
      <c r="AI149" s="12">
        <v>145</v>
      </c>
      <c r="AJ149" s="78" t="s">
        <v>1521</v>
      </c>
      <c r="AK149" s="78" t="s">
        <v>1314</v>
      </c>
      <c r="AL149" s="78" t="s">
        <v>1220</v>
      </c>
      <c r="AM149" s="78" t="s">
        <v>1208</v>
      </c>
      <c r="AN149" s="78">
        <v>95</v>
      </c>
      <c r="AO149" s="78" t="s">
        <v>43</v>
      </c>
      <c r="AP149" s="78" t="s">
        <v>1622</v>
      </c>
      <c r="AQ149" s="78">
        <v>0</v>
      </c>
      <c r="AR149" s="233">
        <v>0</v>
      </c>
      <c r="AS149" s="236"/>
      <c r="AT149" s="234">
        <v>0</v>
      </c>
      <c r="AU149" s="234">
        <v>0</v>
      </c>
    </row>
    <row r="150" spans="35:47" x14ac:dyDescent="0.3">
      <c r="AI150" s="12">
        <v>146</v>
      </c>
      <c r="AJ150" s="78" t="s">
        <v>1522</v>
      </c>
      <c r="AK150" s="78" t="s">
        <v>1312</v>
      </c>
      <c r="AL150" s="78" t="s">
        <v>1220</v>
      </c>
      <c r="AM150" s="78" t="s">
        <v>1208</v>
      </c>
      <c r="AN150" s="78">
        <v>300</v>
      </c>
      <c r="AO150" s="78" t="s">
        <v>43</v>
      </c>
      <c r="AP150" s="78">
        <v>0</v>
      </c>
      <c r="AQ150" s="78">
        <v>0</v>
      </c>
      <c r="AR150" s="233">
        <v>0</v>
      </c>
      <c r="AS150" s="236"/>
      <c r="AT150" s="234">
        <v>0.71</v>
      </c>
      <c r="AU150" s="234">
        <v>0.18</v>
      </c>
    </row>
    <row r="151" spans="35:47" x14ac:dyDescent="0.3">
      <c r="AI151" s="12">
        <v>147</v>
      </c>
      <c r="AJ151" s="78" t="s">
        <v>1523</v>
      </c>
      <c r="AK151" s="78" t="s">
        <v>1313</v>
      </c>
      <c r="AL151" s="78" t="s">
        <v>1220</v>
      </c>
      <c r="AM151" s="78" t="s">
        <v>1208</v>
      </c>
      <c r="AN151" s="78">
        <v>39</v>
      </c>
      <c r="AO151" s="78" t="s">
        <v>43</v>
      </c>
      <c r="AP151" s="78">
        <v>0</v>
      </c>
      <c r="AQ151" s="78">
        <v>0</v>
      </c>
      <c r="AR151" s="233">
        <v>0</v>
      </c>
      <c r="AS151" s="236"/>
      <c r="AT151" s="234">
        <v>0</v>
      </c>
      <c r="AU151" s="234">
        <v>0</v>
      </c>
    </row>
    <row r="152" spans="35:47" x14ac:dyDescent="0.3">
      <c r="AI152" s="12">
        <v>148</v>
      </c>
      <c r="AJ152" s="78" t="s">
        <v>1524</v>
      </c>
      <c r="AK152" s="78" t="s">
        <v>688</v>
      </c>
      <c r="AL152" s="78" t="s">
        <v>1316</v>
      </c>
      <c r="AM152" s="78" t="s">
        <v>1213</v>
      </c>
      <c r="AN152" s="78">
        <v>318</v>
      </c>
      <c r="AO152" s="78" t="s">
        <v>43</v>
      </c>
      <c r="AP152" s="78">
        <v>0</v>
      </c>
      <c r="AQ152" s="78">
        <v>0</v>
      </c>
      <c r="AR152" s="233">
        <v>0</v>
      </c>
      <c r="AS152" s="236"/>
      <c r="AT152" s="234">
        <v>0</v>
      </c>
      <c r="AU152" s="234">
        <v>0</v>
      </c>
    </row>
    <row r="153" spans="35:47" x14ac:dyDescent="0.3">
      <c r="AI153" s="12">
        <v>149</v>
      </c>
      <c r="AJ153" s="78" t="s">
        <v>1525</v>
      </c>
      <c r="AK153" s="78" t="s">
        <v>1317</v>
      </c>
      <c r="AL153" s="78" t="s">
        <v>1316</v>
      </c>
      <c r="AM153" s="78" t="s">
        <v>1213</v>
      </c>
      <c r="AN153" s="78">
        <v>220</v>
      </c>
      <c r="AO153" s="78" t="s">
        <v>43</v>
      </c>
      <c r="AP153" s="78">
        <v>0</v>
      </c>
      <c r="AQ153" s="78">
        <v>0</v>
      </c>
      <c r="AR153" s="233">
        <v>0</v>
      </c>
      <c r="AS153" s="236"/>
      <c r="AT153" s="234">
        <v>0</v>
      </c>
      <c r="AU153" s="234">
        <v>0</v>
      </c>
    </row>
    <row r="154" spans="35:47" x14ac:dyDescent="0.3">
      <c r="AI154" s="12">
        <v>150</v>
      </c>
      <c r="AJ154" s="78" t="s">
        <v>1526</v>
      </c>
      <c r="AK154" s="78" t="s">
        <v>689</v>
      </c>
      <c r="AL154" s="78" t="s">
        <v>1316</v>
      </c>
      <c r="AM154" s="78" t="s">
        <v>1213</v>
      </c>
      <c r="AN154" s="78">
        <v>337</v>
      </c>
      <c r="AO154" s="78" t="s">
        <v>43</v>
      </c>
      <c r="AP154" s="78" t="s">
        <v>1626</v>
      </c>
      <c r="AQ154" s="78">
        <v>0</v>
      </c>
      <c r="AR154" s="233">
        <v>0</v>
      </c>
      <c r="AS154" s="236"/>
      <c r="AT154" s="234">
        <v>0</v>
      </c>
      <c r="AU154" s="234">
        <v>0</v>
      </c>
    </row>
    <row r="155" spans="35:47" x14ac:dyDescent="0.3">
      <c r="AI155" s="12">
        <v>151</v>
      </c>
      <c r="AJ155" s="78" t="s">
        <v>1527</v>
      </c>
      <c r="AK155" s="78" t="s">
        <v>1318</v>
      </c>
      <c r="AL155" s="78" t="s">
        <v>1221</v>
      </c>
      <c r="AM155" s="78" t="s">
        <v>1208</v>
      </c>
      <c r="AN155" s="78">
        <v>95</v>
      </c>
      <c r="AO155" s="78" t="s">
        <v>43</v>
      </c>
      <c r="AP155" s="78" t="s">
        <v>1622</v>
      </c>
      <c r="AQ155" s="78">
        <v>0</v>
      </c>
      <c r="AR155" s="233">
        <v>0</v>
      </c>
      <c r="AS155" s="236"/>
      <c r="AT155" s="234">
        <v>0</v>
      </c>
      <c r="AU155" s="234">
        <v>0</v>
      </c>
    </row>
    <row r="156" spans="35:47" x14ac:dyDescent="0.3">
      <c r="AI156" s="12">
        <v>152</v>
      </c>
      <c r="AJ156" s="78" t="s">
        <v>1528</v>
      </c>
      <c r="AK156" s="78" t="s">
        <v>1319</v>
      </c>
      <c r="AL156" s="78" t="s">
        <v>1221</v>
      </c>
      <c r="AM156" s="78" t="s">
        <v>1208</v>
      </c>
      <c r="AN156" s="78">
        <v>95</v>
      </c>
      <c r="AO156" s="78" t="s">
        <v>43</v>
      </c>
      <c r="AP156" s="78" t="s">
        <v>1622</v>
      </c>
      <c r="AQ156" s="78">
        <v>0</v>
      </c>
      <c r="AR156" s="233">
        <v>0</v>
      </c>
      <c r="AS156" s="236"/>
      <c r="AT156" s="234">
        <v>0</v>
      </c>
      <c r="AU156" s="234">
        <v>0</v>
      </c>
    </row>
    <row r="157" spans="35:47" x14ac:dyDescent="0.3">
      <c r="AI157" s="12">
        <v>153</v>
      </c>
      <c r="AJ157" s="78" t="s">
        <v>1529</v>
      </c>
      <c r="AK157" s="78" t="s">
        <v>1322</v>
      </c>
      <c r="AL157" s="78" t="s">
        <v>1221</v>
      </c>
      <c r="AM157" s="78" t="s">
        <v>1208</v>
      </c>
      <c r="AN157" s="78">
        <v>300</v>
      </c>
      <c r="AO157" s="78" t="s">
        <v>43</v>
      </c>
      <c r="AP157" s="78">
        <v>0</v>
      </c>
      <c r="AQ157" s="78">
        <v>0</v>
      </c>
      <c r="AR157" s="233">
        <v>0</v>
      </c>
      <c r="AS157" s="236"/>
      <c r="AT157" s="234">
        <v>0</v>
      </c>
      <c r="AU157" s="234">
        <v>0</v>
      </c>
    </row>
    <row r="158" spans="35:47" x14ac:dyDescent="0.3">
      <c r="AI158" s="12">
        <v>154</v>
      </c>
      <c r="AJ158" s="78" t="s">
        <v>1530</v>
      </c>
      <c r="AK158" s="78" t="s">
        <v>1323</v>
      </c>
      <c r="AL158" s="78" t="s">
        <v>1221</v>
      </c>
      <c r="AM158" s="78" t="s">
        <v>1208</v>
      </c>
      <c r="AN158" s="78">
        <v>39</v>
      </c>
      <c r="AO158" s="78" t="s">
        <v>43</v>
      </c>
      <c r="AP158" s="78">
        <v>0</v>
      </c>
      <c r="AQ158" s="78">
        <v>0</v>
      </c>
      <c r="AR158" s="233">
        <v>0</v>
      </c>
      <c r="AS158" s="236"/>
      <c r="AT158" s="234">
        <v>0</v>
      </c>
      <c r="AU158" s="234">
        <v>0</v>
      </c>
    </row>
    <row r="159" spans="35:47" x14ac:dyDescent="0.3">
      <c r="AI159" s="12">
        <v>155</v>
      </c>
      <c r="AJ159" s="78" t="s">
        <v>1531</v>
      </c>
      <c r="AK159" s="78" t="s">
        <v>1324</v>
      </c>
      <c r="AL159" s="78" t="s">
        <v>1219</v>
      </c>
      <c r="AM159" s="78" t="s">
        <v>1208</v>
      </c>
      <c r="AN159" s="78">
        <v>95</v>
      </c>
      <c r="AO159" s="78" t="s">
        <v>43</v>
      </c>
      <c r="AP159" s="78">
        <v>0</v>
      </c>
      <c r="AQ159" s="78">
        <v>0</v>
      </c>
      <c r="AR159" s="233">
        <v>0</v>
      </c>
      <c r="AS159" s="236"/>
      <c r="AT159" s="234">
        <v>0</v>
      </c>
      <c r="AU159" s="234">
        <v>0</v>
      </c>
    </row>
    <row r="160" spans="35:47" x14ac:dyDescent="0.3">
      <c r="AI160" s="12">
        <v>156</v>
      </c>
      <c r="AJ160" s="78" t="s">
        <v>1532</v>
      </c>
      <c r="AK160" s="78" t="s">
        <v>1325</v>
      </c>
      <c r="AL160" s="78" t="s">
        <v>1218</v>
      </c>
      <c r="AM160" s="78" t="s">
        <v>1208</v>
      </c>
      <c r="AN160" s="78">
        <v>95</v>
      </c>
      <c r="AO160" s="78" t="s">
        <v>43</v>
      </c>
      <c r="AP160" s="78">
        <v>0</v>
      </c>
      <c r="AQ160" s="78">
        <v>0</v>
      </c>
      <c r="AR160" s="233">
        <v>0</v>
      </c>
      <c r="AS160" s="236"/>
      <c r="AT160" s="234">
        <v>0</v>
      </c>
      <c r="AU160" s="234">
        <v>0</v>
      </c>
    </row>
    <row r="161" spans="35:47" x14ac:dyDescent="0.3">
      <c r="AI161" s="12">
        <v>157</v>
      </c>
      <c r="AJ161" s="78" t="s">
        <v>1533</v>
      </c>
      <c r="AK161" s="78" t="s">
        <v>1326</v>
      </c>
      <c r="AL161" s="78" t="s">
        <v>1219</v>
      </c>
      <c r="AM161" s="78" t="s">
        <v>1208</v>
      </c>
      <c r="AN161" s="78">
        <v>95</v>
      </c>
      <c r="AO161" s="78" t="s">
        <v>43</v>
      </c>
      <c r="AP161" s="78">
        <v>0</v>
      </c>
      <c r="AQ161" s="78">
        <v>0</v>
      </c>
      <c r="AR161" s="233">
        <v>0</v>
      </c>
      <c r="AS161" s="236"/>
      <c r="AT161" s="234">
        <v>0</v>
      </c>
      <c r="AU161" s="234">
        <v>0</v>
      </c>
    </row>
    <row r="162" spans="35:47" x14ac:dyDescent="0.3">
      <c r="AI162" s="12">
        <v>158</v>
      </c>
      <c r="AJ162" s="78" t="s">
        <v>1534</v>
      </c>
      <c r="AK162" s="78" t="s">
        <v>1327</v>
      </c>
      <c r="AL162" s="78" t="s">
        <v>1218</v>
      </c>
      <c r="AM162" s="78" t="s">
        <v>1208</v>
      </c>
      <c r="AN162" s="78">
        <v>95</v>
      </c>
      <c r="AO162" s="78" t="s">
        <v>43</v>
      </c>
      <c r="AP162" s="78">
        <v>0</v>
      </c>
      <c r="AQ162" s="78">
        <v>0</v>
      </c>
      <c r="AR162" s="233">
        <v>0</v>
      </c>
      <c r="AS162" s="236"/>
      <c r="AT162" s="234">
        <v>0</v>
      </c>
      <c r="AU162" s="234">
        <v>0</v>
      </c>
    </row>
    <row r="163" spans="35:47" x14ac:dyDescent="0.3">
      <c r="AI163" s="12">
        <v>159</v>
      </c>
      <c r="AJ163" s="78" t="s">
        <v>1535</v>
      </c>
      <c r="AK163" s="78" t="s">
        <v>1328</v>
      </c>
      <c r="AL163" s="78" t="s">
        <v>1202</v>
      </c>
      <c r="AM163" s="78" t="s">
        <v>1208</v>
      </c>
      <c r="AN163" s="78">
        <v>39</v>
      </c>
      <c r="AO163" s="78" t="s">
        <v>43</v>
      </c>
      <c r="AP163" s="78">
        <v>0</v>
      </c>
      <c r="AQ163" s="78">
        <v>0</v>
      </c>
      <c r="AR163" s="233">
        <v>0</v>
      </c>
      <c r="AS163" s="236"/>
      <c r="AT163" s="234">
        <v>0</v>
      </c>
      <c r="AU163" s="234">
        <v>0</v>
      </c>
    </row>
    <row r="164" spans="35:47" x14ac:dyDescent="0.3">
      <c r="AI164" s="12">
        <v>160</v>
      </c>
      <c r="AJ164" s="78" t="s">
        <v>1536</v>
      </c>
      <c r="AK164" s="78" t="s">
        <v>1329</v>
      </c>
      <c r="AL164" s="78" t="s">
        <v>1202</v>
      </c>
      <c r="AM164" s="78" t="s">
        <v>1208</v>
      </c>
      <c r="AN164" s="78">
        <v>300</v>
      </c>
      <c r="AO164" s="78" t="s">
        <v>43</v>
      </c>
      <c r="AP164" s="78">
        <v>0</v>
      </c>
      <c r="AQ164" s="78">
        <v>0</v>
      </c>
      <c r="AR164" s="233">
        <v>0</v>
      </c>
      <c r="AS164" s="236"/>
      <c r="AT164" s="234">
        <v>13.7</v>
      </c>
      <c r="AU164" s="234">
        <v>0.45</v>
      </c>
    </row>
    <row r="165" spans="35:47" x14ac:dyDescent="0.3">
      <c r="AI165" s="12">
        <v>161</v>
      </c>
      <c r="AJ165" s="78" t="s">
        <v>1537</v>
      </c>
      <c r="AK165" s="78" t="s">
        <v>1330</v>
      </c>
      <c r="AL165" s="78" t="s">
        <v>1331</v>
      </c>
      <c r="AM165" s="78" t="s">
        <v>943</v>
      </c>
      <c r="AN165" s="78">
        <v>990</v>
      </c>
      <c r="AO165" s="78" t="s">
        <v>43</v>
      </c>
      <c r="AP165" s="78" t="s">
        <v>1627</v>
      </c>
      <c r="AQ165" s="78">
        <v>0</v>
      </c>
      <c r="AR165" s="233">
        <v>0</v>
      </c>
      <c r="AS165" s="236"/>
      <c r="AT165" s="234">
        <v>0</v>
      </c>
      <c r="AU165" s="234">
        <v>0</v>
      </c>
    </row>
    <row r="166" spans="35:47" x14ac:dyDescent="0.3">
      <c r="AI166" s="12">
        <v>162</v>
      </c>
      <c r="AJ166" s="78" t="s">
        <v>1538</v>
      </c>
      <c r="AK166" s="78" t="s">
        <v>1332</v>
      </c>
      <c r="AL166" s="78" t="s">
        <v>985</v>
      </c>
      <c r="AM166" s="78" t="s">
        <v>943</v>
      </c>
      <c r="AN166" s="78">
        <v>990</v>
      </c>
      <c r="AO166" s="78" t="s">
        <v>43</v>
      </c>
      <c r="AP166" s="78" t="s">
        <v>1627</v>
      </c>
      <c r="AQ166" s="78">
        <v>0</v>
      </c>
      <c r="AR166" s="233">
        <v>0</v>
      </c>
      <c r="AS166" s="236"/>
      <c r="AT166" s="234">
        <v>0</v>
      </c>
      <c r="AU166" s="234">
        <v>0</v>
      </c>
    </row>
    <row r="167" spans="35:47" x14ac:dyDescent="0.3">
      <c r="AI167" s="12">
        <v>163</v>
      </c>
      <c r="AJ167" s="78" t="s">
        <v>1539</v>
      </c>
      <c r="AK167" s="78" t="s">
        <v>284</v>
      </c>
      <c r="AL167" s="78" t="s">
        <v>921</v>
      </c>
      <c r="AM167" s="78" t="s">
        <v>946</v>
      </c>
      <c r="AN167" s="78">
        <v>990</v>
      </c>
      <c r="AO167" s="78" t="s">
        <v>43</v>
      </c>
      <c r="AP167" s="78" t="s">
        <v>1627</v>
      </c>
      <c r="AQ167" s="78">
        <v>0</v>
      </c>
      <c r="AR167" s="233">
        <v>0</v>
      </c>
      <c r="AS167" s="236"/>
      <c r="AT167" s="234">
        <v>0</v>
      </c>
      <c r="AU167" s="234">
        <v>0</v>
      </c>
    </row>
    <row r="168" spans="35:47" x14ac:dyDescent="0.3">
      <c r="AI168" s="12">
        <v>164</v>
      </c>
      <c r="AJ168" s="78" t="s">
        <v>1540</v>
      </c>
      <c r="AK168" s="78" t="s">
        <v>1333</v>
      </c>
      <c r="AL168" s="78" t="s">
        <v>1316</v>
      </c>
      <c r="AM168" s="78" t="s">
        <v>1213</v>
      </c>
      <c r="AN168" s="78">
        <v>200</v>
      </c>
      <c r="AO168" s="78" t="s">
        <v>43</v>
      </c>
      <c r="AP168" s="78" t="s">
        <v>1627</v>
      </c>
      <c r="AQ168" s="78">
        <v>0</v>
      </c>
      <c r="AR168" s="233">
        <v>0</v>
      </c>
      <c r="AS168" s="236"/>
      <c r="AT168" s="234">
        <v>0</v>
      </c>
      <c r="AU168" s="234">
        <v>0</v>
      </c>
    </row>
    <row r="169" spans="35:47" x14ac:dyDescent="0.3">
      <c r="AI169" s="12">
        <v>165</v>
      </c>
      <c r="AJ169" s="78" t="s">
        <v>1541</v>
      </c>
      <c r="AK169" s="78" t="s">
        <v>408</v>
      </c>
      <c r="AL169" s="78" t="s">
        <v>917</v>
      </c>
      <c r="AM169" s="78" t="s">
        <v>918</v>
      </c>
      <c r="AN169" s="78">
        <v>850</v>
      </c>
      <c r="AO169" s="78" t="s">
        <v>43</v>
      </c>
      <c r="AP169" s="78" t="s">
        <v>1627</v>
      </c>
      <c r="AQ169" s="78">
        <v>0</v>
      </c>
      <c r="AR169" s="233">
        <v>0</v>
      </c>
      <c r="AS169" s="236"/>
      <c r="AT169" s="234">
        <v>0</v>
      </c>
      <c r="AU169" s="234">
        <v>0</v>
      </c>
    </row>
    <row r="170" spans="35:47" x14ac:dyDescent="0.3">
      <c r="AI170" s="12">
        <v>166</v>
      </c>
      <c r="AJ170" s="78" t="s">
        <v>1542</v>
      </c>
      <c r="AK170" s="78" t="s">
        <v>1334</v>
      </c>
      <c r="AL170" s="78" t="s">
        <v>1206</v>
      </c>
      <c r="AM170" s="78" t="s">
        <v>1208</v>
      </c>
      <c r="AN170" s="78">
        <v>300</v>
      </c>
      <c r="AO170" s="78" t="s">
        <v>43</v>
      </c>
      <c r="AP170" s="78" t="s">
        <v>1627</v>
      </c>
      <c r="AQ170" s="78">
        <v>0</v>
      </c>
      <c r="AR170" s="233">
        <v>0</v>
      </c>
      <c r="AS170" s="236"/>
      <c r="AT170" s="234">
        <v>0</v>
      </c>
      <c r="AU170" s="234">
        <v>0</v>
      </c>
    </row>
    <row r="171" spans="35:47" x14ac:dyDescent="0.3">
      <c r="AI171" s="12">
        <v>167</v>
      </c>
      <c r="AJ171" s="78" t="s">
        <v>1543</v>
      </c>
      <c r="AK171" s="78" t="s">
        <v>1335</v>
      </c>
      <c r="AL171" s="78" t="s">
        <v>1206</v>
      </c>
      <c r="AM171" s="78" t="s">
        <v>1208</v>
      </c>
      <c r="AN171" s="78">
        <v>300</v>
      </c>
      <c r="AO171" s="78" t="s">
        <v>43</v>
      </c>
      <c r="AP171" s="78" t="s">
        <v>1627</v>
      </c>
      <c r="AQ171" s="78">
        <v>0</v>
      </c>
      <c r="AR171" s="233">
        <v>0</v>
      </c>
      <c r="AS171" s="236"/>
      <c r="AT171" s="234">
        <v>0</v>
      </c>
      <c r="AU171" s="234">
        <v>0</v>
      </c>
    </row>
    <row r="172" spans="35:47" x14ac:dyDescent="0.3">
      <c r="AI172" s="12">
        <v>168</v>
      </c>
      <c r="AJ172" s="78" t="s">
        <v>1544</v>
      </c>
      <c r="AK172" s="78" t="s">
        <v>1336</v>
      </c>
      <c r="AL172" s="78" t="s">
        <v>1205</v>
      </c>
      <c r="AM172" s="78" t="s">
        <v>1208</v>
      </c>
      <c r="AN172" s="78">
        <v>300</v>
      </c>
      <c r="AO172" s="78" t="s">
        <v>43</v>
      </c>
      <c r="AP172" s="78" t="s">
        <v>1627</v>
      </c>
      <c r="AQ172" s="78">
        <v>0</v>
      </c>
      <c r="AR172" s="233">
        <v>0</v>
      </c>
      <c r="AS172" s="236"/>
      <c r="AT172" s="234">
        <v>0</v>
      </c>
      <c r="AU172" s="234">
        <v>0</v>
      </c>
    </row>
    <row r="173" spans="35:47" x14ac:dyDescent="0.3">
      <c r="AI173" s="12">
        <v>169</v>
      </c>
      <c r="AJ173" s="78" t="s">
        <v>1545</v>
      </c>
      <c r="AK173" s="78" t="s">
        <v>1253</v>
      </c>
      <c r="AL173" s="78" t="s">
        <v>952</v>
      </c>
      <c r="AM173" s="78" t="s">
        <v>953</v>
      </c>
      <c r="AN173" s="78">
        <v>850</v>
      </c>
      <c r="AO173" s="78" t="s">
        <v>43</v>
      </c>
      <c r="AP173" s="78">
        <v>0</v>
      </c>
      <c r="AQ173" s="78">
        <v>0</v>
      </c>
      <c r="AR173" s="233">
        <v>0</v>
      </c>
      <c r="AS173" s="236"/>
      <c r="AT173" s="234">
        <v>0</v>
      </c>
      <c r="AU173" s="234">
        <v>0</v>
      </c>
    </row>
    <row r="174" spans="35:47" x14ac:dyDescent="0.3">
      <c r="AI174" s="12">
        <v>170</v>
      </c>
      <c r="AJ174" s="78" t="s">
        <v>729</v>
      </c>
      <c r="AK174" s="78" t="s">
        <v>1338</v>
      </c>
      <c r="AL174" s="78" t="s">
        <v>1217</v>
      </c>
      <c r="AM174" s="78" t="s">
        <v>1208</v>
      </c>
      <c r="AN174" s="78">
        <v>45</v>
      </c>
      <c r="AO174" s="78" t="s">
        <v>43</v>
      </c>
      <c r="AP174" s="78" t="s">
        <v>1628</v>
      </c>
      <c r="AQ174" s="78">
        <v>80</v>
      </c>
      <c r="AR174" s="233" t="s">
        <v>1621</v>
      </c>
      <c r="AS174" s="236"/>
      <c r="AT174" s="234">
        <v>1</v>
      </c>
      <c r="AU174" s="234">
        <v>0.45</v>
      </c>
    </row>
    <row r="175" spans="35:47" x14ac:dyDescent="0.3">
      <c r="AI175" s="12">
        <v>171</v>
      </c>
      <c r="AJ175" s="78" t="s">
        <v>730</v>
      </c>
      <c r="AK175" s="78" t="s">
        <v>1339</v>
      </c>
      <c r="AL175" s="78" t="s">
        <v>1204</v>
      </c>
      <c r="AM175" s="78" t="s">
        <v>1208</v>
      </c>
      <c r="AN175" s="78">
        <v>330</v>
      </c>
      <c r="AO175" s="78" t="s">
        <v>43</v>
      </c>
      <c r="AP175" s="78">
        <v>0</v>
      </c>
      <c r="AQ175" s="78">
        <v>80</v>
      </c>
      <c r="AR175" s="233" t="s">
        <v>1619</v>
      </c>
      <c r="AS175" s="236"/>
      <c r="AT175" s="234">
        <v>17.96</v>
      </c>
      <c r="AU175" s="234">
        <v>0.45</v>
      </c>
    </row>
    <row r="176" spans="35:47" x14ac:dyDescent="0.3">
      <c r="AI176" s="12">
        <v>172</v>
      </c>
      <c r="AJ176" s="78" t="s">
        <v>731</v>
      </c>
      <c r="AK176" s="78" t="s">
        <v>1340</v>
      </c>
      <c r="AL176" s="78" t="s">
        <v>1204</v>
      </c>
      <c r="AM176" s="78" t="s">
        <v>1208</v>
      </c>
      <c r="AN176" s="78">
        <v>50</v>
      </c>
      <c r="AO176" s="78" t="s">
        <v>43</v>
      </c>
      <c r="AP176" s="78">
        <v>0</v>
      </c>
      <c r="AQ176" s="78">
        <v>80</v>
      </c>
      <c r="AR176" s="233" t="s">
        <v>1619</v>
      </c>
      <c r="AS176" s="236"/>
      <c r="AT176" s="234">
        <v>9.32</v>
      </c>
      <c r="AU176" s="234">
        <v>0.45</v>
      </c>
    </row>
    <row r="177" spans="35:47" x14ac:dyDescent="0.3">
      <c r="AI177" s="12">
        <v>173</v>
      </c>
      <c r="AJ177" s="78" t="s">
        <v>732</v>
      </c>
      <c r="AK177" s="78" t="s">
        <v>1340</v>
      </c>
      <c r="AL177" s="78" t="s">
        <v>1204</v>
      </c>
      <c r="AM177" s="78" t="s">
        <v>1208</v>
      </c>
      <c r="AN177" s="78">
        <v>50</v>
      </c>
      <c r="AO177" s="78" t="s">
        <v>43</v>
      </c>
      <c r="AP177" s="78">
        <v>0</v>
      </c>
      <c r="AQ177" s="78">
        <v>80</v>
      </c>
      <c r="AR177" s="233" t="s">
        <v>1619</v>
      </c>
      <c r="AS177" s="236"/>
      <c r="AT177" s="234">
        <v>9.32</v>
      </c>
      <c r="AU177" s="234">
        <v>0.45</v>
      </c>
    </row>
    <row r="178" spans="35:47" x14ac:dyDescent="0.3">
      <c r="AI178" s="12">
        <v>174</v>
      </c>
      <c r="AJ178" s="78" t="s">
        <v>749</v>
      </c>
      <c r="AK178" s="78" t="s">
        <v>1340</v>
      </c>
      <c r="AL178" s="78" t="s">
        <v>1204</v>
      </c>
      <c r="AM178" s="78" t="s">
        <v>1208</v>
      </c>
      <c r="AN178" s="78">
        <v>50</v>
      </c>
      <c r="AO178" s="78" t="s">
        <v>43</v>
      </c>
      <c r="AP178" s="78">
        <v>0</v>
      </c>
      <c r="AQ178" s="78">
        <v>80</v>
      </c>
      <c r="AR178" s="233" t="s">
        <v>1619</v>
      </c>
      <c r="AS178" s="236"/>
      <c r="AT178" s="234">
        <v>9.32</v>
      </c>
      <c r="AU178" s="234">
        <v>0.45</v>
      </c>
    </row>
    <row r="179" spans="35:47" x14ac:dyDescent="0.3">
      <c r="AI179" s="12">
        <v>175</v>
      </c>
      <c r="AJ179" s="78" t="s">
        <v>748</v>
      </c>
      <c r="AK179" s="78" t="s">
        <v>1342</v>
      </c>
      <c r="AL179" s="78" t="s">
        <v>1204</v>
      </c>
      <c r="AM179" s="78" t="s">
        <v>1208</v>
      </c>
      <c r="AN179" s="78">
        <v>330</v>
      </c>
      <c r="AO179" s="78" t="s">
        <v>43</v>
      </c>
      <c r="AP179" s="78">
        <v>0</v>
      </c>
      <c r="AQ179" s="78">
        <v>80</v>
      </c>
      <c r="AR179" s="233" t="s">
        <v>1619</v>
      </c>
      <c r="AS179" s="236"/>
      <c r="AT179" s="234">
        <v>8.23</v>
      </c>
      <c r="AU179" s="234">
        <v>0.45</v>
      </c>
    </row>
    <row r="180" spans="35:47" x14ac:dyDescent="0.3">
      <c r="AI180" s="12">
        <v>176</v>
      </c>
      <c r="AJ180" s="78" t="s">
        <v>747</v>
      </c>
      <c r="AK180" s="78" t="s">
        <v>1338</v>
      </c>
      <c r="AL180" s="78" t="s">
        <v>1217</v>
      </c>
      <c r="AM180" s="78" t="s">
        <v>1208</v>
      </c>
      <c r="AN180" s="78">
        <v>45</v>
      </c>
      <c r="AO180" s="78" t="s">
        <v>43</v>
      </c>
      <c r="AP180" s="78">
        <v>0</v>
      </c>
      <c r="AQ180" s="78">
        <v>80</v>
      </c>
      <c r="AR180" s="233" t="s">
        <v>1621</v>
      </c>
      <c r="AS180" s="236"/>
      <c r="AT180" s="234">
        <v>1</v>
      </c>
      <c r="AU180" s="234">
        <v>0.45</v>
      </c>
    </row>
    <row r="181" spans="35:47" x14ac:dyDescent="0.3">
      <c r="AI181" s="12">
        <v>177</v>
      </c>
      <c r="AJ181" s="78" t="s">
        <v>750</v>
      </c>
      <c r="AK181" s="78" t="s">
        <v>1340</v>
      </c>
      <c r="AL181" s="78" t="s">
        <v>1204</v>
      </c>
      <c r="AM181" s="78" t="s">
        <v>1208</v>
      </c>
      <c r="AN181" s="78">
        <v>50</v>
      </c>
      <c r="AO181" s="78" t="s">
        <v>43</v>
      </c>
      <c r="AP181" s="78">
        <v>0</v>
      </c>
      <c r="AQ181" s="78">
        <v>80</v>
      </c>
      <c r="AR181" s="233" t="s">
        <v>1619</v>
      </c>
      <c r="AS181" s="236"/>
      <c r="AT181" s="234">
        <v>9.32</v>
      </c>
      <c r="AU181" s="234">
        <v>0.45</v>
      </c>
    </row>
    <row r="182" spans="35:47" x14ac:dyDescent="0.3">
      <c r="AI182" s="12">
        <v>178</v>
      </c>
      <c r="AJ182" s="78" t="s">
        <v>767</v>
      </c>
      <c r="AK182" s="78" t="s">
        <v>1342</v>
      </c>
      <c r="AL182" s="78" t="s">
        <v>1204</v>
      </c>
      <c r="AM182" s="78" t="s">
        <v>1208</v>
      </c>
      <c r="AN182" s="78">
        <v>330</v>
      </c>
      <c r="AO182" s="78" t="s">
        <v>43</v>
      </c>
      <c r="AP182" s="78">
        <v>0</v>
      </c>
      <c r="AQ182" s="78">
        <v>80</v>
      </c>
      <c r="AR182" s="233" t="s">
        <v>1619</v>
      </c>
      <c r="AS182" s="236"/>
      <c r="AT182" s="234">
        <v>13.7</v>
      </c>
      <c r="AU182" s="234">
        <v>0.45</v>
      </c>
    </row>
    <row r="183" spans="35:47" x14ac:dyDescent="0.3">
      <c r="AI183" s="12">
        <v>179</v>
      </c>
      <c r="AJ183" s="78" t="s">
        <v>765</v>
      </c>
      <c r="AK183" s="78" t="s">
        <v>1340</v>
      </c>
      <c r="AL183" s="78" t="s">
        <v>1204</v>
      </c>
      <c r="AM183" s="78" t="s">
        <v>1208</v>
      </c>
      <c r="AN183" s="78">
        <v>50</v>
      </c>
      <c r="AO183" s="78" t="s">
        <v>43</v>
      </c>
      <c r="AP183" s="78">
        <v>0</v>
      </c>
      <c r="AQ183" s="78">
        <v>80</v>
      </c>
      <c r="AR183" s="233" t="s">
        <v>1619</v>
      </c>
      <c r="AS183" s="236"/>
      <c r="AT183" s="234">
        <v>9.32</v>
      </c>
      <c r="AU183" s="234">
        <v>0.45</v>
      </c>
    </row>
    <row r="184" spans="35:47" x14ac:dyDescent="0.3">
      <c r="AI184" s="12">
        <v>180</v>
      </c>
      <c r="AJ184" s="78" t="s">
        <v>766</v>
      </c>
      <c r="AK184" s="78" t="s">
        <v>1340</v>
      </c>
      <c r="AL184" s="78" t="s">
        <v>1204</v>
      </c>
      <c r="AM184" s="78" t="s">
        <v>1208</v>
      </c>
      <c r="AN184" s="78">
        <v>50</v>
      </c>
      <c r="AO184" s="78" t="s">
        <v>43</v>
      </c>
      <c r="AP184" s="78">
        <v>0</v>
      </c>
      <c r="AQ184" s="78">
        <v>80</v>
      </c>
      <c r="AR184" s="233" t="s">
        <v>1619</v>
      </c>
      <c r="AS184" s="236"/>
      <c r="AT184" s="234">
        <v>9.32</v>
      </c>
      <c r="AU184" s="234">
        <v>0.45</v>
      </c>
    </row>
    <row r="185" spans="35:47" x14ac:dyDescent="0.3">
      <c r="AI185" s="12">
        <v>181</v>
      </c>
      <c r="AJ185" s="78" t="s">
        <v>1546</v>
      </c>
      <c r="AK185" s="78" t="s">
        <v>1343</v>
      </c>
      <c r="AL185" s="78" t="s">
        <v>1219</v>
      </c>
      <c r="AM185" s="78" t="s">
        <v>1208</v>
      </c>
      <c r="AN185" s="78">
        <v>95</v>
      </c>
      <c r="AO185" s="78" t="s">
        <v>43</v>
      </c>
      <c r="AP185" s="78">
        <v>0</v>
      </c>
      <c r="AQ185" s="78">
        <v>0</v>
      </c>
      <c r="AR185" s="233">
        <v>0</v>
      </c>
      <c r="AS185" s="236"/>
      <c r="AT185" s="234">
        <v>0</v>
      </c>
      <c r="AU185" s="234">
        <v>0</v>
      </c>
    </row>
    <row r="186" spans="35:47" x14ac:dyDescent="0.3">
      <c r="AI186" s="12">
        <v>182</v>
      </c>
      <c r="AJ186" s="78" t="s">
        <v>1547</v>
      </c>
      <c r="AK186" s="78" t="s">
        <v>1344</v>
      </c>
      <c r="AL186" s="78" t="s">
        <v>925</v>
      </c>
      <c r="AM186" s="78" t="s">
        <v>925</v>
      </c>
      <c r="AN186" s="78">
        <v>337</v>
      </c>
      <c r="AO186" s="78" t="s">
        <v>43</v>
      </c>
      <c r="AP186" s="78">
        <v>0</v>
      </c>
      <c r="AQ186" s="78">
        <v>0</v>
      </c>
      <c r="AR186" s="233">
        <v>0</v>
      </c>
      <c r="AS186" s="236"/>
      <c r="AT186" s="234">
        <v>0</v>
      </c>
      <c r="AU186" s="234">
        <v>0</v>
      </c>
    </row>
    <row r="187" spans="35:47" x14ac:dyDescent="0.3">
      <c r="AI187" s="12">
        <v>183</v>
      </c>
      <c r="AJ187" s="78" t="s">
        <v>1548</v>
      </c>
      <c r="AK187" s="78" t="s">
        <v>1345</v>
      </c>
      <c r="AL187" s="78" t="s">
        <v>925</v>
      </c>
      <c r="AM187" s="78" t="s">
        <v>925</v>
      </c>
      <c r="AN187" s="78">
        <v>337</v>
      </c>
      <c r="AO187" s="78" t="s">
        <v>43</v>
      </c>
      <c r="AP187" s="78">
        <v>0</v>
      </c>
      <c r="AQ187" s="78">
        <v>0</v>
      </c>
      <c r="AR187" s="233">
        <v>0</v>
      </c>
      <c r="AS187" s="236"/>
      <c r="AT187" s="234">
        <v>0</v>
      </c>
      <c r="AU187" s="234">
        <v>0</v>
      </c>
    </row>
    <row r="188" spans="35:47" x14ac:dyDescent="0.3">
      <c r="AI188" s="12">
        <v>184</v>
      </c>
      <c r="AJ188" s="78" t="s">
        <v>1549</v>
      </c>
      <c r="AK188" s="78" t="s">
        <v>1346</v>
      </c>
      <c r="AL188" s="78" t="s">
        <v>1331</v>
      </c>
      <c r="AM188" s="78" t="s">
        <v>943</v>
      </c>
      <c r="AN188" s="78">
        <v>990</v>
      </c>
      <c r="AO188" s="78" t="s">
        <v>43</v>
      </c>
      <c r="AP188" s="78">
        <v>0</v>
      </c>
      <c r="AQ188" s="78">
        <v>0</v>
      </c>
      <c r="AR188" s="233">
        <v>0</v>
      </c>
      <c r="AS188" s="236"/>
      <c r="AT188" s="234">
        <v>0</v>
      </c>
      <c r="AU188" s="234">
        <v>0</v>
      </c>
    </row>
    <row r="189" spans="35:47" x14ac:dyDescent="0.3">
      <c r="AI189" s="12">
        <v>185</v>
      </c>
      <c r="AJ189" s="78" t="s">
        <v>1550</v>
      </c>
      <c r="AK189" s="78" t="s">
        <v>1347</v>
      </c>
      <c r="AL189" s="78" t="s">
        <v>985</v>
      </c>
      <c r="AM189" s="78" t="s">
        <v>943</v>
      </c>
      <c r="AN189" s="78">
        <v>990</v>
      </c>
      <c r="AO189" s="78" t="s">
        <v>43</v>
      </c>
      <c r="AP189" s="78">
        <v>0</v>
      </c>
      <c r="AQ189" s="78">
        <v>0</v>
      </c>
      <c r="AR189" s="233">
        <v>0</v>
      </c>
      <c r="AS189" s="236"/>
      <c r="AT189" s="234">
        <v>0</v>
      </c>
      <c r="AU189" s="234">
        <v>0</v>
      </c>
    </row>
    <row r="190" spans="35:47" x14ac:dyDescent="0.3">
      <c r="AI190" s="12">
        <v>186</v>
      </c>
      <c r="AJ190" s="78" t="s">
        <v>1551</v>
      </c>
      <c r="AK190" s="78" t="s">
        <v>707</v>
      </c>
      <c r="AL190" s="78" t="s">
        <v>921</v>
      </c>
      <c r="AM190" s="78" t="s">
        <v>946</v>
      </c>
      <c r="AN190" s="78">
        <v>990</v>
      </c>
      <c r="AO190" s="78" t="s">
        <v>43</v>
      </c>
      <c r="AP190" s="78">
        <v>0</v>
      </c>
      <c r="AQ190" s="78">
        <v>0</v>
      </c>
      <c r="AR190" s="233">
        <v>0</v>
      </c>
      <c r="AS190" s="236"/>
      <c r="AT190" s="234">
        <v>0</v>
      </c>
      <c r="AU190" s="234">
        <v>0</v>
      </c>
    </row>
    <row r="191" spans="35:47" x14ac:dyDescent="0.3">
      <c r="AI191" s="12">
        <v>187</v>
      </c>
      <c r="AJ191" s="78" t="s">
        <v>1552</v>
      </c>
      <c r="AK191" s="78" t="s">
        <v>1348</v>
      </c>
      <c r="AL191" s="78" t="s">
        <v>1349</v>
      </c>
      <c r="AM191" s="78" t="s">
        <v>1213</v>
      </c>
      <c r="AN191" s="78">
        <v>200</v>
      </c>
      <c r="AO191" s="78" t="s">
        <v>43</v>
      </c>
      <c r="AP191" s="78">
        <v>0</v>
      </c>
      <c r="AQ191" s="78">
        <v>0</v>
      </c>
      <c r="AR191" s="233">
        <v>0</v>
      </c>
      <c r="AS191" s="236"/>
      <c r="AT191" s="234">
        <v>0</v>
      </c>
      <c r="AU191" s="234">
        <v>0</v>
      </c>
    </row>
    <row r="192" spans="35:47" x14ac:dyDescent="0.3">
      <c r="AI192" s="12">
        <v>188</v>
      </c>
      <c r="AJ192" s="78" t="s">
        <v>1553</v>
      </c>
      <c r="AK192" s="78" t="s">
        <v>444</v>
      </c>
      <c r="AL192" s="78" t="s">
        <v>917</v>
      </c>
      <c r="AM192" s="78" t="s">
        <v>918</v>
      </c>
      <c r="AN192" s="78">
        <v>850</v>
      </c>
      <c r="AO192" s="78" t="s">
        <v>43</v>
      </c>
      <c r="AP192" s="78">
        <v>0</v>
      </c>
      <c r="AQ192" s="78">
        <v>0</v>
      </c>
      <c r="AR192" s="233">
        <v>0</v>
      </c>
      <c r="AS192" s="236"/>
      <c r="AT192" s="234">
        <v>0</v>
      </c>
      <c r="AU192" s="234">
        <v>0</v>
      </c>
    </row>
    <row r="193" spans="35:47" x14ac:dyDescent="0.3">
      <c r="AI193" s="12">
        <v>189</v>
      </c>
      <c r="AJ193" s="78" t="s">
        <v>1554</v>
      </c>
      <c r="AK193" s="78" t="s">
        <v>1350</v>
      </c>
      <c r="AL193" s="78" t="s">
        <v>1205</v>
      </c>
      <c r="AM193" s="78" t="s">
        <v>1208</v>
      </c>
      <c r="AN193" s="78">
        <v>300</v>
      </c>
      <c r="AO193" s="78" t="s">
        <v>43</v>
      </c>
      <c r="AP193" s="78">
        <v>0</v>
      </c>
      <c r="AQ193" s="78">
        <v>0</v>
      </c>
      <c r="AR193" s="233">
        <v>0</v>
      </c>
      <c r="AS193" s="236"/>
      <c r="AT193" s="234">
        <v>0</v>
      </c>
      <c r="AU193" s="234">
        <v>0</v>
      </c>
    </row>
    <row r="194" spans="35:47" x14ac:dyDescent="0.3">
      <c r="AI194" s="12">
        <v>190</v>
      </c>
      <c r="AJ194" s="78" t="s">
        <v>1555</v>
      </c>
      <c r="AK194" s="78" t="s">
        <v>1356</v>
      </c>
      <c r="AL194" s="78" t="s">
        <v>1218</v>
      </c>
      <c r="AM194" s="78" t="s">
        <v>1208</v>
      </c>
      <c r="AN194" s="78">
        <v>300</v>
      </c>
      <c r="AO194" s="78" t="s">
        <v>43</v>
      </c>
      <c r="AP194" s="78">
        <v>0</v>
      </c>
      <c r="AQ194" s="78">
        <v>0</v>
      </c>
      <c r="AR194" s="233">
        <v>0</v>
      </c>
      <c r="AS194" s="236"/>
      <c r="AT194" s="234">
        <v>0</v>
      </c>
      <c r="AU194" s="234">
        <v>0</v>
      </c>
    </row>
    <row r="195" spans="35:47" x14ac:dyDescent="0.3">
      <c r="AI195" s="12">
        <v>191</v>
      </c>
      <c r="AJ195" s="78" t="s">
        <v>1556</v>
      </c>
      <c r="AK195" s="78" t="s">
        <v>1357</v>
      </c>
      <c r="AL195" s="78" t="s">
        <v>1218</v>
      </c>
      <c r="AM195" s="78" t="s">
        <v>1208</v>
      </c>
      <c r="AN195" s="78">
        <v>39</v>
      </c>
      <c r="AO195" s="78" t="s">
        <v>43</v>
      </c>
      <c r="AP195" s="78">
        <v>0</v>
      </c>
      <c r="AQ195" s="78">
        <v>0</v>
      </c>
      <c r="AR195" s="233">
        <v>0</v>
      </c>
      <c r="AS195" s="236"/>
      <c r="AT195" s="234">
        <v>0</v>
      </c>
      <c r="AU195" s="234">
        <v>0</v>
      </c>
    </row>
    <row r="196" spans="35:47" x14ac:dyDescent="0.3">
      <c r="AI196" s="12">
        <v>192</v>
      </c>
      <c r="AJ196" s="78" t="s">
        <v>1557</v>
      </c>
      <c r="AK196" s="78">
        <v>0</v>
      </c>
      <c r="AL196" s="78">
        <v>0</v>
      </c>
      <c r="AM196" s="78">
        <v>0</v>
      </c>
      <c r="AN196" s="78">
        <v>0</v>
      </c>
      <c r="AO196" s="78">
        <v>0</v>
      </c>
      <c r="AP196" s="78">
        <v>0</v>
      </c>
      <c r="AQ196" s="78">
        <v>0</v>
      </c>
      <c r="AR196" s="233">
        <v>0</v>
      </c>
      <c r="AS196" s="236"/>
      <c r="AT196" s="234">
        <v>0</v>
      </c>
      <c r="AU196" s="234">
        <v>0</v>
      </c>
    </row>
    <row r="197" spans="35:47" x14ac:dyDescent="0.3">
      <c r="AI197" s="12">
        <v>193</v>
      </c>
      <c r="AJ197" s="78" t="s">
        <v>1558</v>
      </c>
      <c r="AK197" s="78">
        <v>0</v>
      </c>
      <c r="AL197" s="78">
        <v>0</v>
      </c>
      <c r="AM197" s="78">
        <v>0</v>
      </c>
      <c r="AN197" s="78">
        <v>0</v>
      </c>
      <c r="AO197" s="78">
        <v>0</v>
      </c>
      <c r="AP197" s="78">
        <v>0</v>
      </c>
      <c r="AQ197" s="78">
        <v>0</v>
      </c>
      <c r="AR197" s="233">
        <v>0</v>
      </c>
      <c r="AS197" s="236"/>
      <c r="AT197" s="234">
        <v>0</v>
      </c>
      <c r="AU197" s="234">
        <v>0</v>
      </c>
    </row>
    <row r="198" spans="35:47" x14ac:dyDescent="0.3">
      <c r="AI198" s="12">
        <v>194</v>
      </c>
      <c r="AJ198" s="78" t="s">
        <v>1559</v>
      </c>
      <c r="AK198" s="78">
        <v>0</v>
      </c>
      <c r="AL198" s="78">
        <v>0</v>
      </c>
      <c r="AM198" s="78">
        <v>0</v>
      </c>
      <c r="AN198" s="78">
        <v>0</v>
      </c>
      <c r="AO198" s="78">
        <v>0</v>
      </c>
      <c r="AP198" s="78">
        <v>0</v>
      </c>
      <c r="AQ198" s="78">
        <v>0</v>
      </c>
      <c r="AR198" s="233">
        <v>0</v>
      </c>
      <c r="AS198" s="236"/>
      <c r="AT198" s="234">
        <v>0</v>
      </c>
      <c r="AU198" s="234">
        <v>0</v>
      </c>
    </row>
    <row r="199" spans="35:47" x14ac:dyDescent="0.3">
      <c r="AI199" s="12">
        <v>195</v>
      </c>
      <c r="AJ199" s="78" t="s">
        <v>1560</v>
      </c>
      <c r="AK199" s="78">
        <v>0</v>
      </c>
      <c r="AL199" s="78">
        <v>0</v>
      </c>
      <c r="AM199" s="78">
        <v>0</v>
      </c>
      <c r="AN199" s="78">
        <v>0</v>
      </c>
      <c r="AO199" s="78">
        <v>0</v>
      </c>
      <c r="AP199" s="78">
        <v>0</v>
      </c>
      <c r="AQ199" s="78">
        <v>0</v>
      </c>
      <c r="AR199" s="233">
        <v>0</v>
      </c>
      <c r="AS199" s="236"/>
      <c r="AT199" s="234">
        <v>0</v>
      </c>
      <c r="AU199" s="234">
        <v>0</v>
      </c>
    </row>
    <row r="200" spans="35:47" x14ac:dyDescent="0.3">
      <c r="AI200" s="12">
        <v>196</v>
      </c>
      <c r="AJ200" s="78" t="s">
        <v>1561</v>
      </c>
      <c r="AK200" s="78">
        <v>0</v>
      </c>
      <c r="AL200" s="78">
        <v>0</v>
      </c>
      <c r="AM200" s="78">
        <v>0</v>
      </c>
      <c r="AN200" s="78">
        <v>0</v>
      </c>
      <c r="AO200" s="78">
        <v>0</v>
      </c>
      <c r="AP200" s="78">
        <v>0</v>
      </c>
      <c r="AQ200" s="78">
        <v>0</v>
      </c>
      <c r="AR200" s="233">
        <v>0</v>
      </c>
      <c r="AS200" s="236"/>
      <c r="AT200" s="234">
        <v>0</v>
      </c>
      <c r="AU200" s="234">
        <v>0</v>
      </c>
    </row>
    <row r="201" spans="35:47" x14ac:dyDescent="0.3">
      <c r="AI201" s="12">
        <v>197</v>
      </c>
      <c r="AJ201" s="78" t="s">
        <v>1562</v>
      </c>
      <c r="AK201" s="78">
        <v>0</v>
      </c>
      <c r="AL201" s="78">
        <v>0</v>
      </c>
      <c r="AM201" s="78">
        <v>0</v>
      </c>
      <c r="AN201" s="78">
        <v>0</v>
      </c>
      <c r="AO201" s="78">
        <v>0</v>
      </c>
      <c r="AP201" s="78">
        <v>0</v>
      </c>
      <c r="AQ201" s="78">
        <v>0</v>
      </c>
      <c r="AR201" s="233">
        <v>0</v>
      </c>
      <c r="AS201" s="236"/>
      <c r="AT201" s="234">
        <v>0</v>
      </c>
      <c r="AU201" s="234">
        <v>0</v>
      </c>
    </row>
    <row r="202" spans="35:47" x14ac:dyDescent="0.3">
      <c r="AI202" s="12">
        <v>198</v>
      </c>
      <c r="AJ202" s="78" t="s">
        <v>1563</v>
      </c>
      <c r="AK202" s="78">
        <v>0</v>
      </c>
      <c r="AL202" s="78">
        <v>0</v>
      </c>
      <c r="AM202" s="78">
        <v>0</v>
      </c>
      <c r="AN202" s="78">
        <v>0</v>
      </c>
      <c r="AO202" s="78">
        <v>0</v>
      </c>
      <c r="AP202" s="78">
        <v>0</v>
      </c>
      <c r="AQ202" s="78">
        <v>0</v>
      </c>
      <c r="AR202" s="233">
        <v>0</v>
      </c>
      <c r="AS202" s="236"/>
      <c r="AT202" s="234">
        <v>0</v>
      </c>
      <c r="AU202" s="234">
        <v>0</v>
      </c>
    </row>
    <row r="203" spans="35:47" x14ac:dyDescent="0.3">
      <c r="AI203" s="12">
        <v>199</v>
      </c>
      <c r="AJ203" s="78" t="s">
        <v>1564</v>
      </c>
      <c r="AK203" s="78">
        <v>0</v>
      </c>
      <c r="AL203" s="78">
        <v>0</v>
      </c>
      <c r="AM203" s="78">
        <v>0</v>
      </c>
      <c r="AN203" s="78">
        <v>0</v>
      </c>
      <c r="AO203" s="78">
        <v>0</v>
      </c>
      <c r="AP203" s="78">
        <v>0</v>
      </c>
      <c r="AQ203" s="78">
        <v>0</v>
      </c>
      <c r="AR203" s="233">
        <v>0</v>
      </c>
      <c r="AS203" s="236"/>
      <c r="AT203" s="234">
        <v>0</v>
      </c>
      <c r="AU203" s="234">
        <v>0</v>
      </c>
    </row>
    <row r="204" spans="35:47" x14ac:dyDescent="0.3">
      <c r="AI204" s="12">
        <v>200</v>
      </c>
      <c r="AJ204" s="78" t="s">
        <v>1565</v>
      </c>
      <c r="AK204" s="78">
        <v>0</v>
      </c>
      <c r="AL204" s="78">
        <v>0</v>
      </c>
      <c r="AM204" s="78">
        <v>0</v>
      </c>
      <c r="AN204" s="78">
        <v>0</v>
      </c>
      <c r="AO204" s="78">
        <v>0</v>
      </c>
      <c r="AP204" s="78">
        <v>0</v>
      </c>
      <c r="AQ204" s="78">
        <v>0</v>
      </c>
      <c r="AR204" s="233">
        <v>0</v>
      </c>
      <c r="AS204" s="236"/>
      <c r="AT204" s="234">
        <v>0</v>
      </c>
      <c r="AU204" s="234">
        <v>0</v>
      </c>
    </row>
    <row r="205" spans="35:47" x14ac:dyDescent="0.3">
      <c r="AI205" s="12">
        <v>201</v>
      </c>
      <c r="AJ205" s="78" t="s">
        <v>1566</v>
      </c>
      <c r="AK205" s="78">
        <v>0</v>
      </c>
      <c r="AL205" s="78">
        <v>0</v>
      </c>
      <c r="AM205" s="78">
        <v>0</v>
      </c>
      <c r="AN205" s="78">
        <v>0</v>
      </c>
      <c r="AO205" s="78">
        <v>0</v>
      </c>
      <c r="AP205" s="78">
        <v>0</v>
      </c>
      <c r="AQ205" s="78">
        <v>0</v>
      </c>
      <c r="AR205" s="233">
        <v>0</v>
      </c>
      <c r="AS205" s="236"/>
      <c r="AT205" s="234">
        <v>0</v>
      </c>
      <c r="AU205" s="234">
        <v>0</v>
      </c>
    </row>
    <row r="206" spans="35:47" x14ac:dyDescent="0.3">
      <c r="AI206" s="12">
        <v>202</v>
      </c>
      <c r="AJ206" s="78" t="s">
        <v>1567</v>
      </c>
      <c r="AK206" s="78">
        <v>0</v>
      </c>
      <c r="AL206" s="78">
        <v>0</v>
      </c>
      <c r="AM206" s="78">
        <v>0</v>
      </c>
      <c r="AN206" s="78">
        <v>0</v>
      </c>
      <c r="AO206" s="78">
        <v>0</v>
      </c>
      <c r="AP206" s="78">
        <v>0</v>
      </c>
      <c r="AQ206" s="78">
        <v>0</v>
      </c>
      <c r="AR206" s="233">
        <v>0</v>
      </c>
      <c r="AS206" s="236"/>
      <c r="AT206" s="234">
        <v>0</v>
      </c>
      <c r="AU206" s="234">
        <v>0</v>
      </c>
    </row>
    <row r="207" spans="35:47" x14ac:dyDescent="0.3">
      <c r="AI207" s="12">
        <v>203</v>
      </c>
      <c r="AJ207" s="78" t="s">
        <v>1568</v>
      </c>
      <c r="AK207" s="78">
        <v>0</v>
      </c>
      <c r="AL207" s="78">
        <v>0</v>
      </c>
      <c r="AM207" s="78">
        <v>0</v>
      </c>
      <c r="AN207" s="78">
        <v>0</v>
      </c>
      <c r="AO207" s="78">
        <v>0</v>
      </c>
      <c r="AP207" s="78">
        <v>0</v>
      </c>
      <c r="AQ207" s="78">
        <v>0</v>
      </c>
      <c r="AR207" s="233">
        <v>0</v>
      </c>
      <c r="AS207" s="236"/>
      <c r="AT207" s="234">
        <v>0</v>
      </c>
      <c r="AU207" s="234">
        <v>0</v>
      </c>
    </row>
    <row r="208" spans="35:47" x14ac:dyDescent="0.3">
      <c r="AI208" s="12">
        <v>204</v>
      </c>
      <c r="AJ208" s="78" t="s">
        <v>1569</v>
      </c>
      <c r="AK208" s="78">
        <v>0</v>
      </c>
      <c r="AL208" s="78">
        <v>0</v>
      </c>
      <c r="AM208" s="78">
        <v>0</v>
      </c>
      <c r="AN208" s="78">
        <v>0</v>
      </c>
      <c r="AO208" s="78">
        <v>0</v>
      </c>
      <c r="AP208" s="78">
        <v>0</v>
      </c>
      <c r="AQ208" s="78">
        <v>0</v>
      </c>
      <c r="AR208" s="233">
        <v>0</v>
      </c>
      <c r="AS208" s="236"/>
      <c r="AT208" s="234">
        <v>0</v>
      </c>
      <c r="AU208" s="234">
        <v>0</v>
      </c>
    </row>
    <row r="209" spans="35:47" x14ac:dyDescent="0.3">
      <c r="AI209" s="12">
        <v>205</v>
      </c>
      <c r="AJ209" s="78" t="s">
        <v>1570</v>
      </c>
      <c r="AK209" s="78">
        <v>0</v>
      </c>
      <c r="AL209" s="78">
        <v>0</v>
      </c>
      <c r="AM209" s="78">
        <v>0</v>
      </c>
      <c r="AN209" s="78">
        <v>0</v>
      </c>
      <c r="AO209" s="78">
        <v>0</v>
      </c>
      <c r="AP209" s="78">
        <v>0</v>
      </c>
      <c r="AQ209" s="78">
        <v>0</v>
      </c>
      <c r="AR209" s="233">
        <v>0</v>
      </c>
      <c r="AS209" s="236"/>
      <c r="AT209" s="234">
        <v>0</v>
      </c>
      <c r="AU209" s="234">
        <v>0</v>
      </c>
    </row>
    <row r="210" spans="35:47" x14ac:dyDescent="0.3">
      <c r="AI210" s="12">
        <v>206</v>
      </c>
      <c r="AJ210" s="78" t="s">
        <v>1571</v>
      </c>
      <c r="AK210" s="78">
        <v>0</v>
      </c>
      <c r="AL210" s="78">
        <v>0</v>
      </c>
      <c r="AM210" s="78">
        <v>0</v>
      </c>
      <c r="AN210" s="78">
        <v>0</v>
      </c>
      <c r="AO210" s="78">
        <v>0</v>
      </c>
      <c r="AP210" s="78">
        <v>0</v>
      </c>
      <c r="AQ210" s="78">
        <v>0</v>
      </c>
      <c r="AR210" s="233">
        <v>0</v>
      </c>
      <c r="AS210" s="236"/>
      <c r="AT210" s="234">
        <v>0</v>
      </c>
      <c r="AU210" s="234">
        <v>0</v>
      </c>
    </row>
    <row r="211" spans="35:47" x14ac:dyDescent="0.3">
      <c r="AI211" s="12">
        <v>207</v>
      </c>
      <c r="AJ211" s="78" t="s">
        <v>1572</v>
      </c>
      <c r="AK211" s="78">
        <v>0</v>
      </c>
      <c r="AL211" s="78">
        <v>0</v>
      </c>
      <c r="AM211" s="78">
        <v>0</v>
      </c>
      <c r="AN211" s="78">
        <v>0</v>
      </c>
      <c r="AO211" s="78">
        <v>0</v>
      </c>
      <c r="AP211" s="78">
        <v>0</v>
      </c>
      <c r="AQ211" s="78">
        <v>0</v>
      </c>
      <c r="AR211" s="233">
        <v>0</v>
      </c>
      <c r="AS211" s="236"/>
      <c r="AT211" s="234">
        <v>0</v>
      </c>
      <c r="AU211" s="234">
        <v>0</v>
      </c>
    </row>
    <row r="212" spans="35:47" x14ac:dyDescent="0.3">
      <c r="AI212" s="12">
        <v>208</v>
      </c>
      <c r="AJ212" s="78" t="s">
        <v>1573</v>
      </c>
      <c r="AK212" s="78">
        <v>0</v>
      </c>
      <c r="AL212" s="78">
        <v>0</v>
      </c>
      <c r="AM212" s="78">
        <v>0</v>
      </c>
      <c r="AN212" s="78">
        <v>0</v>
      </c>
      <c r="AO212" s="78">
        <v>0</v>
      </c>
      <c r="AP212" s="78">
        <v>0</v>
      </c>
      <c r="AQ212" s="78">
        <v>0</v>
      </c>
      <c r="AR212" s="233">
        <v>0</v>
      </c>
      <c r="AS212" s="236"/>
      <c r="AT212" s="234">
        <v>0</v>
      </c>
      <c r="AU212" s="234">
        <v>0</v>
      </c>
    </row>
    <row r="213" spans="35:47" x14ac:dyDescent="0.3">
      <c r="AI213" s="12">
        <v>209</v>
      </c>
      <c r="AJ213" s="78" t="s">
        <v>1574</v>
      </c>
      <c r="AK213" s="78">
        <v>0</v>
      </c>
      <c r="AL213" s="78">
        <v>0</v>
      </c>
      <c r="AM213" s="78">
        <v>0</v>
      </c>
      <c r="AN213" s="78">
        <v>0</v>
      </c>
      <c r="AO213" s="78">
        <v>0</v>
      </c>
      <c r="AP213" s="78">
        <v>0</v>
      </c>
      <c r="AQ213" s="78">
        <v>0</v>
      </c>
      <c r="AR213" s="233">
        <v>0</v>
      </c>
      <c r="AS213" s="236"/>
      <c r="AT213" s="234">
        <v>0</v>
      </c>
      <c r="AU213" s="234">
        <v>0</v>
      </c>
    </row>
    <row r="214" spans="35:47" x14ac:dyDescent="0.3">
      <c r="AI214" s="12">
        <v>210</v>
      </c>
      <c r="AJ214" s="78" t="s">
        <v>1575</v>
      </c>
      <c r="AK214" s="78">
        <v>0</v>
      </c>
      <c r="AL214" s="78">
        <v>0</v>
      </c>
      <c r="AM214" s="78">
        <v>0</v>
      </c>
      <c r="AN214" s="78">
        <v>0</v>
      </c>
      <c r="AO214" s="78">
        <v>0</v>
      </c>
      <c r="AP214" s="78">
        <v>0</v>
      </c>
      <c r="AQ214" s="78">
        <v>0</v>
      </c>
      <c r="AR214" s="233">
        <v>0</v>
      </c>
      <c r="AS214" s="236"/>
      <c r="AT214" s="234">
        <v>0</v>
      </c>
      <c r="AU214" s="234">
        <v>0</v>
      </c>
    </row>
    <row r="215" spans="35:47" x14ac:dyDescent="0.3">
      <c r="AI215" s="12">
        <v>211</v>
      </c>
      <c r="AJ215" s="78" t="s">
        <v>1576</v>
      </c>
      <c r="AK215" s="78">
        <v>0</v>
      </c>
      <c r="AL215" s="78">
        <v>0</v>
      </c>
      <c r="AM215" s="78">
        <v>0</v>
      </c>
      <c r="AN215" s="78">
        <v>0</v>
      </c>
      <c r="AO215" s="78">
        <v>0</v>
      </c>
      <c r="AP215" s="78">
        <v>0</v>
      </c>
      <c r="AQ215" s="78">
        <v>0</v>
      </c>
      <c r="AR215" s="233">
        <v>0</v>
      </c>
      <c r="AS215" s="236"/>
      <c r="AT215" s="234">
        <v>0</v>
      </c>
      <c r="AU215" s="234">
        <v>0</v>
      </c>
    </row>
    <row r="216" spans="35:47" x14ac:dyDescent="0.3">
      <c r="AI216" s="12">
        <v>212</v>
      </c>
      <c r="AJ216" s="78" t="s">
        <v>1577</v>
      </c>
      <c r="AK216" s="78">
        <v>0</v>
      </c>
      <c r="AL216" s="78">
        <v>0</v>
      </c>
      <c r="AM216" s="78">
        <v>0</v>
      </c>
      <c r="AN216" s="78">
        <v>0</v>
      </c>
      <c r="AO216" s="78">
        <v>0</v>
      </c>
      <c r="AP216" s="78">
        <v>0</v>
      </c>
      <c r="AQ216" s="78">
        <v>0</v>
      </c>
      <c r="AR216" s="233">
        <v>0</v>
      </c>
      <c r="AS216" s="236"/>
      <c r="AT216" s="234">
        <v>0</v>
      </c>
      <c r="AU216" s="234">
        <v>0</v>
      </c>
    </row>
    <row r="217" spans="35:47" x14ac:dyDescent="0.3">
      <c r="AI217" s="12">
        <v>213</v>
      </c>
      <c r="AJ217" s="78" t="s">
        <v>1578</v>
      </c>
      <c r="AK217" s="78">
        <v>0</v>
      </c>
      <c r="AL217" s="78">
        <v>0</v>
      </c>
      <c r="AM217" s="78">
        <v>0</v>
      </c>
      <c r="AN217" s="78">
        <v>0</v>
      </c>
      <c r="AO217" s="78">
        <v>0</v>
      </c>
      <c r="AP217" s="78">
        <v>0</v>
      </c>
      <c r="AQ217" s="78">
        <v>0</v>
      </c>
      <c r="AR217" s="233">
        <v>0</v>
      </c>
      <c r="AS217" s="236"/>
      <c r="AT217" s="234">
        <v>0</v>
      </c>
      <c r="AU217" s="234">
        <v>0</v>
      </c>
    </row>
    <row r="218" spans="35:47" x14ac:dyDescent="0.3">
      <c r="AI218" s="12">
        <v>214</v>
      </c>
      <c r="AJ218" s="78" t="s">
        <v>1579</v>
      </c>
      <c r="AK218" s="78">
        <v>0</v>
      </c>
      <c r="AL218" s="78">
        <v>0</v>
      </c>
      <c r="AM218" s="78">
        <v>0</v>
      </c>
      <c r="AN218" s="78">
        <v>0</v>
      </c>
      <c r="AO218" s="78">
        <v>0</v>
      </c>
      <c r="AP218" s="78">
        <v>0</v>
      </c>
      <c r="AQ218" s="78">
        <v>0</v>
      </c>
      <c r="AR218" s="233">
        <v>0</v>
      </c>
      <c r="AS218" s="236"/>
      <c r="AT218" s="234">
        <v>0</v>
      </c>
      <c r="AU218" s="234">
        <v>0</v>
      </c>
    </row>
    <row r="219" spans="35:47" x14ac:dyDescent="0.3">
      <c r="AI219" s="12">
        <v>215</v>
      </c>
      <c r="AJ219" s="78" t="s">
        <v>1580</v>
      </c>
      <c r="AK219" s="78">
        <v>0</v>
      </c>
      <c r="AL219" s="78">
        <v>0</v>
      </c>
      <c r="AM219" s="78">
        <v>0</v>
      </c>
      <c r="AN219" s="78">
        <v>0</v>
      </c>
      <c r="AO219" s="78">
        <v>0</v>
      </c>
      <c r="AP219" s="78">
        <v>0</v>
      </c>
      <c r="AQ219" s="78">
        <v>0</v>
      </c>
      <c r="AR219" s="233">
        <v>0</v>
      </c>
      <c r="AS219" s="236"/>
      <c r="AT219" s="234">
        <v>0</v>
      </c>
      <c r="AU219" s="234">
        <v>0</v>
      </c>
    </row>
    <row r="220" spans="35:47" x14ac:dyDescent="0.3">
      <c r="AI220" s="12">
        <v>216</v>
      </c>
      <c r="AJ220" s="78" t="s">
        <v>1581</v>
      </c>
      <c r="AK220" s="78">
        <v>0</v>
      </c>
      <c r="AL220" s="78">
        <v>0</v>
      </c>
      <c r="AM220" s="78">
        <v>0</v>
      </c>
      <c r="AN220" s="78">
        <v>0</v>
      </c>
      <c r="AO220" s="78">
        <v>0</v>
      </c>
      <c r="AP220" s="78">
        <v>0</v>
      </c>
      <c r="AQ220" s="78">
        <v>0</v>
      </c>
      <c r="AR220" s="233">
        <v>0</v>
      </c>
      <c r="AS220" s="236"/>
      <c r="AT220" s="234">
        <v>0</v>
      </c>
      <c r="AU220" s="234">
        <v>0</v>
      </c>
    </row>
    <row r="221" spans="35:47" x14ac:dyDescent="0.3">
      <c r="AI221" s="12">
        <v>217</v>
      </c>
      <c r="AJ221" s="78" t="s">
        <v>1582</v>
      </c>
      <c r="AK221" s="78">
        <v>0</v>
      </c>
      <c r="AL221" s="78">
        <v>0</v>
      </c>
      <c r="AM221" s="78">
        <v>0</v>
      </c>
      <c r="AN221" s="78">
        <v>0</v>
      </c>
      <c r="AO221" s="78">
        <v>0</v>
      </c>
      <c r="AP221" s="78">
        <v>0</v>
      </c>
      <c r="AQ221" s="78">
        <v>0</v>
      </c>
      <c r="AR221" s="233">
        <v>0</v>
      </c>
      <c r="AS221" s="236"/>
      <c r="AT221" s="234">
        <v>0</v>
      </c>
      <c r="AU221" s="234">
        <v>0</v>
      </c>
    </row>
    <row r="222" spans="35:47" x14ac:dyDescent="0.3">
      <c r="AI222" s="12">
        <v>218</v>
      </c>
      <c r="AJ222" s="78" t="s">
        <v>1583</v>
      </c>
      <c r="AK222" s="78">
        <v>0</v>
      </c>
      <c r="AL222" s="78">
        <v>0</v>
      </c>
      <c r="AM222" s="78">
        <v>0</v>
      </c>
      <c r="AN222" s="78">
        <v>0</v>
      </c>
      <c r="AO222" s="78">
        <v>0</v>
      </c>
      <c r="AP222" s="78">
        <v>0</v>
      </c>
      <c r="AQ222" s="78">
        <v>0</v>
      </c>
      <c r="AR222" s="233">
        <v>0</v>
      </c>
      <c r="AS222" s="236"/>
      <c r="AT222" s="234">
        <v>0</v>
      </c>
      <c r="AU222" s="234">
        <v>0</v>
      </c>
    </row>
    <row r="223" spans="35:47" x14ac:dyDescent="0.3">
      <c r="AI223" s="12">
        <v>219</v>
      </c>
      <c r="AJ223" s="78" t="s">
        <v>1584</v>
      </c>
      <c r="AK223" s="78">
        <v>0</v>
      </c>
      <c r="AL223" s="78">
        <v>0</v>
      </c>
      <c r="AM223" s="78">
        <v>0</v>
      </c>
      <c r="AN223" s="78">
        <v>0</v>
      </c>
      <c r="AO223" s="78">
        <v>0</v>
      </c>
      <c r="AP223" s="78">
        <v>0</v>
      </c>
      <c r="AQ223" s="78">
        <v>0</v>
      </c>
      <c r="AR223" s="233">
        <v>0</v>
      </c>
      <c r="AS223" s="236"/>
      <c r="AT223" s="234">
        <v>0</v>
      </c>
      <c r="AU223" s="234">
        <v>0</v>
      </c>
    </row>
    <row r="224" spans="35:47" x14ac:dyDescent="0.3">
      <c r="AI224" s="12">
        <v>220</v>
      </c>
      <c r="AJ224" s="78" t="s">
        <v>1585</v>
      </c>
      <c r="AK224" s="78">
        <v>0</v>
      </c>
      <c r="AL224" s="78">
        <v>0</v>
      </c>
      <c r="AM224" s="78">
        <v>0</v>
      </c>
      <c r="AN224" s="78">
        <v>0</v>
      </c>
      <c r="AO224" s="78">
        <v>0</v>
      </c>
      <c r="AP224" s="78">
        <v>0</v>
      </c>
      <c r="AQ224" s="78">
        <v>0</v>
      </c>
      <c r="AR224" s="233">
        <v>0</v>
      </c>
      <c r="AS224" s="236"/>
      <c r="AT224" s="234">
        <v>0</v>
      </c>
      <c r="AU224" s="234">
        <v>0</v>
      </c>
    </row>
    <row r="225" spans="35:47" x14ac:dyDescent="0.3">
      <c r="AI225" s="12">
        <v>221</v>
      </c>
      <c r="AJ225" s="78" t="s">
        <v>1586</v>
      </c>
      <c r="AK225" s="78">
        <v>0</v>
      </c>
      <c r="AL225" s="78">
        <v>0</v>
      </c>
      <c r="AM225" s="78">
        <v>0</v>
      </c>
      <c r="AN225" s="78">
        <v>0</v>
      </c>
      <c r="AO225" s="78">
        <v>0</v>
      </c>
      <c r="AP225" s="78">
        <v>0</v>
      </c>
      <c r="AQ225" s="78">
        <v>0</v>
      </c>
      <c r="AR225" s="233">
        <v>0</v>
      </c>
      <c r="AS225" s="236"/>
      <c r="AT225" s="234">
        <v>0</v>
      </c>
      <c r="AU225" s="234">
        <v>0</v>
      </c>
    </row>
    <row r="226" spans="35:47" x14ac:dyDescent="0.3">
      <c r="AI226" s="12">
        <v>222</v>
      </c>
      <c r="AJ226" s="78" t="s">
        <v>1587</v>
      </c>
      <c r="AK226" s="78">
        <v>0</v>
      </c>
      <c r="AL226" s="78">
        <v>0</v>
      </c>
      <c r="AM226" s="78">
        <v>0</v>
      </c>
      <c r="AN226" s="78">
        <v>0</v>
      </c>
      <c r="AO226" s="78">
        <v>0</v>
      </c>
      <c r="AP226" s="78">
        <v>0</v>
      </c>
      <c r="AQ226" s="78">
        <v>0</v>
      </c>
      <c r="AR226" s="233">
        <v>0</v>
      </c>
      <c r="AS226" s="236"/>
      <c r="AT226" s="234">
        <v>0</v>
      </c>
      <c r="AU226" s="234">
        <v>0</v>
      </c>
    </row>
    <row r="227" spans="35:47" x14ac:dyDescent="0.3">
      <c r="AI227" s="12">
        <v>223</v>
      </c>
      <c r="AJ227" s="78" t="s">
        <v>1588</v>
      </c>
      <c r="AK227" s="78">
        <v>0</v>
      </c>
      <c r="AL227" s="78">
        <v>0</v>
      </c>
      <c r="AM227" s="78">
        <v>0</v>
      </c>
      <c r="AN227" s="78">
        <v>0</v>
      </c>
      <c r="AO227" s="78">
        <v>0</v>
      </c>
      <c r="AP227" s="78">
        <v>0</v>
      </c>
      <c r="AQ227" s="78">
        <v>0</v>
      </c>
      <c r="AR227" s="233">
        <v>0</v>
      </c>
      <c r="AS227" s="236"/>
      <c r="AT227" s="234">
        <v>0</v>
      </c>
      <c r="AU227" s="234">
        <v>0</v>
      </c>
    </row>
    <row r="228" spans="35:47" x14ac:dyDescent="0.3">
      <c r="AI228" s="12">
        <v>224</v>
      </c>
      <c r="AJ228" s="78" t="s">
        <v>1589</v>
      </c>
      <c r="AK228" s="78">
        <v>0</v>
      </c>
      <c r="AL228" s="78">
        <v>0</v>
      </c>
      <c r="AM228" s="78">
        <v>0</v>
      </c>
      <c r="AN228" s="78">
        <v>0</v>
      </c>
      <c r="AO228" s="78">
        <v>0</v>
      </c>
      <c r="AP228" s="78">
        <v>0</v>
      </c>
      <c r="AQ228" s="78">
        <v>0</v>
      </c>
      <c r="AR228" s="233">
        <v>0</v>
      </c>
      <c r="AS228" s="236"/>
      <c r="AT228" s="234">
        <v>0</v>
      </c>
      <c r="AU228" s="234">
        <v>0</v>
      </c>
    </row>
    <row r="229" spans="35:47" x14ac:dyDescent="0.3">
      <c r="AI229" s="12">
        <v>225</v>
      </c>
      <c r="AJ229" s="78" t="s">
        <v>1590</v>
      </c>
      <c r="AK229" s="78">
        <v>0</v>
      </c>
      <c r="AL229" s="78">
        <v>0</v>
      </c>
      <c r="AM229" s="78">
        <v>0</v>
      </c>
      <c r="AN229" s="78">
        <v>0</v>
      </c>
      <c r="AO229" s="78">
        <v>0</v>
      </c>
      <c r="AP229" s="78">
        <v>0</v>
      </c>
      <c r="AQ229" s="78">
        <v>0</v>
      </c>
      <c r="AR229" s="233">
        <v>0</v>
      </c>
      <c r="AS229" s="236"/>
      <c r="AT229" s="234">
        <v>0</v>
      </c>
      <c r="AU229" s="234">
        <v>0</v>
      </c>
    </row>
    <row r="230" spans="35:47" x14ac:dyDescent="0.3">
      <c r="AI230" s="12">
        <v>226</v>
      </c>
      <c r="AJ230" s="78" t="s">
        <v>1591</v>
      </c>
      <c r="AK230" s="78">
        <v>0</v>
      </c>
      <c r="AL230" s="78">
        <v>0</v>
      </c>
      <c r="AM230" s="78">
        <v>0</v>
      </c>
      <c r="AN230" s="78">
        <v>0</v>
      </c>
      <c r="AO230" s="78">
        <v>0</v>
      </c>
      <c r="AP230" s="78">
        <v>0</v>
      </c>
      <c r="AQ230" s="78">
        <v>0</v>
      </c>
      <c r="AR230" s="233">
        <v>0</v>
      </c>
      <c r="AS230" s="236"/>
      <c r="AT230" s="234">
        <v>0</v>
      </c>
      <c r="AU230" s="234">
        <v>0</v>
      </c>
    </row>
    <row r="231" spans="35:47" x14ac:dyDescent="0.3">
      <c r="AI231" s="12">
        <v>227</v>
      </c>
      <c r="AJ231" s="78" t="s">
        <v>1592</v>
      </c>
      <c r="AK231" s="78">
        <v>0</v>
      </c>
      <c r="AL231" s="78">
        <v>0</v>
      </c>
      <c r="AM231" s="78">
        <v>0</v>
      </c>
      <c r="AN231" s="78">
        <v>0</v>
      </c>
      <c r="AO231" s="78">
        <v>0</v>
      </c>
      <c r="AP231" s="78">
        <v>0</v>
      </c>
      <c r="AQ231" s="78">
        <v>0</v>
      </c>
      <c r="AR231" s="233">
        <v>0</v>
      </c>
      <c r="AS231" s="236"/>
      <c r="AT231" s="234">
        <v>0</v>
      </c>
      <c r="AU231" s="234">
        <v>0</v>
      </c>
    </row>
    <row r="232" spans="35:47" x14ac:dyDescent="0.3">
      <c r="AI232" s="12">
        <v>228</v>
      </c>
      <c r="AJ232" s="78" t="s">
        <v>1593</v>
      </c>
      <c r="AK232" s="78">
        <v>0</v>
      </c>
      <c r="AL232" s="78">
        <v>0</v>
      </c>
      <c r="AM232" s="78">
        <v>0</v>
      </c>
      <c r="AN232" s="78">
        <v>0</v>
      </c>
      <c r="AO232" s="78">
        <v>0</v>
      </c>
      <c r="AP232" s="78">
        <v>0</v>
      </c>
      <c r="AQ232" s="78">
        <v>0</v>
      </c>
      <c r="AR232" s="233">
        <v>0</v>
      </c>
      <c r="AS232" s="236"/>
      <c r="AT232" s="234">
        <v>0</v>
      </c>
      <c r="AU232" s="234">
        <v>0</v>
      </c>
    </row>
    <row r="233" spans="35:47" x14ac:dyDescent="0.3">
      <c r="AI233" s="12">
        <v>229</v>
      </c>
      <c r="AJ233" s="78" t="s">
        <v>1594</v>
      </c>
      <c r="AK233" s="78">
        <v>0</v>
      </c>
      <c r="AL233" s="78">
        <v>0</v>
      </c>
      <c r="AM233" s="78">
        <v>0</v>
      </c>
      <c r="AN233" s="78">
        <v>0</v>
      </c>
      <c r="AO233" s="78">
        <v>0</v>
      </c>
      <c r="AP233" s="78">
        <v>0</v>
      </c>
      <c r="AQ233" s="78">
        <v>0</v>
      </c>
      <c r="AR233" s="233">
        <v>0</v>
      </c>
      <c r="AS233" s="236"/>
      <c r="AT233" s="234">
        <v>0</v>
      </c>
      <c r="AU233" s="234">
        <v>0</v>
      </c>
    </row>
    <row r="234" spans="35:47" x14ac:dyDescent="0.3">
      <c r="AI234" s="12">
        <v>230</v>
      </c>
      <c r="AJ234" s="78" t="s">
        <v>1595</v>
      </c>
      <c r="AK234" s="78">
        <v>0</v>
      </c>
      <c r="AL234" s="78">
        <v>0</v>
      </c>
      <c r="AM234" s="78">
        <v>0</v>
      </c>
      <c r="AN234" s="78">
        <v>0</v>
      </c>
      <c r="AO234" s="78">
        <v>0</v>
      </c>
      <c r="AP234" s="78">
        <v>0</v>
      </c>
      <c r="AQ234" s="78">
        <v>0</v>
      </c>
      <c r="AR234" s="233">
        <v>0</v>
      </c>
      <c r="AS234" s="236"/>
      <c r="AT234" s="234">
        <v>0</v>
      </c>
      <c r="AU234" s="234">
        <v>0</v>
      </c>
    </row>
    <row r="235" spans="35:47" x14ac:dyDescent="0.3">
      <c r="AI235" s="12">
        <v>231</v>
      </c>
      <c r="AJ235" s="78" t="s">
        <v>1596</v>
      </c>
      <c r="AK235" s="78">
        <v>0</v>
      </c>
      <c r="AL235" s="78">
        <v>0</v>
      </c>
      <c r="AM235" s="78">
        <v>0</v>
      </c>
      <c r="AN235" s="78">
        <v>0</v>
      </c>
      <c r="AO235" s="78">
        <v>0</v>
      </c>
      <c r="AP235" s="78">
        <v>0</v>
      </c>
      <c r="AQ235" s="78">
        <v>0</v>
      </c>
      <c r="AR235" s="233">
        <v>0</v>
      </c>
      <c r="AS235" s="236"/>
      <c r="AT235" s="234">
        <v>0</v>
      </c>
      <c r="AU235" s="234">
        <v>0</v>
      </c>
    </row>
    <row r="236" spans="35:47" x14ac:dyDescent="0.3">
      <c r="AI236" s="12">
        <v>232</v>
      </c>
      <c r="AJ236" s="78" t="s">
        <v>1597</v>
      </c>
      <c r="AK236" s="78">
        <v>0</v>
      </c>
      <c r="AL236" s="78">
        <v>0</v>
      </c>
      <c r="AM236" s="78">
        <v>0</v>
      </c>
      <c r="AN236" s="78">
        <v>0</v>
      </c>
      <c r="AO236" s="78">
        <v>0</v>
      </c>
      <c r="AP236" s="78">
        <v>0</v>
      </c>
      <c r="AQ236" s="78">
        <v>0</v>
      </c>
      <c r="AR236" s="233">
        <v>0</v>
      </c>
      <c r="AS236" s="236"/>
      <c r="AT236" s="234">
        <v>0</v>
      </c>
      <c r="AU236" s="234">
        <v>0</v>
      </c>
    </row>
    <row r="237" spans="35:47" x14ac:dyDescent="0.3">
      <c r="AI237" s="12">
        <v>233</v>
      </c>
      <c r="AJ237" s="78" t="s">
        <v>1598</v>
      </c>
      <c r="AK237" s="78">
        <v>0</v>
      </c>
      <c r="AL237" s="78">
        <v>0</v>
      </c>
      <c r="AM237" s="78">
        <v>0</v>
      </c>
      <c r="AN237" s="78">
        <v>0</v>
      </c>
      <c r="AO237" s="78">
        <v>0</v>
      </c>
      <c r="AP237" s="78">
        <v>0</v>
      </c>
      <c r="AQ237" s="78">
        <v>0</v>
      </c>
      <c r="AR237" s="233">
        <v>0</v>
      </c>
      <c r="AS237" s="236"/>
      <c r="AT237" s="234">
        <v>0</v>
      </c>
      <c r="AU237" s="234">
        <v>0</v>
      </c>
    </row>
    <row r="238" spans="35:47" x14ac:dyDescent="0.3">
      <c r="AI238" s="12">
        <v>234</v>
      </c>
      <c r="AJ238" s="78" t="s">
        <v>1599</v>
      </c>
      <c r="AK238" s="78">
        <v>0</v>
      </c>
      <c r="AL238" s="78">
        <v>0</v>
      </c>
      <c r="AM238" s="78">
        <v>0</v>
      </c>
      <c r="AN238" s="78">
        <v>0</v>
      </c>
      <c r="AO238" s="78">
        <v>0</v>
      </c>
      <c r="AP238" s="78">
        <v>0</v>
      </c>
      <c r="AQ238" s="78">
        <v>0</v>
      </c>
      <c r="AR238" s="233">
        <v>0</v>
      </c>
      <c r="AS238" s="236"/>
      <c r="AT238" s="234">
        <v>0</v>
      </c>
      <c r="AU238" s="234">
        <v>0</v>
      </c>
    </row>
    <row r="239" spans="35:47" x14ac:dyDescent="0.3">
      <c r="AI239" s="12">
        <v>235</v>
      </c>
      <c r="AJ239" s="78" t="s">
        <v>1600</v>
      </c>
      <c r="AK239" s="78">
        <v>0</v>
      </c>
      <c r="AL239" s="78">
        <v>0</v>
      </c>
      <c r="AM239" s="78">
        <v>0</v>
      </c>
      <c r="AN239" s="78">
        <v>0</v>
      </c>
      <c r="AO239" s="78">
        <v>0</v>
      </c>
      <c r="AP239" s="78">
        <v>0</v>
      </c>
      <c r="AQ239" s="78">
        <v>0</v>
      </c>
      <c r="AR239" s="233">
        <v>0</v>
      </c>
      <c r="AS239" s="236"/>
      <c r="AT239" s="234">
        <v>0</v>
      </c>
      <c r="AU239" s="234">
        <v>0</v>
      </c>
    </row>
    <row r="240" spans="35:47" x14ac:dyDescent="0.3">
      <c r="AI240" s="12">
        <v>236</v>
      </c>
      <c r="AJ240" s="78" t="s">
        <v>1601</v>
      </c>
      <c r="AK240" s="78">
        <v>0</v>
      </c>
      <c r="AL240" s="78">
        <v>0</v>
      </c>
      <c r="AM240" s="78">
        <v>0</v>
      </c>
      <c r="AN240" s="78">
        <v>0</v>
      </c>
      <c r="AO240" s="78">
        <v>0</v>
      </c>
      <c r="AP240" s="78">
        <v>0</v>
      </c>
      <c r="AQ240" s="78">
        <v>0</v>
      </c>
      <c r="AR240" s="233">
        <v>0</v>
      </c>
      <c r="AS240" s="236"/>
      <c r="AT240" s="234">
        <v>0</v>
      </c>
      <c r="AU240" s="234">
        <v>0</v>
      </c>
    </row>
    <row r="241" spans="35:47" x14ac:dyDescent="0.3">
      <c r="AI241" s="12">
        <v>237</v>
      </c>
      <c r="AJ241" s="78" t="s">
        <v>1602</v>
      </c>
      <c r="AK241" s="78">
        <v>0</v>
      </c>
      <c r="AL241" s="78">
        <v>0</v>
      </c>
      <c r="AM241" s="78">
        <v>0</v>
      </c>
      <c r="AN241" s="78">
        <v>0</v>
      </c>
      <c r="AO241" s="78">
        <v>0</v>
      </c>
      <c r="AP241" s="78">
        <v>0</v>
      </c>
      <c r="AQ241" s="78">
        <v>0</v>
      </c>
      <c r="AR241" s="233">
        <v>0</v>
      </c>
      <c r="AS241" s="236"/>
      <c r="AT241" s="234">
        <v>0</v>
      </c>
      <c r="AU241" s="234">
        <v>0</v>
      </c>
    </row>
    <row r="242" spans="35:47" x14ac:dyDescent="0.3">
      <c r="AI242" s="12">
        <v>238</v>
      </c>
      <c r="AJ242" s="78" t="s">
        <v>1603</v>
      </c>
      <c r="AK242" s="78">
        <v>0</v>
      </c>
      <c r="AL242" s="78">
        <v>0</v>
      </c>
      <c r="AM242" s="78">
        <v>0</v>
      </c>
      <c r="AN242" s="78">
        <v>0</v>
      </c>
      <c r="AO242" s="78">
        <v>0</v>
      </c>
      <c r="AP242" s="78">
        <v>0</v>
      </c>
      <c r="AQ242" s="78">
        <v>0</v>
      </c>
      <c r="AR242" s="233">
        <v>0</v>
      </c>
      <c r="AS242" s="236"/>
      <c r="AT242" s="234">
        <v>0</v>
      </c>
      <c r="AU242" s="234">
        <v>0</v>
      </c>
    </row>
    <row r="243" spans="35:47" x14ac:dyDescent="0.3">
      <c r="AI243" s="12">
        <v>239</v>
      </c>
      <c r="AJ243" s="78" t="s">
        <v>1604</v>
      </c>
      <c r="AK243" s="78">
        <v>0</v>
      </c>
      <c r="AL243" s="78">
        <v>0</v>
      </c>
      <c r="AM243" s="78">
        <v>0</v>
      </c>
      <c r="AN243" s="78">
        <v>0</v>
      </c>
      <c r="AO243" s="78">
        <v>0</v>
      </c>
      <c r="AP243" s="78">
        <v>0</v>
      </c>
      <c r="AQ243" s="78">
        <v>0</v>
      </c>
      <c r="AR243" s="233">
        <v>0</v>
      </c>
      <c r="AS243" s="236"/>
      <c r="AT243" s="234">
        <v>0</v>
      </c>
      <c r="AU243" s="234">
        <v>0</v>
      </c>
    </row>
    <row r="244" spans="35:47" x14ac:dyDescent="0.3">
      <c r="AI244" s="12">
        <v>240</v>
      </c>
      <c r="AJ244" s="78" t="s">
        <v>1605</v>
      </c>
      <c r="AK244" s="78">
        <v>0</v>
      </c>
      <c r="AL244" s="78">
        <v>0</v>
      </c>
      <c r="AM244" s="78">
        <v>0</v>
      </c>
      <c r="AN244" s="78">
        <v>0</v>
      </c>
      <c r="AO244" s="78">
        <v>0</v>
      </c>
      <c r="AP244" s="78">
        <v>0</v>
      </c>
      <c r="AQ244" s="78">
        <v>0</v>
      </c>
      <c r="AR244" s="233">
        <v>0</v>
      </c>
      <c r="AS244" s="236"/>
      <c r="AT244" s="234">
        <v>0</v>
      </c>
      <c r="AU244" s="234">
        <v>0</v>
      </c>
    </row>
    <row r="245" spans="35:47" x14ac:dyDescent="0.3">
      <c r="AI245" s="12">
        <v>241</v>
      </c>
      <c r="AJ245" s="78" t="s">
        <v>1606</v>
      </c>
      <c r="AK245" s="78">
        <v>0</v>
      </c>
      <c r="AL245" s="78">
        <v>0</v>
      </c>
      <c r="AM245" s="78">
        <v>0</v>
      </c>
      <c r="AN245" s="78">
        <v>0</v>
      </c>
      <c r="AO245" s="78">
        <v>0</v>
      </c>
      <c r="AP245" s="78">
        <v>0</v>
      </c>
      <c r="AQ245" s="78">
        <v>0</v>
      </c>
      <c r="AR245" s="233">
        <v>0</v>
      </c>
      <c r="AS245" s="236"/>
      <c r="AT245" s="234">
        <v>0</v>
      </c>
      <c r="AU245" s="234">
        <v>0</v>
      </c>
    </row>
    <row r="246" spans="35:47" x14ac:dyDescent="0.3">
      <c r="AI246" s="12">
        <v>242</v>
      </c>
      <c r="AJ246" s="78" t="s">
        <v>1607</v>
      </c>
      <c r="AK246" s="78">
        <v>0</v>
      </c>
      <c r="AL246" s="78">
        <v>0</v>
      </c>
      <c r="AM246" s="78">
        <v>0</v>
      </c>
      <c r="AN246" s="78">
        <v>0</v>
      </c>
      <c r="AO246" s="78">
        <v>0</v>
      </c>
      <c r="AP246" s="78">
        <v>0</v>
      </c>
      <c r="AQ246" s="78">
        <v>0</v>
      </c>
      <c r="AR246" s="233">
        <v>0</v>
      </c>
      <c r="AS246" s="236"/>
      <c r="AT246" s="234">
        <v>0</v>
      </c>
      <c r="AU246" s="234">
        <v>0</v>
      </c>
    </row>
    <row r="247" spans="35:47" x14ac:dyDescent="0.3">
      <c r="AI247" s="12">
        <v>243</v>
      </c>
      <c r="AJ247" s="78" t="s">
        <v>1608</v>
      </c>
      <c r="AK247" s="78">
        <v>0</v>
      </c>
      <c r="AL247" s="78">
        <v>0</v>
      </c>
      <c r="AM247" s="78">
        <v>0</v>
      </c>
      <c r="AN247" s="78">
        <v>0</v>
      </c>
      <c r="AO247" s="78">
        <v>0</v>
      </c>
      <c r="AP247" s="78">
        <v>0</v>
      </c>
      <c r="AQ247" s="78">
        <v>0</v>
      </c>
      <c r="AR247" s="233">
        <v>0</v>
      </c>
      <c r="AS247" s="236"/>
      <c r="AT247" s="234">
        <v>0</v>
      </c>
      <c r="AU247" s="234">
        <v>0</v>
      </c>
    </row>
    <row r="248" spans="35:47" x14ac:dyDescent="0.3">
      <c r="AI248" s="12">
        <v>244</v>
      </c>
      <c r="AJ248" s="78" t="s">
        <v>1609</v>
      </c>
      <c r="AK248" s="78">
        <v>0</v>
      </c>
      <c r="AL248" s="78">
        <v>0</v>
      </c>
      <c r="AM248" s="78">
        <v>0</v>
      </c>
      <c r="AN248" s="78">
        <v>0</v>
      </c>
      <c r="AO248" s="78">
        <v>0</v>
      </c>
      <c r="AP248" s="78">
        <v>0</v>
      </c>
      <c r="AQ248" s="78">
        <v>0</v>
      </c>
      <c r="AR248" s="233">
        <v>0</v>
      </c>
      <c r="AS248" s="236"/>
      <c r="AT248" s="234">
        <v>0</v>
      </c>
      <c r="AU248" s="234">
        <v>0</v>
      </c>
    </row>
    <row r="249" spans="35:47" x14ac:dyDescent="0.3">
      <c r="AI249" s="12">
        <v>245</v>
      </c>
      <c r="AJ249" s="78" t="s">
        <v>1610</v>
      </c>
      <c r="AK249" s="78">
        <v>0</v>
      </c>
      <c r="AL249" s="78">
        <v>0</v>
      </c>
      <c r="AM249" s="78">
        <v>0</v>
      </c>
      <c r="AN249" s="78">
        <v>0</v>
      </c>
      <c r="AO249" s="78">
        <v>0</v>
      </c>
      <c r="AP249" s="78">
        <v>0</v>
      </c>
      <c r="AQ249" s="78">
        <v>0</v>
      </c>
      <c r="AR249" s="233">
        <v>0</v>
      </c>
      <c r="AS249" s="236"/>
      <c r="AT249" s="234">
        <v>0</v>
      </c>
      <c r="AU249" s="234">
        <v>0</v>
      </c>
    </row>
    <row r="250" spans="35:47" x14ac:dyDescent="0.3">
      <c r="AI250" s="12">
        <v>246</v>
      </c>
      <c r="AJ250" s="78" t="s">
        <v>1611</v>
      </c>
      <c r="AK250" s="78">
        <v>0</v>
      </c>
      <c r="AL250" s="78">
        <v>0</v>
      </c>
      <c r="AM250" s="78">
        <v>0</v>
      </c>
      <c r="AN250" s="78">
        <v>0</v>
      </c>
      <c r="AO250" s="78">
        <v>0</v>
      </c>
      <c r="AP250" s="78">
        <v>0</v>
      </c>
      <c r="AQ250" s="78">
        <v>0</v>
      </c>
      <c r="AR250" s="233">
        <v>0</v>
      </c>
      <c r="AS250" s="236"/>
      <c r="AT250" s="234">
        <v>0</v>
      </c>
      <c r="AU250" s="234">
        <v>0</v>
      </c>
    </row>
  </sheetData>
  <mergeCells count="11">
    <mergeCell ref="AI3:AM3"/>
    <mergeCell ref="AN3:AN4"/>
    <mergeCell ref="A3:E3"/>
    <mergeCell ref="Y3:AC3"/>
    <mergeCell ref="AD3:AD4"/>
    <mergeCell ref="AF3:AF4"/>
    <mergeCell ref="V3:V4"/>
    <mergeCell ref="F3:F4"/>
    <mergeCell ref="Q3:U3"/>
    <mergeCell ref="J3:O3"/>
    <mergeCell ref="I3:I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BO223"/>
  <sheetViews>
    <sheetView topLeftCell="A15" workbookViewId="0">
      <selection activeCell="F59" sqref="F59"/>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Protein_1_conv</v>
      </c>
    </row>
    <row r="4" spans="1:36" x14ac:dyDescent="0.3">
      <c r="A4" s="15" t="s">
        <v>31</v>
      </c>
      <c r="B4" s="299">
        <v>110</v>
      </c>
      <c r="C4" s="299"/>
      <c r="D4" s="5" t="s">
        <v>481</v>
      </c>
      <c r="F4" s="150" t="s">
        <v>223</v>
      </c>
      <c r="G4" s="149">
        <v>17.7</v>
      </c>
      <c r="I4" s="302" t="s">
        <v>158</v>
      </c>
      <c r="J4" s="303"/>
      <c r="K4" s="128"/>
      <c r="L4" s="134" t="s">
        <v>207</v>
      </c>
      <c r="AF4" s="144" t="str">
        <f t="shared" ref="AF4:AF9" si="0">IF(B13="","",B13)</f>
        <v>Protein_2_conv</v>
      </c>
    </row>
    <row r="5" spans="1:36" x14ac:dyDescent="0.3">
      <c r="A5" s="15" t="s">
        <v>32</v>
      </c>
      <c r="B5" s="299" t="s">
        <v>380</v>
      </c>
      <c r="C5" s="299"/>
      <c r="D5" s="17" t="s">
        <v>627</v>
      </c>
      <c r="E5" t="s">
        <v>186</v>
      </c>
      <c r="F5" s="150" t="s">
        <v>224</v>
      </c>
      <c r="G5" s="149">
        <v>18.7</v>
      </c>
      <c r="I5" s="86" t="s">
        <v>159</v>
      </c>
      <c r="J5" s="5"/>
      <c r="L5" s="90">
        <v>3.14</v>
      </c>
      <c r="AF5" s="144" t="str">
        <f t="shared" si="0"/>
        <v>Planteolie_conv</v>
      </c>
    </row>
    <row r="6" spans="1:36" x14ac:dyDescent="0.3">
      <c r="A6" s="15" t="s">
        <v>3</v>
      </c>
      <c r="B6" s="299" t="s">
        <v>381</v>
      </c>
      <c r="C6" s="299"/>
      <c r="D6" s="5">
        <v>1.0349999999999999</v>
      </c>
      <c r="F6" s="151" t="s">
        <v>147</v>
      </c>
      <c r="G6" s="88">
        <f>(Y32/D32)*100</f>
        <v>18.711377104652883</v>
      </c>
      <c r="I6" s="86" t="s">
        <v>160</v>
      </c>
      <c r="J6" s="5"/>
      <c r="L6" s="129"/>
      <c r="AF6" s="144" t="str">
        <f t="shared" si="0"/>
        <v>Grain_conv</v>
      </c>
    </row>
    <row r="7" spans="1:36" ht="14.7" customHeight="1" x14ac:dyDescent="0.3">
      <c r="A7" s="295" t="s">
        <v>55</v>
      </c>
      <c r="B7" s="296" t="s">
        <v>674</v>
      </c>
      <c r="C7" s="296"/>
      <c r="D7" s="42"/>
      <c r="F7" s="152" t="s">
        <v>187</v>
      </c>
      <c r="G7" s="209">
        <v>162</v>
      </c>
      <c r="I7" s="86" t="s">
        <v>161</v>
      </c>
      <c r="J7" s="5"/>
      <c r="L7" s="131" t="s">
        <v>198</v>
      </c>
      <c r="AF7" s="144" t="str">
        <f t="shared" si="0"/>
        <v/>
      </c>
    </row>
    <row r="8" spans="1:36" ht="15" thickBot="1" x14ac:dyDescent="0.35">
      <c r="A8" s="295"/>
      <c r="B8" s="296"/>
      <c r="C8" s="296"/>
      <c r="D8" s="47"/>
      <c r="F8" s="153" t="s">
        <v>197</v>
      </c>
      <c r="G8" s="102">
        <v>190</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Mineral_Type_2_grann_imp_conv</v>
      </c>
    </row>
    <row r="10" spans="1:36" ht="15.6" customHeight="1" x14ac:dyDescent="0.3">
      <c r="E10" s="297" t="s">
        <v>188</v>
      </c>
      <c r="F10" s="297"/>
      <c r="G10" s="127"/>
      <c r="H10" t="s">
        <v>186</v>
      </c>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284</v>
      </c>
      <c r="C12" s="217" t="s">
        <v>43</v>
      </c>
      <c r="D12" s="254">
        <v>14</v>
      </c>
      <c r="E12" s="218"/>
      <c r="F12" s="218" t="s">
        <v>192</v>
      </c>
      <c r="G12" s="219"/>
      <c r="I12" s="87" t="s">
        <v>201</v>
      </c>
      <c r="J12" s="107">
        <v>1.54</v>
      </c>
      <c r="K12" s="107">
        <v>1.58</v>
      </c>
      <c r="L12" s="102"/>
      <c r="R12" s="51">
        <f>(IF($T12=0,"0",VLOOKUP($B12,Biomass_pool_output_Tech1_modul!$A$3:$G$100,7,FALSE)))</f>
        <v>982.04281164681095</v>
      </c>
      <c r="S12" s="44"/>
      <c r="T12" s="34">
        <f>IF($B12="","0",(VLOOKUP($B12,Biomass_pool_output_Tech1_modul!$A$3:$F$100,2,FALSE)*($D12)/1000))</f>
        <v>6.4336306321691881</v>
      </c>
      <c r="U12" s="34">
        <f>IF($B12="","0",(VLOOKUP($B12,Biomass_pool_output_Tech1_modul!$A$3:$F$100,3,FALSE)*($D12)/1000))</f>
        <v>2.2483536892803699</v>
      </c>
      <c r="V12" s="34">
        <f>IF($B12="","0",(VLOOKUP($B12,Biomass_pool_output_Tech1_modul!$A$3:$F$100,4,FALSE)*($D12)/1000))</f>
        <v>2.9864284959751481E-2</v>
      </c>
      <c r="W12" s="34">
        <f>IF($B12="","0",(VLOOKUP($B12,Biomass_pool_output_Tech1_modul!$A$3:$F$100,5,FALSE)*($D12)/1000))</f>
        <v>0.14333444767796702</v>
      </c>
      <c r="X12" s="34">
        <f>IF($B12="","0",(VLOOKUP($B12,Biomass_pool_output_Tech1_modul!$A$3:$F$100,6,FALSE)*$D12))</f>
        <v>256.55831229961376</v>
      </c>
      <c r="Y12" s="34">
        <f>U12*6.25</f>
        <v>14.052210558002312</v>
      </c>
      <c r="AA12" s="53"/>
      <c r="AB12" s="53"/>
      <c r="AC12" s="53"/>
      <c r="AD12" s="53"/>
      <c r="AF12" s="144" t="str">
        <f t="shared" si="1"/>
        <v/>
      </c>
      <c r="AG12" s="53"/>
      <c r="AH12" s="53"/>
      <c r="AI12" s="53"/>
      <c r="AJ12" s="53"/>
    </row>
    <row r="13" spans="1:36" x14ac:dyDescent="0.3">
      <c r="A13" s="211" t="s">
        <v>318</v>
      </c>
      <c r="B13" s="212" t="s">
        <v>285</v>
      </c>
      <c r="C13" s="213" t="s">
        <v>43</v>
      </c>
      <c r="D13" s="255">
        <v>20</v>
      </c>
      <c r="E13" s="214"/>
      <c r="F13" s="214" t="s">
        <v>209</v>
      </c>
      <c r="R13" s="51">
        <f>(IF($T13=0,"0",VLOOKUP($B13,Biomass_pool_output_Tech1_modul!$A$3:$G$100,7,FALSE)))</f>
        <v>879.383109851227</v>
      </c>
      <c r="S13" s="44"/>
      <c r="T13" s="34">
        <f>IF($B13="","0",(VLOOKUP($B13,Biomass_pool_output_Tech1_modul!$A$3:$F$100,2,FALSE)*($D13)/1000))</f>
        <v>9</v>
      </c>
      <c r="U13" s="34">
        <f>IF($B13="","0",(VLOOKUP($B13,Biomass_pool_output_Tech1_modul!$A$3:$F$100,3,FALSE)*($D13)/1000))</f>
        <v>0.95889854291639198</v>
      </c>
      <c r="V13" s="34">
        <f>IF($B13="","0",(VLOOKUP($B13,Biomass_pool_output_Tech1_modul!$A$3:$F$100,4,FALSE)*($D13)/1000))</f>
        <v>0.22569118014979803</v>
      </c>
      <c r="W13" s="34">
        <f>IF($B13="","0",(VLOOKUP($B13,Biomass_pool_output_Tech1_modul!$A$3:$F$100,5,FALSE)*($D13)/1000))</f>
        <v>0.31234849669369802</v>
      </c>
      <c r="X13" s="34">
        <f>IF($B13="","0",(VLOOKUP($B13,Biomass_pool_output_Tech1_modul!$A$3:$F$100,6,FALSE)*$D13))</f>
        <v>432.843152615794</v>
      </c>
      <c r="Y13" s="34">
        <f t="shared" ref="Y13:Y16" si="2">U13*6.25</f>
        <v>5.9931158932274498</v>
      </c>
      <c r="AA13" s="53"/>
      <c r="AB13" s="53"/>
      <c r="AC13" s="53"/>
      <c r="AD13" s="53"/>
      <c r="AF13" s="144" t="str">
        <f t="shared" si="1"/>
        <v/>
      </c>
      <c r="AG13" s="53"/>
      <c r="AH13" s="53"/>
      <c r="AI13" s="53"/>
      <c r="AJ13" s="53"/>
    </row>
    <row r="14" spans="1:36" ht="15" thickBot="1" x14ac:dyDescent="0.35">
      <c r="A14" s="220" t="s">
        <v>319</v>
      </c>
      <c r="B14" s="221" t="s">
        <v>382</v>
      </c>
      <c r="C14" s="222" t="s">
        <v>43</v>
      </c>
      <c r="D14" s="253">
        <v>4</v>
      </c>
      <c r="E14" s="223"/>
      <c r="F14" s="224" t="s">
        <v>666</v>
      </c>
      <c r="G14" s="154"/>
      <c r="I14" s="203"/>
      <c r="J14" s="203"/>
      <c r="K14" s="203"/>
      <c r="R14" s="51">
        <f>(IF($T14=0,"0",VLOOKUP($B14,Biomass_pool_output_Tech1_modul!$A$3:$G$100,7,FALSE)))</f>
        <v>1000</v>
      </c>
      <c r="S14" s="44"/>
      <c r="T14" s="34">
        <f>IF($B14="","0",(VLOOKUP($B14,Biomass_pool_output_Tech1_modul!$A$3:$F$100,2,FALSE)*($D14)/1000))</f>
        <v>1.8</v>
      </c>
      <c r="U14" s="34">
        <f>IF($B14="","0",(VLOOKUP($B14,Biomass_pool_output_Tech1_modul!$A$3:$F$100,3,FALSE)*($D14)/1000))</f>
        <v>0</v>
      </c>
      <c r="V14" s="34">
        <f>IF($B14="","0",(VLOOKUP($B14,Biomass_pool_output_Tech1_modul!$A$3:$F$100,4,FALSE)*($D14)/1000))</f>
        <v>0</v>
      </c>
      <c r="W14" s="34">
        <f>IF($B14="","0",(VLOOKUP($B14,Biomass_pool_output_Tech1_modul!$A$3:$F$100,5,FALSE)*($D14)/1000))</f>
        <v>0</v>
      </c>
      <c r="X14" s="34">
        <f>IF($B14="","0",(VLOOKUP($B14,Biomass_pool_output_Tech1_modul!$A$3:$F$100,6,FALSE)*$D14))</f>
        <v>146.4</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54">
        <v>148</v>
      </c>
      <c r="E15" s="218"/>
      <c r="F15" s="226" t="s">
        <v>344</v>
      </c>
      <c r="G15" s="219"/>
      <c r="R15" s="51">
        <f>(IF($T15=0,"0",VLOOKUP($B15,Biomass_pool_output_Tech1_modul!$A$3:$G$100,7,FALSE)))</f>
        <v>850.51110268835396</v>
      </c>
      <c r="S15" s="44"/>
      <c r="T15" s="34">
        <f>IF($B15="","0",(VLOOKUP($B15,Biomass_pool_output_Tech1_modul!$A$3:$F$100,2,FALSE)*($D15)/1000))</f>
        <v>66.599999999999994</v>
      </c>
      <c r="U15" s="34">
        <f>IF($B15="","0",(VLOOKUP($B15,Biomass_pool_output_Tech1_modul!$A$3:$F$100,3,FALSE)*($D15)/1000))</f>
        <v>2.4810064076177145</v>
      </c>
      <c r="V15" s="34">
        <f>IF($B15="","0",(VLOOKUP($B15,Biomass_pool_output_Tech1_modul!$A$3:$F$100,4,FALSE)*($D15)/1000))</f>
        <v>0.45928968526257979</v>
      </c>
      <c r="W15" s="34">
        <f>IF($B15="","0",(VLOOKUP($B15,Biomass_pool_output_Tech1_modul!$A$3:$F$100,5,FALSE)*($D15)/1000))</f>
        <v>0.72159153088280426</v>
      </c>
      <c r="X15" s="34">
        <f>IF($B15="","0",(VLOOKUP($B15,Biomass_pool_output_Tech1_modul!$A$3:$F$100,6,FALSE)*$D15))</f>
        <v>2846.7638788848376</v>
      </c>
      <c r="Y15" s="34">
        <f t="shared" si="2"/>
        <v>15.506290047610715</v>
      </c>
      <c r="AA15" s="53"/>
      <c r="AB15" s="53"/>
      <c r="AC15" s="53"/>
      <c r="AD15" s="53"/>
      <c r="AF15" s="144" t="str">
        <f t="shared" si="1"/>
        <v/>
      </c>
      <c r="AG15" s="53"/>
      <c r="AH15" s="53"/>
      <c r="AI15" s="53"/>
      <c r="AJ15" s="53"/>
    </row>
    <row r="16" spans="1:36" x14ac:dyDescent="0.3">
      <c r="A16" s="211" t="s">
        <v>107</v>
      </c>
      <c r="B16" s="212"/>
      <c r="C16" s="213" t="s">
        <v>43</v>
      </c>
      <c r="D16" s="255"/>
      <c r="E16" s="214"/>
      <c r="F16" s="225"/>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56"/>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Soyakage_imp_conv</v>
      </c>
      <c r="AH17" s="110"/>
    </row>
    <row r="18" spans="1:65" x14ac:dyDescent="0.3">
      <c r="A18" s="18" t="s">
        <v>414</v>
      </c>
      <c r="B18" s="19" t="s">
        <v>411</v>
      </c>
      <c r="C18" s="28" t="s">
        <v>43</v>
      </c>
      <c r="D18" s="256">
        <v>4</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0.2</v>
      </c>
      <c r="W18" s="34">
        <f>IF($B18="","0",(VLOOKUP($B18,'Imported products'!$B$5:$O$54,12,FALSE)*($D18)/1000))</f>
        <v>6.0000000000000001E-3</v>
      </c>
      <c r="X18" s="34">
        <f>IF($B18="","0",(VLOOKUP($B18,'Imported products'!$B$5:$O$54,13,FALSE)*($D18)/1000))</f>
        <v>0</v>
      </c>
      <c r="Y18" s="34">
        <f>IF($B18="","0",(VLOOKUP($B18,'Imported products'!$B$5:$O$54,14,FALSE)*($D18)/1000))</f>
        <v>0</v>
      </c>
      <c r="AA18" s="110"/>
      <c r="AF18" s="144" t="str">
        <f t="shared" ref="AF18:AF23" si="3">IF(F13="","",F13)</f>
        <v>Rapskage_imp_conv</v>
      </c>
      <c r="AH18" s="110"/>
    </row>
    <row r="19" spans="1:65" x14ac:dyDescent="0.3">
      <c r="A19" s="25"/>
      <c r="B19" s="243"/>
      <c r="C19" s="244"/>
      <c r="D19" s="258"/>
      <c r="R19" s="52"/>
      <c r="AA19" s="110"/>
      <c r="AF19" s="144" t="str">
        <f t="shared" si="3"/>
        <v>Feed_fat_imp_conv</v>
      </c>
    </row>
    <row r="20" spans="1:65" x14ac:dyDescent="0.3">
      <c r="A20" s="18" t="s">
        <v>113</v>
      </c>
      <c r="B20" s="40"/>
      <c r="C20" s="28" t="s">
        <v>43</v>
      </c>
      <c r="D20" s="34">
        <f>SUM(D12:D18)</f>
        <v>190</v>
      </c>
      <c r="R20" s="82">
        <f>(D12*R12+D13*R13+D14*R14+D15*R15+D16*R16+D17*R17+D18*R18)/D20</f>
        <v>869.53634083134887</v>
      </c>
      <c r="S20" s="45"/>
      <c r="T20" s="116">
        <f t="shared" ref="T20:X20" si="4">SUM(T12:T18)</f>
        <v>83.833630632169189</v>
      </c>
      <c r="U20" s="116">
        <f t="shared" si="4"/>
        <v>5.6882586398144763</v>
      </c>
      <c r="V20" s="116">
        <f t="shared" si="4"/>
        <v>0.91484515037212932</v>
      </c>
      <c r="W20" s="116">
        <f t="shared" si="4"/>
        <v>1.1832744752544693</v>
      </c>
      <c r="X20" s="116">
        <f t="shared" si="4"/>
        <v>3682.5653438002455</v>
      </c>
      <c r="Y20" s="116">
        <f>SUM(Y12:Y18)</f>
        <v>35.551616498840474</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 t="shared" si="9"/>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0</v>
      </c>
      <c r="E31" s="24"/>
      <c r="K31" t="s">
        <v>175</v>
      </c>
      <c r="L31" s="24"/>
      <c r="M31" s="24"/>
      <c r="N31" s="24"/>
      <c r="O31" s="24"/>
      <c r="P31" s="24"/>
      <c r="Q31" s="25"/>
      <c r="R31" s="82" t="e">
        <f>(D24*R24+D25*R25+D26*R26+D27*R27+D28*R28+D29*R29+D30*R30)/D31</f>
        <v>#DIV/0!</v>
      </c>
      <c r="S31" s="45"/>
      <c r="T31" s="116">
        <f t="shared" ref="T31:Y31" si="10">SUM(T24:T30)</f>
        <v>0</v>
      </c>
      <c r="U31" s="116">
        <f t="shared" si="10"/>
        <v>0</v>
      </c>
      <c r="V31" s="116">
        <f t="shared" si="10"/>
        <v>0</v>
      </c>
      <c r="W31" s="116">
        <f t="shared" si="10"/>
        <v>0</v>
      </c>
      <c r="X31" s="116">
        <f>SUM(X24:X30)</f>
        <v>0</v>
      </c>
      <c r="Y31" s="116">
        <f t="shared" si="10"/>
        <v>0</v>
      </c>
      <c r="AA31" s="113" t="s">
        <v>61</v>
      </c>
      <c r="AB31" s="115">
        <f>SUM(AB24:AB30)</f>
        <v>0</v>
      </c>
      <c r="AC31" s="115">
        <f>SUM(AC24:AC30)</f>
        <v>0</v>
      </c>
      <c r="AD31" s="115">
        <f>SUM(AD24:AD30)</f>
        <v>0</v>
      </c>
      <c r="AF31" s="144" t="str">
        <f>IF(E24="","",E24)</f>
        <v/>
      </c>
      <c r="AN31" s="35" t="s">
        <v>61</v>
      </c>
      <c r="AO31" s="92">
        <f>SUM(AO24:AO30)</f>
        <v>0</v>
      </c>
      <c r="AP31" s="92">
        <f t="shared" ref="AP31:BH31" si="11">SUM(AP24:AP30)</f>
        <v>0</v>
      </c>
      <c r="AQ31" s="92">
        <f t="shared" si="11"/>
        <v>0</v>
      </c>
      <c r="AR31" s="92">
        <f t="shared" si="11"/>
        <v>0</v>
      </c>
      <c r="AS31" s="92">
        <f t="shared" si="11"/>
        <v>0</v>
      </c>
      <c r="AT31" s="92">
        <f t="shared" si="11"/>
        <v>0</v>
      </c>
      <c r="AU31" s="92">
        <f t="shared" si="11"/>
        <v>0</v>
      </c>
      <c r="AV31" s="92">
        <f t="shared" si="11"/>
        <v>0</v>
      </c>
      <c r="AW31" s="92">
        <f t="shared" si="11"/>
        <v>0</v>
      </c>
      <c r="AX31" s="92">
        <f t="shared" si="11"/>
        <v>0</v>
      </c>
      <c r="AY31" s="92">
        <f t="shared" si="11"/>
        <v>0</v>
      </c>
      <c r="AZ31" s="92">
        <f t="shared" si="11"/>
        <v>0</v>
      </c>
      <c r="BA31" s="92">
        <f t="shared" si="11"/>
        <v>0</v>
      </c>
      <c r="BB31" s="92">
        <f t="shared" si="11"/>
        <v>0</v>
      </c>
      <c r="BC31" s="92">
        <f t="shared" si="11"/>
        <v>0</v>
      </c>
      <c r="BD31" s="92">
        <f t="shared" si="11"/>
        <v>0</v>
      </c>
      <c r="BE31" s="92">
        <f t="shared" si="11"/>
        <v>0</v>
      </c>
      <c r="BF31" s="92">
        <f t="shared" si="11"/>
        <v>0</v>
      </c>
      <c r="BG31" s="92">
        <f t="shared" si="11"/>
        <v>0</v>
      </c>
      <c r="BH31" s="92">
        <f t="shared" si="11"/>
        <v>0</v>
      </c>
    </row>
    <row r="32" spans="1:65" ht="15" thickBot="1" x14ac:dyDescent="0.35">
      <c r="A32" s="18" t="s">
        <v>113</v>
      </c>
      <c r="B32" s="40"/>
      <c r="C32" s="28" t="s">
        <v>43</v>
      </c>
      <c r="D32" s="83">
        <f>D20+D31</f>
        <v>190</v>
      </c>
      <c r="E32" s="24"/>
      <c r="I32" s="24"/>
      <c r="J32" s="24"/>
      <c r="K32" s="24"/>
      <c r="L32" s="24"/>
      <c r="M32" s="24"/>
      <c r="N32" s="24"/>
      <c r="P32" s="25"/>
      <c r="Q32" s="25"/>
      <c r="R32" s="84" t="e">
        <f>(D20*R20+D31*R31)/D32</f>
        <v>#DIV/0!</v>
      </c>
      <c r="S32" s="85"/>
      <c r="T32" s="117">
        <f>T20+T31</f>
        <v>83.833630632169189</v>
      </c>
      <c r="U32" s="117">
        <f t="shared" ref="U32:Y32" si="12">U20+U31</f>
        <v>5.6882586398144763</v>
      </c>
      <c r="V32" s="117">
        <f t="shared" si="12"/>
        <v>0.91484515037212932</v>
      </c>
      <c r="W32" s="117">
        <f t="shared" si="12"/>
        <v>1.1832744752544693</v>
      </c>
      <c r="X32" s="117">
        <f t="shared" si="12"/>
        <v>3682.5653438002455</v>
      </c>
      <c r="Y32" s="117">
        <f t="shared" si="12"/>
        <v>35.551616498840474</v>
      </c>
      <c r="AF32" s="144" t="str">
        <f t="shared" ref="AF32:AF37" si="13">IF(E25="","",E25)</f>
        <v/>
      </c>
      <c r="BL32" t="str">
        <f>A4</f>
        <v>ID-nummer</v>
      </c>
      <c r="BM32">
        <f>B4</f>
        <v>110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Slpig1_conv</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110</v>
      </c>
      <c r="BK34" t="str">
        <f t="shared" ref="BJ34:BK62" si="15">$BM$33</f>
        <v>Slpig1_conv</v>
      </c>
      <c r="BL34" t="s">
        <v>69</v>
      </c>
      <c r="BM34">
        <f>$B$24</f>
        <v>0</v>
      </c>
      <c r="BN34" t="str">
        <f t="shared" ref="BN34:BO40" si="16">C24</f>
        <v>Kg</v>
      </c>
      <c r="BO34">
        <f t="shared" si="16"/>
        <v>0</v>
      </c>
    </row>
    <row r="35" spans="1:67" ht="15.6" x14ac:dyDescent="0.3">
      <c r="A35" s="18" t="s">
        <v>631</v>
      </c>
      <c r="B35" s="19" t="s">
        <v>638</v>
      </c>
      <c r="C35" s="28" t="s">
        <v>43</v>
      </c>
      <c r="D35" s="34">
        <f>H35*(R35/1000)</f>
        <v>0.53279999999999994</v>
      </c>
      <c r="E35" s="30" t="str">
        <f>IF(B35="","",VLOOKUP(B35,'Processed products'!$B$5:$E$104,2,FALSE))</f>
        <v>Dead_meat_conv</v>
      </c>
      <c r="F35" s="30" t="str">
        <f>IF(B35="","",VLOOKUP(B35,'Processed products'!$B$5:$E$104,3,FALSE))</f>
        <v>Dead_meat</v>
      </c>
      <c r="G35" s="30" t="str">
        <f>IF(B35="","",VLOOKUP(B35,'Processed products'!$B$5:$E$104,4,FALSE))</f>
        <v>Exit_model</v>
      </c>
      <c r="H35" s="5">
        <v>1.44</v>
      </c>
      <c r="I35" s="4"/>
      <c r="K35" s="97" t="s">
        <v>654</v>
      </c>
      <c r="L35" s="132" t="s">
        <v>299</v>
      </c>
      <c r="M35" s="132" t="s">
        <v>633</v>
      </c>
      <c r="N35" s="272">
        <v>0.24</v>
      </c>
      <c r="R35" s="51">
        <f>(IF($B35="",0,VLOOKUP($B35,'Processed products'!$B$5:$O$104,5,FALSE)))</f>
        <v>370</v>
      </c>
      <c r="S35" s="44"/>
      <c r="T35" s="28">
        <f>(IF($B35="","",VLOOKUP($B35,'Processed products'!$B$5:$O$104,9,FALSE)))</f>
        <v>680</v>
      </c>
      <c r="U35" s="34">
        <f>(IF($B35="","",VLOOKUP($B35,'Processed products'!$B$5:$O$104,10,FALSE)))</f>
        <v>78.7</v>
      </c>
      <c r="V35" s="28">
        <f>(IF($B35="","",VLOOKUP($B35,'Processed products'!$B$5:$O$104,11,FALSE)))</f>
        <v>14.86</v>
      </c>
      <c r="W35" s="28">
        <f>(IF($B35="","",VLOOKUP($B35,'Processed products'!$B$5:$O$104,12,FALSE)))</f>
        <v>5.95</v>
      </c>
      <c r="X35" s="28">
        <f>(IF($B35="","",VLOOKUP($B35,'Processed products'!$B$5:$O$104,13,FALSE)))</f>
        <v>27.17</v>
      </c>
      <c r="Z35" s="53"/>
      <c r="AA35" s="53"/>
      <c r="AB35" s="53"/>
      <c r="AC35" s="53"/>
      <c r="AD35" s="53"/>
      <c r="AF35" s="144" t="str">
        <f t="shared" si="13"/>
        <v/>
      </c>
      <c r="AJ35" s="32"/>
      <c r="BJ35">
        <f t="shared" si="14"/>
        <v>110</v>
      </c>
      <c r="BK35" t="str">
        <f t="shared" si="15"/>
        <v>Slpig1_conv</v>
      </c>
      <c r="BL35" t="s">
        <v>69</v>
      </c>
      <c r="BM35">
        <f>$B$25</f>
        <v>0</v>
      </c>
      <c r="BN35" t="str">
        <f t="shared" si="16"/>
        <v>Kg</v>
      </c>
      <c r="BO35">
        <f t="shared" si="16"/>
        <v>0</v>
      </c>
    </row>
    <row r="36" spans="1:67" ht="15.6" x14ac:dyDescent="0.3">
      <c r="A36" s="18" t="s">
        <v>632</v>
      </c>
      <c r="B36" s="19"/>
      <c r="C36" s="28" t="s">
        <v>43</v>
      </c>
      <c r="D36" s="34">
        <f t="shared" ref="D36" si="17">H36*(R36/1000)</f>
        <v>0</v>
      </c>
      <c r="E36" s="30" t="str">
        <f>IF(B36="","",VLOOKUP(B36,'Processed products'!$B$5:$E$104,2,FALSE))</f>
        <v/>
      </c>
      <c r="F36" s="30" t="str">
        <f>IF(B36="","",VLOOKUP(B36,'Processed products'!$B$5:$E$104,3,FALSE))</f>
        <v/>
      </c>
      <c r="G36" s="30" t="str">
        <f>IF(B36="","",VLOOKUP(B36,'Processed products'!$B$5:$E$104,4,FALSE))</f>
        <v/>
      </c>
      <c r="H36" s="5"/>
      <c r="I36" s="4"/>
      <c r="K36" s="97" t="s">
        <v>655</v>
      </c>
      <c r="L36" s="132" t="s">
        <v>390</v>
      </c>
      <c r="M36" s="132" t="s">
        <v>637</v>
      </c>
      <c r="N36" s="272">
        <v>0.86</v>
      </c>
      <c r="P36" s="93"/>
      <c r="Q36" s="262"/>
      <c r="R36" s="51">
        <f>(IF($B36="",0,VLOOKUP($B36,'Processed products'!$B$5:$O$104,5,FALSE)))</f>
        <v>0</v>
      </c>
      <c r="S36" s="44"/>
      <c r="T36" s="28" t="str">
        <f>(IF($B36="","",VLOOKUP($B36,'Processed products'!$B$5:$O$104,9,FALSE)))</f>
        <v/>
      </c>
      <c r="U36" s="34" t="str">
        <f>(IF($B36="","",VLOOKUP($B36,'Processed products'!$B$5:$O$104,10,FALSE)))</f>
        <v/>
      </c>
      <c r="V36" s="28" t="str">
        <f>(IF($B36="","",VLOOKUP($B36,'Processed products'!$B$5:$O$104,11,FALSE)))</f>
        <v/>
      </c>
      <c r="W36" s="28" t="str">
        <f>(IF($B36="","",VLOOKUP($B36,'Processed products'!$B$5:$O$104,12,FALSE)))</f>
        <v/>
      </c>
      <c r="X36" s="28" t="str">
        <f>(IF($B36="","",VLOOKUP($B36,'Processed products'!$B$5:$O$104,13,FALSE)))</f>
        <v/>
      </c>
      <c r="Z36" s="53"/>
      <c r="AA36" s="53"/>
      <c r="AB36" s="53"/>
      <c r="AC36" s="53"/>
      <c r="AD36" s="53"/>
      <c r="AF36" s="144" t="str">
        <f t="shared" si="13"/>
        <v/>
      </c>
      <c r="BJ36">
        <f t="shared" si="14"/>
        <v>110</v>
      </c>
      <c r="BK36" t="str">
        <f t="shared" si="15"/>
        <v>Slpig1_conv</v>
      </c>
      <c r="BL36" t="s">
        <v>69</v>
      </c>
      <c r="BM36">
        <f>$B$26</f>
        <v>0</v>
      </c>
      <c r="BN36" t="str">
        <f t="shared" si="16"/>
        <v>Kg</v>
      </c>
      <c r="BO36">
        <f t="shared" si="16"/>
        <v>0</v>
      </c>
    </row>
    <row r="37" spans="1:67" ht="16.2" thickBot="1" x14ac:dyDescent="0.35">
      <c r="A37" s="18" t="s">
        <v>647</v>
      </c>
      <c r="B37" s="19" t="s">
        <v>388</v>
      </c>
      <c r="C37" s="28" t="s">
        <v>43</v>
      </c>
      <c r="D37" s="34">
        <f>H37*(R37/1000)</f>
        <v>31.08</v>
      </c>
      <c r="E37" s="30" t="str">
        <f>IF(B37="","",VLOOKUP(B37,'Processed products'!$B$5:$E$104,2,FALSE))</f>
        <v>Pork_meat_conv</v>
      </c>
      <c r="F37" s="30" t="str">
        <f>IF(B37="","",VLOOKUP(B37,'Processed products'!$B$5:$E$104,3,FALSE))</f>
        <v>Meat</v>
      </c>
      <c r="G37" s="30" t="str">
        <f>IF(B37="","",VLOOKUP(B37,'Processed products'!$B$5:$E$104,4,FALSE))</f>
        <v>Exit_model</v>
      </c>
      <c r="H37" s="5">
        <v>84</v>
      </c>
      <c r="I37" s="5">
        <v>1</v>
      </c>
      <c r="K37" s="273" t="s">
        <v>656</v>
      </c>
      <c r="L37" s="260"/>
      <c r="M37" s="260"/>
      <c r="N37" s="261"/>
      <c r="Q37" s="25"/>
      <c r="R37" s="51">
        <f>(IF($B37="",0,VLOOKUP($B37,'Processed products'!$B$5:$O$104,5,FALSE)))</f>
        <v>370</v>
      </c>
      <c r="S37" s="44"/>
      <c r="T37" s="28">
        <f>(IF($B37="","",VLOOKUP($B37,'Processed products'!$B$5:$O$104,9,FALSE)))</f>
        <v>680</v>
      </c>
      <c r="U37" s="34">
        <f>(IF($B37="","",VLOOKUP($B37,'Processed products'!$B$5:$O$104,10,FALSE)))</f>
        <v>78.7</v>
      </c>
      <c r="V37" s="28">
        <f>(IF($B37="","",VLOOKUP($B37,'Processed products'!$B$5:$O$104,11,FALSE)))</f>
        <v>14.86</v>
      </c>
      <c r="W37" s="28">
        <f>(IF($B37="","",VLOOKUP($B37,'Processed products'!$B$5:$O$104,12,FALSE)))</f>
        <v>5.95</v>
      </c>
      <c r="X37" s="28">
        <f>(IF($B37="","",VLOOKUP($B37,'Processed products'!$B$5:$O$104,13,FALSE)))</f>
        <v>27.17</v>
      </c>
      <c r="Z37" s="53"/>
      <c r="AA37" s="53"/>
      <c r="AB37" s="53"/>
      <c r="AC37" s="53"/>
      <c r="AD37" s="53"/>
      <c r="AF37" s="144" t="str">
        <f t="shared" si="13"/>
        <v/>
      </c>
      <c r="BJ37">
        <f t="shared" si="14"/>
        <v>110</v>
      </c>
      <c r="BK37" t="str">
        <f t="shared" si="15"/>
        <v>Slpig1_conv</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110</v>
      </c>
      <c r="BK38" t="str">
        <f t="shared" si="15"/>
        <v>Slpig1_conv</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23"/>
      <c r="J39" s="123"/>
      <c r="K39" s="123"/>
      <c r="L39" s="123"/>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110</v>
      </c>
      <c r="BK39" t="str">
        <f t="shared" si="15"/>
        <v>Slpig1_conv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K40" s="136">
        <f>6.7*0.034*1.035</f>
        <v>0.23577300000000001</v>
      </c>
      <c r="L40" s="123"/>
      <c r="M40" s="123"/>
      <c r="N40" s="136">
        <f>24.3*0.034*1.035</f>
        <v>0.85511700000000002</v>
      </c>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110</v>
      </c>
      <c r="BK40" t="str">
        <f t="shared" si="15"/>
        <v>Slpig1_conv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36">
        <f>(82/2)*0.034*1.035</f>
        <v>1.44279</v>
      </c>
      <c r="K41" s="123"/>
      <c r="L41" s="136"/>
      <c r="M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110</v>
      </c>
      <c r="BK41" t="str">
        <f t="shared" si="15"/>
        <v>Slpig1_conv</v>
      </c>
      <c r="BL41" t="s">
        <v>126</v>
      </c>
      <c r="BM41" t="str">
        <f>$B$35</f>
        <v>Svinekoed_sla_pig_dead_conv</v>
      </c>
      <c r="BN41" t="str">
        <f>C35</f>
        <v>Kg</v>
      </c>
      <c r="BO41" s="64">
        <f>P35</f>
        <v>0</v>
      </c>
    </row>
    <row r="42" spans="1:67" x14ac:dyDescent="0.3">
      <c r="A42" s="33" t="s">
        <v>61</v>
      </c>
      <c r="B42" s="39"/>
      <c r="C42" s="28" t="s">
        <v>43</v>
      </c>
      <c r="D42" s="34">
        <f>SUM(D35:D41)</f>
        <v>31.6128</v>
      </c>
      <c r="E42" s="24"/>
      <c r="I42" s="124"/>
      <c r="J42" s="124"/>
      <c r="K42" s="124"/>
      <c r="L42" s="124"/>
      <c r="M42" s="124"/>
      <c r="N42" s="124"/>
      <c r="P42" s="93"/>
      <c r="Q42" s="25"/>
      <c r="Z42" s="53"/>
      <c r="AA42" s="53"/>
      <c r="AB42" s="53"/>
      <c r="AC42" s="53"/>
      <c r="AD42" s="53"/>
      <c r="AF42" s="144" t="str">
        <f t="shared" si="18"/>
        <v/>
      </c>
      <c r="BJ42">
        <f t="shared" si="14"/>
        <v>110</v>
      </c>
      <c r="BK42" t="str">
        <f t="shared" si="15"/>
        <v>Slpig1_conv</v>
      </c>
      <c r="BL42" t="s">
        <v>126</v>
      </c>
      <c r="BM42">
        <f>$B$36</f>
        <v>0</v>
      </c>
      <c r="BN42" t="str">
        <f t="shared" ref="BN42:BN47" si="19">C35</f>
        <v>Kg</v>
      </c>
      <c r="BO42" s="64">
        <f t="shared" ref="BO42:BO47" si="20">P35</f>
        <v>0</v>
      </c>
    </row>
    <row r="43" spans="1:67" x14ac:dyDescent="0.3">
      <c r="Z43" s="53"/>
      <c r="AA43" s="53"/>
      <c r="AB43" s="53"/>
      <c r="AC43" s="53"/>
      <c r="AD43" s="53"/>
      <c r="AF43" s="144" t="str">
        <f t="shared" si="18"/>
        <v/>
      </c>
      <c r="BJ43">
        <f t="shared" si="14"/>
        <v>110</v>
      </c>
      <c r="BK43" t="str">
        <f t="shared" si="15"/>
        <v>Slpig1_conv</v>
      </c>
      <c r="BL43" t="s">
        <v>126</v>
      </c>
      <c r="BM43" t="str">
        <f>$B$37</f>
        <v>Svinekoed_slaugther_pig_conv</v>
      </c>
      <c r="BN43" t="str">
        <f t="shared" si="19"/>
        <v>Kg</v>
      </c>
      <c r="BO43" s="64">
        <f t="shared" si="20"/>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110</v>
      </c>
      <c r="BK44" t="str">
        <f t="shared" si="15"/>
        <v>Slpig1_conv</v>
      </c>
      <c r="BL44" t="s">
        <v>126</v>
      </c>
      <c r="BM44">
        <f>$B$38</f>
        <v>0</v>
      </c>
      <c r="BN44" t="str">
        <f t="shared" si="19"/>
        <v>Kg</v>
      </c>
      <c r="BO44" s="64">
        <f t="shared" si="20"/>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110</v>
      </c>
      <c r="BK45" t="str">
        <f t="shared" si="15"/>
        <v>Slpig1_conv</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110</v>
      </c>
      <c r="BK46" t="str">
        <f t="shared" si="15"/>
        <v>Slpig1_conv</v>
      </c>
      <c r="BL46" t="s">
        <v>126</v>
      </c>
      <c r="BM46">
        <f>$B$40</f>
        <v>0</v>
      </c>
      <c r="BN46" t="str">
        <f t="shared" si="19"/>
        <v>Kg</v>
      </c>
      <c r="BO46" s="64">
        <f t="shared" si="20"/>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110</v>
      </c>
      <c r="BK47" t="str">
        <f t="shared" si="15"/>
        <v>Slpig1_conv</v>
      </c>
      <c r="BL47" t="s">
        <v>126</v>
      </c>
      <c r="BM47">
        <f>$B$41</f>
        <v>0</v>
      </c>
      <c r="BN47" t="str">
        <f t="shared" si="19"/>
        <v>Kg</v>
      </c>
      <c r="BO47" s="64">
        <f t="shared" si="20"/>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110</v>
      </c>
      <c r="BK48" t="str">
        <f t="shared" si="15"/>
        <v>Slpig1_conv</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110</v>
      </c>
      <c r="BK49" t="str">
        <f t="shared" si="15"/>
        <v>Slpig1_conv</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110</v>
      </c>
      <c r="BK50" t="str">
        <f t="shared" si="15"/>
        <v>Slpig1_conv</v>
      </c>
      <c r="BL50" t="s">
        <v>127</v>
      </c>
      <c r="BM50">
        <f t="shared" si="22"/>
        <v>0</v>
      </c>
      <c r="BN50" s="32">
        <f>$AH$34</f>
        <v>0</v>
      </c>
      <c r="BO50" s="32">
        <f>AH45</f>
        <v>0</v>
      </c>
    </row>
    <row r="51" spans="1:67" ht="15" thickBot="1" x14ac:dyDescent="0.35">
      <c r="A51" s="18" t="s">
        <v>56</v>
      </c>
      <c r="B51" s="9"/>
      <c r="C51" s="28" t="s">
        <v>43</v>
      </c>
      <c r="D51" s="34">
        <f>SUM(D42,D45:D50)</f>
        <v>31.6128</v>
      </c>
      <c r="I51" s="93"/>
      <c r="J51" s="93"/>
      <c r="K51" s="93"/>
      <c r="L51" s="93"/>
      <c r="M51" s="93"/>
      <c r="N51" s="93"/>
      <c r="O51" s="135"/>
      <c r="P51" s="93"/>
      <c r="Q51" s="47"/>
      <c r="Z51" s="53"/>
      <c r="AA51" s="53"/>
      <c r="AB51" s="53"/>
      <c r="AC51" s="53"/>
      <c r="AD51" s="53"/>
      <c r="AF51" s="145" t="str">
        <f t="shared" si="21"/>
        <v/>
      </c>
      <c r="BJ51">
        <f t="shared" si="14"/>
        <v>110</v>
      </c>
      <c r="BK51" t="str">
        <f t="shared" si="15"/>
        <v>Slpig1_conv</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110</v>
      </c>
      <c r="BK52" t="str">
        <f t="shared" si="15"/>
        <v>Slpig1_conv</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110</v>
      </c>
      <c r="BK53" t="str">
        <f t="shared" si="15"/>
        <v>Slpig1_conv</v>
      </c>
      <c r="BL53" t="s">
        <v>127</v>
      </c>
      <c r="BM53">
        <f t="shared" ref="BM53:BM58" si="23">$B$46</f>
        <v>0</v>
      </c>
      <c r="BN53" t="str">
        <f>C46</f>
        <v>Kg</v>
      </c>
      <c r="BO53" s="64">
        <f>P46</f>
        <v>0</v>
      </c>
    </row>
    <row r="54" spans="1:67" x14ac:dyDescent="0.3">
      <c r="A54" s="18" t="s">
        <v>220</v>
      </c>
      <c r="B54" s="50" t="s">
        <v>415</v>
      </c>
      <c r="C54" s="50" t="s">
        <v>43</v>
      </c>
      <c r="D54" s="138"/>
      <c r="E54" s="53"/>
      <c r="F54" s="138"/>
      <c r="G54" s="53"/>
      <c r="H54" s="138"/>
      <c r="I54" s="138"/>
      <c r="AF54" s="32"/>
      <c r="BJ54">
        <f t="shared" si="14"/>
        <v>110</v>
      </c>
      <c r="BK54" t="str">
        <f t="shared" si="15"/>
        <v>Slpig1_conv</v>
      </c>
      <c r="BL54" t="s">
        <v>127</v>
      </c>
      <c r="BM54">
        <f t="shared" si="23"/>
        <v>0</v>
      </c>
      <c r="BN54" t="str">
        <f>$AF$34</f>
        <v/>
      </c>
      <c r="BO54" s="32" t="str">
        <f>AF$46</f>
        <v/>
      </c>
    </row>
    <row r="55" spans="1:67" x14ac:dyDescent="0.3">
      <c r="A55" s="18" t="s">
        <v>254</v>
      </c>
      <c r="B55" s="50" t="s">
        <v>758</v>
      </c>
      <c r="C55" s="50" t="s">
        <v>43</v>
      </c>
      <c r="D55" s="138"/>
      <c r="E55" s="53"/>
      <c r="F55" s="138"/>
      <c r="G55" s="53"/>
      <c r="H55" s="138"/>
      <c r="I55" s="138"/>
      <c r="BJ55">
        <f t="shared" si="14"/>
        <v>110</v>
      </c>
      <c r="BK55" t="str">
        <f t="shared" si="15"/>
        <v>Slpig1_conv</v>
      </c>
      <c r="BL55" t="s">
        <v>127</v>
      </c>
      <c r="BM55">
        <f t="shared" si="23"/>
        <v>0</v>
      </c>
      <c r="BN55">
        <f>$AG$34</f>
        <v>0</v>
      </c>
      <c r="BO55" s="32">
        <f>AG$46</f>
        <v>0</v>
      </c>
    </row>
    <row r="56" spans="1:67" x14ac:dyDescent="0.3">
      <c r="A56" s="18" t="s">
        <v>35</v>
      </c>
      <c r="B56" s="50"/>
      <c r="C56" s="50"/>
      <c r="D56" s="138"/>
      <c r="E56" s="53"/>
      <c r="F56" s="138"/>
      <c r="G56" s="53"/>
      <c r="H56" s="138"/>
      <c r="I56" s="138"/>
      <c r="BJ56">
        <f t="shared" si="14"/>
        <v>110</v>
      </c>
      <c r="BK56" t="str">
        <f t="shared" si="15"/>
        <v>Slpig1_conv</v>
      </c>
      <c r="BL56" t="s">
        <v>127</v>
      </c>
      <c r="BM56">
        <f t="shared" si="23"/>
        <v>0</v>
      </c>
      <c r="BN56" s="32">
        <f>$AH$34</f>
        <v>0</v>
      </c>
      <c r="BO56" s="32">
        <f>AH$46</f>
        <v>0</v>
      </c>
    </row>
    <row r="57" spans="1:67" x14ac:dyDescent="0.3">
      <c r="A57" s="18" t="s">
        <v>36</v>
      </c>
      <c r="B57" s="50"/>
      <c r="C57" s="50"/>
      <c r="D57" s="138"/>
      <c r="E57" s="53"/>
      <c r="F57" s="138"/>
      <c r="G57" s="53"/>
      <c r="H57" s="138"/>
      <c r="I57" s="138"/>
      <c r="BJ57">
        <f t="shared" si="14"/>
        <v>110</v>
      </c>
      <c r="BK57" t="str">
        <f t="shared" si="15"/>
        <v>Slpig1_conv</v>
      </c>
      <c r="BL57" t="s">
        <v>127</v>
      </c>
      <c r="BM57">
        <f t="shared" si="23"/>
        <v>0</v>
      </c>
      <c r="BN57">
        <f>$AI$34</f>
        <v>0</v>
      </c>
      <c r="BO57" s="32">
        <f>AI$46</f>
        <v>0</v>
      </c>
    </row>
    <row r="58" spans="1:67" x14ac:dyDescent="0.3">
      <c r="A58" s="18" t="s">
        <v>37</v>
      </c>
      <c r="B58" s="50"/>
      <c r="C58" s="50"/>
      <c r="D58" s="138"/>
      <c r="E58" s="53"/>
      <c r="F58" s="138"/>
      <c r="G58" s="53"/>
      <c r="H58" s="138"/>
      <c r="I58" s="138"/>
      <c r="BJ58">
        <f t="shared" si="14"/>
        <v>110</v>
      </c>
      <c r="BK58" t="str">
        <f t="shared" si="15"/>
        <v>Slpig1_conv</v>
      </c>
      <c r="BL58" t="s">
        <v>127</v>
      </c>
      <c r="BM58">
        <f t="shared" si="23"/>
        <v>0</v>
      </c>
      <c r="BN58">
        <f>$AJ$34</f>
        <v>0</v>
      </c>
      <c r="BO58" s="32">
        <f>AJ$46</f>
        <v>0</v>
      </c>
    </row>
    <row r="59" spans="1:67" x14ac:dyDescent="0.3">
      <c r="A59" s="18" t="s">
        <v>56</v>
      </c>
      <c r="B59" s="24"/>
      <c r="D59" s="32"/>
      <c r="F59" s="32"/>
      <c r="H59" s="138"/>
      <c r="I59" s="138"/>
      <c r="BJ59">
        <f t="shared" si="14"/>
        <v>110</v>
      </c>
      <c r="BK59" t="str">
        <f t="shared" si="15"/>
        <v>Slpig1_conv</v>
      </c>
      <c r="BL59" t="s">
        <v>127</v>
      </c>
      <c r="BM59">
        <f t="shared" ref="BL59:BM62" si="24">$B$47</f>
        <v>0</v>
      </c>
      <c r="BN59">
        <f>$AG$34</f>
        <v>0</v>
      </c>
      <c r="BO59" s="32">
        <f>AG$47</f>
        <v>0</v>
      </c>
    </row>
    <row r="60" spans="1:67" x14ac:dyDescent="0.3">
      <c r="BJ60">
        <f t="shared" si="14"/>
        <v>110</v>
      </c>
      <c r="BK60" t="str">
        <f t="shared" si="15"/>
        <v>Slpig1_conv</v>
      </c>
      <c r="BL60" t="s">
        <v>127</v>
      </c>
      <c r="BM60">
        <f t="shared" si="24"/>
        <v>0</v>
      </c>
      <c r="BN60" s="32">
        <f>$AH$34</f>
        <v>0</v>
      </c>
      <c r="BO60" s="32">
        <f>AH$47</f>
        <v>0</v>
      </c>
    </row>
    <row r="61" spans="1:67" ht="17.399999999999999" x14ac:dyDescent="0.3">
      <c r="A61" s="31" t="s">
        <v>104</v>
      </c>
      <c r="BJ61">
        <f t="shared" si="14"/>
        <v>110</v>
      </c>
      <c r="BK61" t="str">
        <f t="shared" si="15"/>
        <v>Slpig1_conv</v>
      </c>
      <c r="BL61" t="s">
        <v>127</v>
      </c>
      <c r="BM61">
        <f t="shared" si="24"/>
        <v>0</v>
      </c>
      <c r="BN61">
        <f>$AI$34</f>
        <v>0</v>
      </c>
      <c r="BO61" s="32">
        <f>AI$47</f>
        <v>0</v>
      </c>
    </row>
    <row r="62" spans="1:67" x14ac:dyDescent="0.3">
      <c r="A62" s="21" t="s">
        <v>280</v>
      </c>
      <c r="B62" s="10" t="s">
        <v>101</v>
      </c>
      <c r="C62" s="10" t="s">
        <v>102</v>
      </c>
      <c r="D62" s="10" t="s">
        <v>103</v>
      </c>
      <c r="BI62">
        <f t="shared" si="14"/>
        <v>110</v>
      </c>
      <c r="BJ62" t="str">
        <f t="shared" si="15"/>
        <v>Slpig1_conv</v>
      </c>
      <c r="BK62" t="s">
        <v>127</v>
      </c>
      <c r="BL62">
        <f t="shared" si="24"/>
        <v>0</v>
      </c>
      <c r="BM62">
        <f>$AJ$34</f>
        <v>0</v>
      </c>
      <c r="BN62" s="32">
        <f>AJ$47</f>
        <v>0</v>
      </c>
    </row>
    <row r="63" spans="1:67" x14ac:dyDescent="0.3">
      <c r="A63" s="18" t="s">
        <v>86</v>
      </c>
      <c r="B63" s="19">
        <v>6.6</v>
      </c>
      <c r="C63" s="11">
        <v>9.1</v>
      </c>
      <c r="D63" s="11"/>
      <c r="E63" t="s">
        <v>383</v>
      </c>
      <c r="BI63">
        <f t="shared" ref="BI63:BJ91" si="25">$BM$32</f>
        <v>110</v>
      </c>
      <c r="BJ63" t="str">
        <f t="shared" ref="BJ63:BK91" si="26">$BM$33</f>
        <v>Slpig1_conv</v>
      </c>
      <c r="BK63" t="s">
        <v>127</v>
      </c>
      <c r="BL63">
        <f t="shared" ref="BL63:BM68" si="27">$B$48</f>
        <v>0</v>
      </c>
      <c r="BM63" s="64" t="str">
        <f>C48</f>
        <v>Kg</v>
      </c>
      <c r="BN63" s="32">
        <f>P48</f>
        <v>0</v>
      </c>
    </row>
    <row r="64" spans="1:67" x14ac:dyDescent="0.3">
      <c r="A64" s="18" t="s">
        <v>87</v>
      </c>
      <c r="B64" s="19"/>
      <c r="C64" s="11"/>
      <c r="D64" s="11"/>
      <c r="BI64">
        <f t="shared" si="25"/>
        <v>110</v>
      </c>
      <c r="BJ64" t="str">
        <f t="shared" si="26"/>
        <v>Slpig1_conv</v>
      </c>
      <c r="BK64" t="s">
        <v>127</v>
      </c>
      <c r="BL64">
        <f t="shared" si="27"/>
        <v>0</v>
      </c>
      <c r="BM64" t="str">
        <f>$AF$34</f>
        <v/>
      </c>
      <c r="BN64" s="32" t="str">
        <f>AF$48</f>
        <v/>
      </c>
    </row>
    <row r="65" spans="1:67" x14ac:dyDescent="0.3">
      <c r="A65" s="156" t="s">
        <v>56</v>
      </c>
      <c r="B65" s="159">
        <f>SUM(B63:B64)</f>
        <v>6.6</v>
      </c>
      <c r="C65" s="159">
        <f>SUM(C63:C64)</f>
        <v>9.1</v>
      </c>
      <c r="D65" s="159">
        <f>SUM(D63:D64)</f>
        <v>0</v>
      </c>
      <c r="BJ65">
        <f t="shared" si="25"/>
        <v>110</v>
      </c>
      <c r="BK65" t="str">
        <f t="shared" si="26"/>
        <v>Slpig1_conv</v>
      </c>
      <c r="BL65" t="s">
        <v>127</v>
      </c>
      <c r="BM65">
        <f t="shared" si="27"/>
        <v>0</v>
      </c>
      <c r="BN65">
        <f>$AG$34</f>
        <v>0</v>
      </c>
      <c r="BO65" s="32">
        <f>AG$48</f>
        <v>0</v>
      </c>
    </row>
    <row r="66" spans="1:67" ht="17.399999999999999" x14ac:dyDescent="0.3">
      <c r="P66" s="31" t="s">
        <v>266</v>
      </c>
      <c r="Q66" s="31"/>
      <c r="BJ66">
        <f t="shared" si="25"/>
        <v>110</v>
      </c>
      <c r="BK66" t="str">
        <f t="shared" si="26"/>
        <v>Slpig1_conv</v>
      </c>
      <c r="BL66" t="s">
        <v>127</v>
      </c>
      <c r="BM66">
        <f t="shared" si="27"/>
        <v>0</v>
      </c>
      <c r="BN66" s="32">
        <f>$AH$34</f>
        <v>0</v>
      </c>
      <c r="BO66" s="32">
        <f>AH$48</f>
        <v>0</v>
      </c>
    </row>
    <row r="67" spans="1:67" x14ac:dyDescent="0.3">
      <c r="A67" s="21" t="s">
        <v>18</v>
      </c>
      <c r="B67" s="37" t="s">
        <v>69</v>
      </c>
      <c r="C67" s="17" t="s">
        <v>70</v>
      </c>
      <c r="D67" s="17" t="s">
        <v>74</v>
      </c>
      <c r="E67" s="17" t="s">
        <v>80</v>
      </c>
      <c r="F67" s="17" t="s">
        <v>227</v>
      </c>
      <c r="G67" s="174" t="s">
        <v>684</v>
      </c>
      <c r="I67" s="42"/>
      <c r="K67" s="17" t="s">
        <v>82</v>
      </c>
      <c r="L67" s="17" t="s">
        <v>17</v>
      </c>
      <c r="P67" s="17" t="str">
        <f>Other_tables!L4</f>
        <v>Transportmiddel</v>
      </c>
      <c r="Q67" s="54"/>
      <c r="R67" s="17" t="s">
        <v>119</v>
      </c>
      <c r="S67" s="17" t="s">
        <v>83</v>
      </c>
      <c r="T67" s="17" t="s">
        <v>97</v>
      </c>
      <c r="BJ67">
        <f t="shared" si="25"/>
        <v>110</v>
      </c>
      <c r="BK67" t="str">
        <f t="shared" si="26"/>
        <v>Slpig1_conv</v>
      </c>
      <c r="BL67" t="s">
        <v>127</v>
      </c>
      <c r="BM67">
        <f t="shared" si="27"/>
        <v>0</v>
      </c>
      <c r="BN67">
        <f>$AI$34</f>
        <v>0</v>
      </c>
      <c r="BO67" s="32">
        <f>AI$48</f>
        <v>0</v>
      </c>
    </row>
    <row r="68" spans="1:67" x14ac:dyDescent="0.3">
      <c r="A68" s="18" t="s">
        <v>44</v>
      </c>
      <c r="B68" s="38" t="s">
        <v>284</v>
      </c>
      <c r="C68" s="19">
        <v>168</v>
      </c>
      <c r="D68" s="11" t="s">
        <v>225</v>
      </c>
      <c r="E68" s="11" t="s">
        <v>81</v>
      </c>
      <c r="F68" s="5">
        <v>100</v>
      </c>
      <c r="G68" t="s">
        <v>681</v>
      </c>
      <c r="K68" s="49">
        <f t="shared" ref="K68:K72" si="28">IF(B68="",0,((((VLOOKUP(B68,$B$12:$D$18,3,FALSE))/1000)*C68)/(VLOOKUP(B68,$B$12:$R$18,17,FALSE)/1000))*(F68/100))</f>
        <v>2.3950076026277052</v>
      </c>
      <c r="L68" s="49">
        <f>IF(E68="Diesel",VLOOKUP(D68,Other_tables!$L$5:$O$13,2,FALSE)*K68,0)</f>
        <v>0</v>
      </c>
      <c r="P68" s="30" t="str">
        <f>Other_tables!L5</f>
        <v>Traktor</v>
      </c>
      <c r="Q68" s="44"/>
      <c r="R68" s="159">
        <f t="shared" ref="R68:R76" si="29">SUMPRODUCT(($D$68:$D$81=P68)*$L$68:$L$81)</f>
        <v>8.7006506753522339E-2</v>
      </c>
      <c r="S68" s="49">
        <f t="shared" ref="S68:S76" si="30">IF(P68="","0",SUMPRODUCT(($D$68:$D$81=P68)*$K$68:$K$81))</f>
        <v>0.4350325337676117</v>
      </c>
      <c r="T68" s="49">
        <f>IF(R68&gt;0,0,(S68*VLOOKUP(P68,Other_tables!$L$5:$O$13,2,FALSE))/1000)</f>
        <v>0</v>
      </c>
      <c r="U68" s="95"/>
      <c r="BJ68">
        <f t="shared" si="25"/>
        <v>110</v>
      </c>
      <c r="BK68" t="str">
        <f t="shared" si="26"/>
        <v>Slpig1_conv</v>
      </c>
      <c r="BL68" t="s">
        <v>127</v>
      </c>
      <c r="BM68">
        <f t="shared" si="27"/>
        <v>0</v>
      </c>
      <c r="BN68">
        <f>$AJ$34</f>
        <v>0</v>
      </c>
      <c r="BO68" s="32">
        <f>AJ$48</f>
        <v>0</v>
      </c>
    </row>
    <row r="69" spans="1:67" x14ac:dyDescent="0.3">
      <c r="A69" s="18" t="s">
        <v>45</v>
      </c>
      <c r="B69" s="38" t="s">
        <v>285</v>
      </c>
      <c r="C69" s="19">
        <v>168</v>
      </c>
      <c r="D69" s="11" t="s">
        <v>225</v>
      </c>
      <c r="E69" s="11" t="s">
        <v>81</v>
      </c>
      <c r="F69" s="5">
        <v>100</v>
      </c>
      <c r="G69" t="s">
        <v>682</v>
      </c>
      <c r="K69" s="49">
        <f t="shared" si="28"/>
        <v>3.8208602853066402</v>
      </c>
      <c r="L69" s="49">
        <f>IF(E69="Diesel",VLOOKUP(D69,Other_tables!$L$5:$O$13,2,FALSE)*K69,0)</f>
        <v>0</v>
      </c>
      <c r="P69" s="30" t="str">
        <f>Other_tables!L6</f>
        <v>Lastbil &gt; 20 T</v>
      </c>
      <c r="Q69" s="44"/>
      <c r="R69" s="159">
        <f t="shared" si="29"/>
        <v>0</v>
      </c>
      <c r="S69" s="49">
        <f t="shared" si="30"/>
        <v>6.8878678879343456</v>
      </c>
      <c r="T69" s="49">
        <f>IF(R69&gt;0,0,(S69*VLOOKUP(P69,Other_tables!$L$5:$O$13,2,FALSE))/1000)</f>
        <v>0.68878678879343458</v>
      </c>
      <c r="U69" s="95"/>
      <c r="BJ69">
        <f t="shared" si="25"/>
        <v>110</v>
      </c>
      <c r="BK69" t="str">
        <f t="shared" si="26"/>
        <v>Slpig1_conv</v>
      </c>
      <c r="BL69" t="s">
        <v>127</v>
      </c>
      <c r="BM69">
        <f t="shared" ref="BM69:BM74" si="31">$B$49</f>
        <v>0</v>
      </c>
      <c r="BN69" s="64" t="str">
        <f>C49</f>
        <v>Kg</v>
      </c>
      <c r="BO69" s="32">
        <f>P49</f>
        <v>0</v>
      </c>
    </row>
    <row r="70" spans="1:67" x14ac:dyDescent="0.3">
      <c r="A70" s="18" t="s">
        <v>46</v>
      </c>
      <c r="B70" s="38"/>
      <c r="C70" s="19"/>
      <c r="D70" s="11"/>
      <c r="E70" s="11"/>
      <c r="F70" s="5"/>
      <c r="K70" s="49">
        <f t="shared" si="28"/>
        <v>0</v>
      </c>
      <c r="L70" s="49">
        <f>IF(E70="Diesel",VLOOKUP(D70,Other_tables!$L$5:$O$13,2,FALSE)*K70,0)</f>
        <v>0</v>
      </c>
      <c r="P70" s="30" t="str">
        <f>Other_tables!L7</f>
        <v>Lastbil 10-20 T</v>
      </c>
      <c r="Q70" s="44"/>
      <c r="R70" s="159">
        <f t="shared" si="29"/>
        <v>0</v>
      </c>
      <c r="S70" s="49">
        <f t="shared" si="30"/>
        <v>11.57186539821847</v>
      </c>
      <c r="T70" s="49">
        <f>IF(R70&gt;0,0,(S70*VLOOKUP(P70,Other_tables!$L$5:$O$13,2,FALSE))/1000)</f>
        <v>2.9392538111474913</v>
      </c>
      <c r="BJ70">
        <f t="shared" si="25"/>
        <v>110</v>
      </c>
      <c r="BK70" t="str">
        <f t="shared" si="26"/>
        <v>Slpig1_conv</v>
      </c>
      <c r="BL70" t="s">
        <v>127</v>
      </c>
      <c r="BM70">
        <f t="shared" si="31"/>
        <v>0</v>
      </c>
      <c r="BN70" t="str">
        <f>$AF$34</f>
        <v/>
      </c>
      <c r="BO70" s="32" t="str">
        <f>AF$49</f>
        <v/>
      </c>
    </row>
    <row r="71" spans="1:67" x14ac:dyDescent="0.3">
      <c r="A71" s="18" t="s">
        <v>47</v>
      </c>
      <c r="B71" s="38" t="s">
        <v>408</v>
      </c>
      <c r="C71" s="19">
        <v>133</v>
      </c>
      <c r="D71" s="11" t="s">
        <v>226</v>
      </c>
      <c r="E71" s="11" t="s">
        <v>81</v>
      </c>
      <c r="F71" s="5">
        <v>50</v>
      </c>
      <c r="G71" t="s">
        <v>685</v>
      </c>
      <c r="K71" s="49">
        <f t="shared" si="28"/>
        <v>11.57186539821847</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110</v>
      </c>
      <c r="BK71" t="str">
        <f t="shared" si="26"/>
        <v>Slpig1_conv</v>
      </c>
      <c r="BL71" t="s">
        <v>127</v>
      </c>
      <c r="BM71">
        <f t="shared" si="31"/>
        <v>0</v>
      </c>
      <c r="BN71">
        <f>$AG$34</f>
        <v>0</v>
      </c>
      <c r="BO71" s="32">
        <f>AG$49</f>
        <v>0</v>
      </c>
    </row>
    <row r="72" spans="1:67" x14ac:dyDescent="0.3">
      <c r="A72" s="18" t="s">
        <v>67</v>
      </c>
      <c r="B72" s="38" t="s">
        <v>408</v>
      </c>
      <c r="C72" s="19">
        <v>5</v>
      </c>
      <c r="D72" s="11" t="s">
        <v>229</v>
      </c>
      <c r="E72" s="11" t="s">
        <v>17</v>
      </c>
      <c r="F72" s="5">
        <v>50</v>
      </c>
      <c r="K72" s="49">
        <f t="shared" si="28"/>
        <v>0.4350325337676117</v>
      </c>
      <c r="L72" s="49">
        <f>IF(E72="Diesel",VLOOKUP(D72,Other_tables!$L$5:$O$13,2,FALSE)*K72,0)</f>
        <v>8.7006506753522339E-2</v>
      </c>
      <c r="P72" s="30" t="str">
        <f>Other_tables!L9</f>
        <v>Fragttog Europa</v>
      </c>
      <c r="Q72" s="44"/>
      <c r="R72" s="159">
        <f t="shared" si="29"/>
        <v>0</v>
      </c>
      <c r="S72" s="49">
        <f t="shared" si="30"/>
        <v>0</v>
      </c>
      <c r="T72" s="49">
        <f>IF(R72&gt;0,0,(S72*VLOOKUP(P72,Other_tables!$L$5:$O$13,2,FALSE))/1000)</f>
        <v>0</v>
      </c>
      <c r="BJ72">
        <f t="shared" si="25"/>
        <v>110</v>
      </c>
      <c r="BK72" t="str">
        <f t="shared" si="26"/>
        <v>Slpig1_conv</v>
      </c>
      <c r="BL72" t="s">
        <v>127</v>
      </c>
      <c r="BM72">
        <f t="shared" si="31"/>
        <v>0</v>
      </c>
      <c r="BN72" s="32">
        <f>$AH$34</f>
        <v>0</v>
      </c>
      <c r="BO72" s="32">
        <f>AH$49</f>
        <v>0</v>
      </c>
    </row>
    <row r="73" spans="1:67" x14ac:dyDescent="0.3">
      <c r="A73" s="18" t="s">
        <v>68</v>
      </c>
      <c r="B73" s="38" t="s">
        <v>382</v>
      </c>
      <c r="C73" s="19">
        <v>168</v>
      </c>
      <c r="D73" s="11" t="s">
        <v>225</v>
      </c>
      <c r="E73" s="11" t="s">
        <v>81</v>
      </c>
      <c r="F73" s="5">
        <v>100</v>
      </c>
      <c r="G73" t="s">
        <v>634</v>
      </c>
      <c r="K73" s="49">
        <f>IF(B73="",0,((((VLOOKUP(B73,$B$12:$D$18,3,FALSE))/1000)*C73)/(VLOOKUP(B73,$B$12:$R$18,17,FALSE)/1000))*(F73/100))</f>
        <v>0.67200000000000004</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110</v>
      </c>
      <c r="BK73" t="str">
        <f t="shared" si="26"/>
        <v>Slpig1_conv</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110</v>
      </c>
      <c r="BK74" t="str">
        <f t="shared" si="26"/>
        <v>Slpig1_conv</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110</v>
      </c>
      <c r="BK75" t="str">
        <f t="shared" si="26"/>
        <v>Slpig1_conv</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110</v>
      </c>
      <c r="BK76" t="str">
        <f t="shared" si="26"/>
        <v>Slpig1_conv</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8.7006506753522339E-2</v>
      </c>
      <c r="S77" s="57"/>
      <c r="T77" s="58">
        <f>SUM(T68:T76)</f>
        <v>3.6280405999409258</v>
      </c>
      <c r="BJ77">
        <f t="shared" si="25"/>
        <v>110</v>
      </c>
      <c r="BK77" t="str">
        <f t="shared" si="26"/>
        <v>Slpig1_conv</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110</v>
      </c>
      <c r="BK78" t="str">
        <f t="shared" si="26"/>
        <v>Slpig1_conv</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110</v>
      </c>
      <c r="BK79" t="str">
        <f t="shared" si="26"/>
        <v>Slpig1_conv</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110</v>
      </c>
      <c r="BK80" t="str">
        <f t="shared" si="26"/>
        <v>Slpig1_conv</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110</v>
      </c>
      <c r="BK81" t="str">
        <f t="shared" si="26"/>
        <v>Slpig1_conv</v>
      </c>
      <c r="BL81" t="s">
        <v>118</v>
      </c>
      <c r="BM81" t="s">
        <v>118</v>
      </c>
      <c r="BN81">
        <f>I53</f>
        <v>0</v>
      </c>
      <c r="BO81" s="47">
        <f>I59</f>
        <v>0</v>
      </c>
    </row>
    <row r="82" spans="1:67" ht="17.399999999999999" x14ac:dyDescent="0.3">
      <c r="A82" s="25"/>
      <c r="B82" s="25"/>
      <c r="C82" s="24"/>
      <c r="D82" s="24"/>
      <c r="P82" s="31" t="s">
        <v>95</v>
      </c>
      <c r="Q82" s="55"/>
      <c r="BJ82">
        <f t="shared" si="25"/>
        <v>110</v>
      </c>
      <c r="BK82" t="str">
        <f t="shared" si="26"/>
        <v>Slpig1_conv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110</v>
      </c>
      <c r="BK83" t="str">
        <f t="shared" si="26"/>
        <v>Slpig1_conv</v>
      </c>
      <c r="BL83" t="str">
        <f>$A$67</f>
        <v>Transport</v>
      </c>
      <c r="BM83" t="str">
        <f>BL83</f>
        <v>Transport</v>
      </c>
      <c r="BN83" t="str">
        <f>R67</f>
        <v>Diesel (L)</v>
      </c>
      <c r="BO83" s="47">
        <f>R77</f>
        <v>8.7006506753522339E-2</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3.179259259259259</v>
      </c>
      <c r="S84" s="49">
        <f>IF(E84="",0,VLOOKUP(P84,$B$12:$D$18,3,FALSE)*E84)</f>
        <v>0.42024691358024691</v>
      </c>
      <c r="BJ84">
        <f t="shared" si="25"/>
        <v>110</v>
      </c>
      <c r="BK84" t="str">
        <f t="shared" si="26"/>
        <v>Slpig1_conv</v>
      </c>
      <c r="BL84" t="str">
        <f>$A$67</f>
        <v>Transport</v>
      </c>
      <c r="BM84" t="str">
        <f>BL84</f>
        <v>Transport</v>
      </c>
      <c r="BN84" t="str">
        <f>T67</f>
        <v>kg CO₂eq for T/km</v>
      </c>
      <c r="BO84" s="47">
        <f>T77</f>
        <v>3.6280405999409258</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110</v>
      </c>
      <c r="BK85" t="str">
        <f t="shared" si="26"/>
        <v>Slpig1_conv</v>
      </c>
      <c r="BL85" t="s">
        <v>120</v>
      </c>
      <c r="BM85" t="s">
        <v>120</v>
      </c>
      <c r="BN85" t="str">
        <f>R83</f>
        <v>EL (KWh)</v>
      </c>
      <c r="BO85" s="47">
        <f>R93</f>
        <v>3.179259259259259</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110</v>
      </c>
      <c r="BK86" t="str">
        <f t="shared" si="26"/>
        <v>Slpig1_conv</v>
      </c>
      <c r="BL86" t="s">
        <v>120</v>
      </c>
      <c r="BM86" t="s">
        <v>120</v>
      </c>
      <c r="BN86" t="str">
        <f>S83</f>
        <v>Diesel (L)</v>
      </c>
      <c r="BO86" s="47">
        <f>S93</f>
        <v>0.42024691358024691</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110</v>
      </c>
      <c r="BK87" t="str">
        <f t="shared" si="26"/>
        <v>Slpig1_conv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110</v>
      </c>
      <c r="BK88" t="str">
        <f t="shared" si="26"/>
        <v>Slpig1_conv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110</v>
      </c>
      <c r="BK89" t="str">
        <f t="shared" si="26"/>
        <v>Slpig1_conv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110</v>
      </c>
      <c r="BK90" t="str">
        <f t="shared" si="26"/>
        <v>Slpig1_conv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110</v>
      </c>
      <c r="BK91" t="str">
        <f t="shared" si="26"/>
        <v>Slpig1_conv</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3.179259259259259</v>
      </c>
      <c r="S93" s="58">
        <f>SUM(S84:S92)</f>
        <v>0.42024691358024691</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386</v>
      </c>
      <c r="B122" s="158"/>
      <c r="C122" s="248">
        <v>48.730466801168625</v>
      </c>
      <c r="D122" s="6" t="s">
        <v>409</v>
      </c>
      <c r="E122" s="165">
        <v>0</v>
      </c>
      <c r="F122" s="164">
        <f>VLOOKUP(A122,'Stable systems'!$A$4:$AK$105,35,FALSE)</f>
        <v>0</v>
      </c>
      <c r="G122" s="164">
        <f>VLOOKUP(A122,'Stable systems'!$A$4:$AK$105,36,FALSE)</f>
        <v>0</v>
      </c>
      <c r="H122" s="164">
        <f>VLOOKUP(A122,'Stable systems'!$A$4:$AK$105,37,FALSE)</f>
        <v>0</v>
      </c>
      <c r="M122" s="173">
        <f>(C122/100)*E122</f>
        <v>0</v>
      </c>
    </row>
    <row r="123" spans="1:13" x14ac:dyDescent="0.3">
      <c r="A123" s="158" t="s">
        <v>387</v>
      </c>
      <c r="B123" s="158"/>
      <c r="C123" s="248">
        <v>1.6184639786084274</v>
      </c>
      <c r="D123" s="6" t="s">
        <v>409</v>
      </c>
      <c r="E123" s="165">
        <v>59.5</v>
      </c>
      <c r="F123" s="164">
        <f>VLOOKUP(A123,'Stable systems'!$A$4:$AK$105,35,FALSE)</f>
        <v>0</v>
      </c>
      <c r="G123" s="164">
        <f>VLOOKUP(A123,'Stable systems'!$A$4:$AK$105,36,FALSE)</f>
        <v>0</v>
      </c>
      <c r="H123" s="164">
        <f>VLOOKUP(A123,'Stable systems'!$A$4:$AK$105,37,FALSE)</f>
        <v>59.5</v>
      </c>
      <c r="M123" s="173">
        <f t="shared" ref="M123:M131" si="41">(C123/100)*E123</f>
        <v>0.9629860672720143</v>
      </c>
    </row>
    <row r="124" spans="1:13" x14ac:dyDescent="0.3">
      <c r="A124" s="158" t="s">
        <v>384</v>
      </c>
      <c r="B124" s="158"/>
      <c r="C124" s="248">
        <v>10.484317122601972</v>
      </c>
      <c r="D124" s="6" t="s">
        <v>409</v>
      </c>
      <c r="E124" s="165">
        <v>2.6</v>
      </c>
      <c r="F124" s="164">
        <f>VLOOKUP(A124,'Stable systems'!$A$4:$AK$105,35,FALSE)</f>
        <v>0</v>
      </c>
      <c r="G124" s="164">
        <f>VLOOKUP(A124,'Stable systems'!$A$4:$AK$105,36,FALSE)</f>
        <v>0</v>
      </c>
      <c r="H124" s="164">
        <f>VLOOKUP(A124,'Stable systems'!$A$4:$AK$105,37,FALSE)</f>
        <v>2.6</v>
      </c>
      <c r="M124" s="173">
        <f t="shared" si="41"/>
        <v>0.27259224518765129</v>
      </c>
    </row>
    <row r="125" spans="1:13" x14ac:dyDescent="0.3">
      <c r="A125" s="158" t="s">
        <v>385</v>
      </c>
      <c r="B125" s="158"/>
      <c r="C125" s="248">
        <v>39.166752097620986</v>
      </c>
      <c r="D125" s="6" t="s">
        <v>409</v>
      </c>
      <c r="E125" s="165">
        <v>2.6</v>
      </c>
      <c r="F125" s="164">
        <f>VLOOKUP(A125,'Stable systems'!$A$4:$AK$105,35,FALSE)</f>
        <v>0</v>
      </c>
      <c r="G125" s="164">
        <f>VLOOKUP(A125,'Stable systems'!$A$4:$AK$105,36,FALSE)</f>
        <v>0</v>
      </c>
      <c r="H125" s="164">
        <f>VLOOKUP(A125,'Stable systems'!$A$4:$AK$105,37,FALSE)</f>
        <v>2.6</v>
      </c>
      <c r="M125" s="173">
        <f t="shared" si="41"/>
        <v>1.0183355545381458</v>
      </c>
    </row>
    <row r="126" spans="1:13" x14ac:dyDescent="0.3">
      <c r="A126" s="158"/>
      <c r="B126" s="158"/>
      <c r="C126" s="19"/>
      <c r="D126" s="6"/>
      <c r="E126" s="165"/>
      <c r="F126" s="164" t="e">
        <f>VLOOKUP(A126,'Stable systems'!$A$4:$AK$105,35,FALSE)</f>
        <v>#N/A</v>
      </c>
      <c r="G126" s="164" t="e">
        <f>VLOOKUP(A126,'Stable systems'!$A$4:$AK$105,36,FALSE)</f>
        <v>#N/A</v>
      </c>
      <c r="H126" s="164" t="e">
        <f>VLOOKUP(A126,'Stable systems'!$A$4:$AK$105,37,FALSE)</f>
        <v>#N/A</v>
      </c>
      <c r="M126" s="173">
        <f t="shared" si="41"/>
        <v>0</v>
      </c>
    </row>
    <row r="127" spans="1:13" x14ac:dyDescent="0.3">
      <c r="A127" s="158"/>
      <c r="B127" s="158"/>
      <c r="C127" s="19"/>
      <c r="D127" s="6"/>
      <c r="E127" s="165"/>
      <c r="F127" s="164" t="e">
        <f>VLOOKUP(A127,'Stable systems'!$A$4:$AK$105,35,FALSE)</f>
        <v>#N/A</v>
      </c>
      <c r="G127" s="164" t="e">
        <f>VLOOKUP(A127,'Stable systems'!$A$4:$AK$105,36,FALSE)</f>
        <v>#N/A</v>
      </c>
      <c r="H127" s="164" t="e">
        <f>VLOOKUP(A127,'Stable systems'!$A$4:$AK$105,37,FALSE)</f>
        <v>#N/A</v>
      </c>
      <c r="M127" s="173">
        <f t="shared" si="41"/>
        <v>0</v>
      </c>
    </row>
    <row r="128" spans="1:13" x14ac:dyDescent="0.3">
      <c r="A128" s="158"/>
      <c r="B128" s="158"/>
      <c r="C128" s="19"/>
      <c r="D128" s="6"/>
      <c r="E128" s="165"/>
      <c r="F128" s="164" t="e">
        <f>VLOOKUP(A128,'Stable systems'!$A$4:$AK$105,35,FALSE)</f>
        <v>#N/A</v>
      </c>
      <c r="G128" s="164" t="e">
        <f>VLOOKUP(A128,'Stable systems'!$A$4:$AK$105,36,FALSE)</f>
        <v>#N/A</v>
      </c>
      <c r="H128" s="164" t="e">
        <f>VLOOKUP(A128,'Stable systems'!$A$4:$AK$105,37,FALSE)</f>
        <v>#N/A</v>
      </c>
      <c r="M128" s="173">
        <f t="shared" si="41"/>
        <v>0</v>
      </c>
    </row>
    <row r="129" spans="1:16" x14ac:dyDescent="0.3">
      <c r="A129" s="158"/>
      <c r="B129" s="158"/>
      <c r="C129" s="19"/>
      <c r="D129" s="6"/>
      <c r="E129" s="165"/>
      <c r="F129" s="164" t="e">
        <f>VLOOKUP(A129,'Stable systems'!$A$4:$AK$105,35,FALSE)</f>
        <v>#N/A</v>
      </c>
      <c r="G129" s="164" t="e">
        <f>VLOOKUP(A129,'Stable systems'!$A$4:$AK$105,36,FALSE)</f>
        <v>#N/A</v>
      </c>
      <c r="H129" s="164" t="e">
        <f>VLOOKUP(A129,'Stable systems'!$A$4:$AK$105,37,FALSE)</f>
        <v>#N/A</v>
      </c>
      <c r="M129" s="173">
        <f t="shared" si="41"/>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v>
      </c>
      <c r="D137" s="154"/>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2.2539138669978112</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1.3257471623780706E-2</v>
      </c>
      <c r="L146" s="49">
        <f>IF(E146="Diesel",VLOOKUP(D146,Other_tables!$L$5:$O$13,2,FALSE)*K146,0)</f>
        <v>2.6514943247561411E-3</v>
      </c>
      <c r="P146" s="30" t="str">
        <f>Other_tables!L5</f>
        <v>Traktor</v>
      </c>
      <c r="Q146" s="44"/>
      <c r="R146" s="103">
        <f t="shared" ref="R146:R154" si="44">SUMPRODUCT(($D$146:$D$149=P146)*$L$146:$L$149)</f>
        <v>2.6514943247561411E-3</v>
      </c>
      <c r="S146" s="114">
        <f t="shared" ref="S146:S154" si="45">IF(P146="","0",SUMPRODUCT(($D$146:$D$149=P146)*$K$146:$K$149))</f>
        <v>1.3257471623780706E-2</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2.6514943247561411E-3</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1.3350273925147168E-3</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5.3401095700588673E-3</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1.3350273925147168E-3</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8.0101643550883009E-3</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8.9658001078278482E-2</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0.68878678879343458</v>
      </c>
    </row>
    <row r="173" spans="1:20" x14ac:dyDescent="0.3">
      <c r="A173" s="25"/>
      <c r="B173" s="138"/>
      <c r="C173" s="138"/>
      <c r="P173" s="30" t="s">
        <v>226</v>
      </c>
      <c r="Q173" s="44"/>
      <c r="R173" s="103">
        <f t="shared" si="46"/>
        <v>0</v>
      </c>
      <c r="S173" s="179"/>
      <c r="T173" s="103">
        <f t="shared" si="47"/>
        <v>2.9392538111474913</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6:20" x14ac:dyDescent="0.3">
      <c r="F177" s="183" t="s">
        <v>279</v>
      </c>
      <c r="G177" s="81">
        <f>B65+R106+C156</f>
        <v>6.6</v>
      </c>
      <c r="H177" s="81">
        <f>AC31+C65+R93+S106+D118+D156+D168</f>
        <v>12.279259259259259</v>
      </c>
      <c r="I177" s="81">
        <f>AB31+R77+D65+S93+T106+E118+R155+E156+E168</f>
        <v>0.51791507901361367</v>
      </c>
      <c r="J177" s="114">
        <f>AD31+T77+T155</f>
        <v>3.6280405999409258</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8.9658001078278482E-2</v>
      </c>
      <c r="S180" s="47"/>
      <c r="T180" s="178">
        <f>SUM(T171:T179)</f>
        <v>3.6280405999409258</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46:B149 B152:B155 B159:B167" xr:uid="{00000000-0002-0000-0100-000000000000}">
      <formula1>$B$140:$B$143</formula1>
    </dataValidation>
    <dataValidation type="list" allowBlank="1" showInputMessage="1" showErrorMessage="1" sqref="B97:B105 B82 B144:B145" xr:uid="{00000000-0002-0000-0100-000001000000}">
      <formula1>$B$24:$B$30</formula1>
    </dataValidation>
    <dataValidation type="list" allowBlank="1" showInputMessage="1" showErrorMessage="1" sqref="B109:B117 B84:B92 B68:B81" xr:uid="{00000000-0002-0000-0100-000002000000}">
      <formula1>$AF$3:$AF$51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'Respiration and enteric gas los'!$M$4:$M$35</xm:f>
          </x14:formula1>
          <xm:sqref>B55</xm:sqref>
        </x14:dataValidation>
        <x14:dataValidation type="list" allowBlank="1" showInputMessage="1" showErrorMessage="1" xr:uid="{00000000-0002-0000-0100-000005000000}">
          <x14:formula1>
            <xm:f>'Respiration and enteric gas los'!$A$4:$A$35</xm:f>
          </x14:formula1>
          <xm:sqref>B54</xm:sqref>
        </x14:dataValidation>
        <x14:dataValidation type="list" allowBlank="1" showInputMessage="1" showErrorMessage="1" xr:uid="{00000000-0002-0000-0100-000006000000}">
          <x14:formula1>
            <xm:f>Other_tables!$Q$5:$Q$6</xm:f>
          </x14:formula1>
          <xm:sqref>E146:E149 E68:E82</xm:sqref>
        </x14:dataValidation>
        <x14:dataValidation type="list" allowBlank="1" showInputMessage="1" showErrorMessage="1" xr:uid="{00000000-0002-0000-0100-000007000000}">
          <x14:formula1>
            <xm:f>Other_tables!$L$5:$L$13</xm:f>
          </x14:formula1>
          <xm:sqref>D146:D149 D68:D82</xm:sqref>
        </x14:dataValidation>
        <x14:dataValidation type="list" allowBlank="1" showInputMessage="1" showErrorMessage="1" xr:uid="{00000000-0002-0000-0100-000009000000}">
          <x14:formula1>
            <xm:f>Biomass_pool_output_Tech1_modul!$A$3:$A$100</xm:f>
          </x14:formula1>
          <xm:sqref>B12:B16 B140:B143 F24:F30 E12:E18 D122:D135</xm:sqref>
        </x14:dataValidation>
        <x14:dataValidation type="list" allowBlank="1" showInputMessage="1" showErrorMessage="1" xr:uid="{00000000-0002-0000-0100-00000A000000}">
          <x14:formula1>
            <xm:f>Other_tables!$A$5:$A$50</xm:f>
          </x14:formula1>
          <xm:sqref>C19 C33</xm:sqref>
        </x14:dataValidation>
        <x14:dataValidation type="list" allowBlank="1" showInputMessage="1" showErrorMessage="1" xr:uid="{00000000-0002-0000-0100-00000B000000}">
          <x14:formula1>
            <xm:f>'Processed products'!$B$5:$B$104</xm:f>
          </x14:formula1>
          <xm:sqref>B35:B42 L35:M37</xm:sqref>
        </x14:dataValidation>
        <x14:dataValidation type="list" allowBlank="1" showInputMessage="1" showErrorMessage="1" xr:uid="{00000000-0002-0000-0100-00000C000000}">
          <x14:formula1>
            <xm:f>Other_tables!$S$5:$S$22</xm:f>
          </x14:formula1>
          <xm:sqref>C84:C92</xm:sqref>
        </x14:dataValidation>
        <x14:dataValidation type="list" allowBlank="1" showInputMessage="1" showErrorMessage="1" xr:uid="{00000000-0002-0000-0100-00000D000000}">
          <x14:formula1>
            <xm:f>'Diesel consumption for field op'!$B$4:$B$78</xm:f>
          </x14:formula1>
          <xm:sqref>C109:C117 C159:C167</xm:sqref>
        </x14:dataValidation>
        <x14:dataValidation type="list" allowBlank="1" showInputMessage="1" showErrorMessage="1" xr:uid="{00000000-0002-0000-0100-00000E000000}">
          <x14:formula1>
            <xm:f>Other_tables!$G$5:$G$12</xm:f>
          </x14:formula1>
          <xm:sqref>C54:C58 C172:C174</xm:sqref>
        </x14:dataValidation>
        <x14:dataValidation type="list" allowBlank="1" showInputMessage="1" showErrorMessage="1" xr:uid="{00000000-0002-0000-0100-00000F000000}">
          <x14:formula1>
            <xm:f>Converted_feedstuff!$C$5:$C$54</xm:f>
          </x14:formula1>
          <xm:sqref>B24:B30 E24:E30</xm:sqref>
        </x14:dataValidation>
        <x14:dataValidation type="list" allowBlank="1" showInputMessage="1" showErrorMessage="1" xr:uid="{00000000-0002-0000-0100-000010000000}">
          <x14:formula1>
            <xm:f>'Imported products'!$B$5:$B$54</xm:f>
          </x14:formula1>
          <xm:sqref>F12:F18 B17:B18 G24:G30</xm:sqref>
        </x14:dataValidation>
        <x14:dataValidation type="list" allowBlank="1" showInputMessage="1" showErrorMessage="1" xr:uid="{00000000-0002-0000-0100-000011000000}">
          <x14:formula1>
            <xm:f>'Processed products'!$C$5:$C$104</xm:f>
          </x14:formula1>
          <xm:sqref>D4</xm:sqref>
        </x14:dataValidation>
        <x14:dataValidation type="list" allowBlank="1" showInputMessage="1" showErrorMessage="1" xr:uid="{00000000-0002-0000-0100-000012000000}">
          <x14:formula1>
            <xm:f>'Processed products'!$AJ$5:$AJ$104</xm:f>
          </x14:formula1>
          <xm:sqref>A136</xm:sqref>
        </x14:dataValidation>
        <x14:dataValidation type="list" allowBlank="1" showInputMessage="1" showErrorMessage="1" xr:uid="{10ECD3C1-88D5-4D17-9029-BF0EAC459C77}">
          <x14:formula1>
            <xm:f>'Processed products'!$AJ$5:$AJ$250</xm:f>
          </x14:formula1>
          <xm:sqref>B45:B49</xm:sqref>
        </x14:dataValidation>
        <x14:dataValidation type="list" allowBlank="1" showInputMessage="1" showErrorMessage="1" xr:uid="{00000000-0002-0000-0100-000003000000}">
          <x14:formula1>
            <xm:f>'Stable systems'!$A$4:$A$105</xm:f>
          </x14:formula1>
          <xm:sqref>A122:A134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sheetPr>
  <dimension ref="A1:BO223"/>
  <sheetViews>
    <sheetView topLeftCell="A10" workbookViewId="0">
      <selection activeCell="F117" sqref="F117"/>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Protein_1_conv</v>
      </c>
    </row>
    <row r="4" spans="1:36" x14ac:dyDescent="0.3">
      <c r="A4" s="15" t="s">
        <v>31</v>
      </c>
      <c r="B4" s="299">
        <v>110</v>
      </c>
      <c r="C4" s="299"/>
      <c r="D4" s="5" t="s">
        <v>661</v>
      </c>
      <c r="F4" s="150" t="s">
        <v>223</v>
      </c>
      <c r="G4" s="149">
        <v>16</v>
      </c>
      <c r="I4" s="302" t="s">
        <v>158</v>
      </c>
      <c r="J4" s="303"/>
      <c r="K4" s="128"/>
      <c r="L4" s="134" t="s">
        <v>207</v>
      </c>
      <c r="AF4" s="144" t="str">
        <f t="shared" ref="AF4:AF9" si="0">IF(B13="","",B13)</f>
        <v>Protein_2_conv</v>
      </c>
    </row>
    <row r="5" spans="1:36" x14ac:dyDescent="0.3">
      <c r="A5" s="15" t="s">
        <v>32</v>
      </c>
      <c r="B5" s="299" t="s">
        <v>294</v>
      </c>
      <c r="C5" s="299"/>
      <c r="D5" s="17" t="s">
        <v>627</v>
      </c>
      <c r="E5" t="s">
        <v>186</v>
      </c>
      <c r="F5" s="150" t="s">
        <v>224</v>
      </c>
      <c r="G5" s="149">
        <v>17</v>
      </c>
      <c r="I5" s="86" t="s">
        <v>159</v>
      </c>
      <c r="J5" s="5"/>
      <c r="L5" s="90">
        <v>3.14</v>
      </c>
      <c r="AF5" s="144" t="str">
        <f t="shared" si="0"/>
        <v/>
      </c>
    </row>
    <row r="6" spans="1:36" x14ac:dyDescent="0.3">
      <c r="A6" s="15" t="s">
        <v>3</v>
      </c>
      <c r="B6" s="299" t="s">
        <v>296</v>
      </c>
      <c r="C6" s="299"/>
      <c r="D6" s="5">
        <v>0.4</v>
      </c>
      <c r="F6" s="151" t="s">
        <v>147</v>
      </c>
      <c r="G6" s="88">
        <f>(Y32/D32)*100</f>
        <v>17.995289242651719</v>
      </c>
      <c r="I6" s="86" t="s">
        <v>160</v>
      </c>
      <c r="J6" s="5"/>
      <c r="L6" s="129"/>
      <c r="AF6" s="144" t="str">
        <f t="shared" si="0"/>
        <v>Grain_conv</v>
      </c>
    </row>
    <row r="7" spans="1:36" ht="14.7" customHeight="1" x14ac:dyDescent="0.3">
      <c r="A7" s="295" t="s">
        <v>55</v>
      </c>
      <c r="B7" s="296" t="s">
        <v>295</v>
      </c>
      <c r="C7" s="296"/>
      <c r="D7" s="42"/>
      <c r="F7" s="152" t="s">
        <v>187</v>
      </c>
      <c r="G7" s="209">
        <v>1071</v>
      </c>
      <c r="I7" s="86" t="s">
        <v>161</v>
      </c>
      <c r="J7" s="5"/>
      <c r="L7" s="131" t="s">
        <v>198</v>
      </c>
      <c r="AF7" s="144" t="str">
        <f t="shared" si="0"/>
        <v/>
      </c>
    </row>
    <row r="8" spans="1:36" ht="15" thickBot="1" x14ac:dyDescent="0.35">
      <c r="A8" s="295"/>
      <c r="B8" s="296"/>
      <c r="C8" s="296"/>
      <c r="D8" s="47"/>
      <c r="F8" s="153" t="s">
        <v>197</v>
      </c>
      <c r="G8" s="102">
        <v>1248</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Mineral_Type_2_grann_imp_conv</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284</v>
      </c>
      <c r="C12" s="217" t="s">
        <v>43</v>
      </c>
      <c r="D12" s="227">
        <v>75</v>
      </c>
      <c r="E12" s="218"/>
      <c r="F12" s="218" t="s">
        <v>192</v>
      </c>
      <c r="G12" s="219"/>
      <c r="I12" s="87" t="s">
        <v>201</v>
      </c>
      <c r="J12" s="107">
        <v>1.54</v>
      </c>
      <c r="K12" s="107">
        <v>1.58</v>
      </c>
      <c r="L12" s="102"/>
      <c r="R12" s="51">
        <f>(IF($T12=0,"0",VLOOKUP($B12,Biomass_pool_output_Tech1_modul!$A$3:$G$100,7,FALSE)))</f>
        <v>982.04281164681095</v>
      </c>
      <c r="S12" s="44"/>
      <c r="T12" s="34">
        <f>IF($B12="","0",(VLOOKUP($B12,Biomass_pool_output_Tech1_modul!$A$3:$F$100,2,FALSE)*($D12)/1000))</f>
        <v>34.465878386620652</v>
      </c>
      <c r="U12" s="34">
        <f>IF($B12="","0",(VLOOKUP($B12,Biomass_pool_output_Tech1_modul!$A$3:$F$100,3,FALSE)*($D12)/1000))</f>
        <v>12.044751906859124</v>
      </c>
      <c r="V12" s="34">
        <f>IF($B12="","0",(VLOOKUP($B12,Biomass_pool_output_Tech1_modul!$A$3:$F$100,4,FALSE)*($D12)/1000))</f>
        <v>0.15998724085581151</v>
      </c>
      <c r="W12" s="34">
        <f>IF($B12="","0",(VLOOKUP($B12,Biomass_pool_output_Tech1_modul!$A$3:$F$100,5,FALSE)*($D12)/1000))</f>
        <v>0.76786311256053752</v>
      </c>
      <c r="X12" s="34">
        <f>IF($B12="","0",(VLOOKUP($B12,Biomass_pool_output_Tech1_modul!$A$3:$F$100,6,FALSE)*$D12))</f>
        <v>1374.4195301765023</v>
      </c>
      <c r="Y12" s="34">
        <f>U12*6.25</f>
        <v>75.279699417869523</v>
      </c>
      <c r="AA12" s="53"/>
      <c r="AB12" s="53"/>
      <c r="AC12" s="53"/>
      <c r="AD12" s="53"/>
      <c r="AF12" s="144" t="str">
        <f t="shared" si="1"/>
        <v/>
      </c>
      <c r="AG12" s="53"/>
      <c r="AH12" s="53"/>
      <c r="AI12" s="53"/>
      <c r="AJ12" s="53"/>
    </row>
    <row r="13" spans="1:36" x14ac:dyDescent="0.3">
      <c r="A13" s="211" t="s">
        <v>318</v>
      </c>
      <c r="B13" s="212" t="s">
        <v>285</v>
      </c>
      <c r="C13" s="213" t="s">
        <v>43</v>
      </c>
      <c r="D13" s="228">
        <v>150</v>
      </c>
      <c r="E13" s="214"/>
      <c r="F13" s="214" t="s">
        <v>209</v>
      </c>
      <c r="R13" s="51">
        <f>(IF($T13=0,"0",VLOOKUP($B13,Biomass_pool_output_Tech1_modul!$A$3:$G$100,7,FALSE)))</f>
        <v>879.383109851227</v>
      </c>
      <c r="S13" s="44"/>
      <c r="T13" s="34">
        <f>IF($B13="","0",(VLOOKUP($B13,Biomass_pool_output_Tech1_modul!$A$3:$F$100,2,FALSE)*($D13)/1000))</f>
        <v>67.5</v>
      </c>
      <c r="U13" s="34">
        <f>IF($B13="","0",(VLOOKUP($B13,Biomass_pool_output_Tech1_modul!$A$3:$F$100,3,FALSE)*($D13)/1000))</f>
        <v>7.1917390718729397</v>
      </c>
      <c r="V13" s="34">
        <f>IF($B13="","0",(VLOOKUP($B13,Biomass_pool_output_Tech1_modul!$A$3:$F$100,4,FALSE)*($D13)/1000))</f>
        <v>1.692683851123485</v>
      </c>
      <c r="W13" s="34">
        <f>IF($B13="","0",(VLOOKUP($B13,Biomass_pool_output_Tech1_modul!$A$3:$F$100,5,FALSE)*($D13)/1000))</f>
        <v>2.3426137252027353</v>
      </c>
      <c r="X13" s="34">
        <f>IF($B13="","0",(VLOOKUP($B13,Biomass_pool_output_Tech1_modul!$A$3:$F$100,6,FALSE)*$D13))</f>
        <v>3246.3236446184551</v>
      </c>
      <c r="Y13" s="34">
        <f t="shared" ref="Y13:Y16" si="2">U13*6.25</f>
        <v>44.948369199205871</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27">
        <v>996</v>
      </c>
      <c r="E15" s="218"/>
      <c r="F15" s="226" t="s">
        <v>344</v>
      </c>
      <c r="G15" s="219"/>
      <c r="R15" s="51">
        <f>(IF($T15=0,"0",VLOOKUP($B15,Biomass_pool_output_Tech1_modul!$A$3:$G$100,7,FALSE)))</f>
        <v>850.51110268835396</v>
      </c>
      <c r="S15" s="44"/>
      <c r="T15" s="34">
        <f>IF($B15="","0",(VLOOKUP($B15,Biomass_pool_output_Tech1_modul!$A$3:$F$100,2,FALSE)*($D15)/1000))</f>
        <v>448.2</v>
      </c>
      <c r="U15" s="34">
        <f>IF($B15="","0",(VLOOKUP($B15,Biomass_pool_output_Tech1_modul!$A$3:$F$100,3,FALSE)*($D15)/1000))</f>
        <v>16.696502580994888</v>
      </c>
      <c r="V15" s="34">
        <f>IF($B15="","0",(VLOOKUP($B15,Biomass_pool_output_Tech1_modul!$A$3:$F$100,4,FALSE)*($D15)/1000))</f>
        <v>3.0908954494697936</v>
      </c>
      <c r="W15" s="34">
        <f>IF($B15="","0",(VLOOKUP($B15,Biomass_pool_output_Tech1_modul!$A$3:$F$100,5,FALSE)*($D15)/1000))</f>
        <v>4.8561159781031966</v>
      </c>
      <c r="X15" s="34">
        <f>IF($B15="","0",(VLOOKUP($B15,Biomass_pool_output_Tech1_modul!$A$3:$F$100,6,FALSE)*$D15))</f>
        <v>19157.951509252016</v>
      </c>
      <c r="Y15" s="34">
        <f t="shared" si="2"/>
        <v>104.35314113121805</v>
      </c>
      <c r="AA15" s="53"/>
      <c r="AB15" s="53"/>
      <c r="AC15" s="53"/>
      <c r="AD15" s="53"/>
      <c r="AF15" s="144" t="str">
        <f t="shared" si="1"/>
        <v/>
      </c>
      <c r="AG15" s="53"/>
      <c r="AH15" s="53"/>
      <c r="AI15" s="53"/>
      <c r="AJ15" s="53"/>
    </row>
    <row r="16" spans="1:36" x14ac:dyDescent="0.3">
      <c r="A16" s="211" t="s">
        <v>107</v>
      </c>
      <c r="B16" s="212"/>
      <c r="C16" s="213" t="s">
        <v>43</v>
      </c>
      <c r="D16" s="228"/>
      <c r="E16" s="214"/>
      <c r="F16" s="225"/>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Soyakage_imp_conv</v>
      </c>
      <c r="AH17" s="110"/>
    </row>
    <row r="18" spans="1:65" x14ac:dyDescent="0.3">
      <c r="A18" s="18" t="s">
        <v>414</v>
      </c>
      <c r="B18" s="19" t="s">
        <v>411</v>
      </c>
      <c r="C18" s="28" t="s">
        <v>43</v>
      </c>
      <c r="D18" s="230">
        <v>27</v>
      </c>
      <c r="E18" s="5"/>
      <c r="F18" s="126"/>
      <c r="I18" s="47" t="s">
        <v>299</v>
      </c>
      <c r="J18" t="s">
        <v>633</v>
      </c>
      <c r="K18">
        <v>0.74</v>
      </c>
      <c r="L18" t="s">
        <v>390</v>
      </c>
      <c r="M18" t="s">
        <v>637</v>
      </c>
      <c r="N18">
        <v>2.67</v>
      </c>
      <c r="O18" t="s">
        <v>388</v>
      </c>
      <c r="P18" t="s">
        <v>638</v>
      </c>
      <c r="Q18">
        <v>9.02</v>
      </c>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1.35</v>
      </c>
      <c r="W18" s="34">
        <f>IF($B18="","0",(VLOOKUP($B18,'Imported products'!$B$5:$O$54,12,FALSE)*($D18)/1000))</f>
        <v>4.0500000000000001E-2</v>
      </c>
      <c r="X18" s="34">
        <f>IF($B18="","0",(VLOOKUP($B18,'Imported products'!$B$5:$O$54,13,FALSE)*($D18)/1000))</f>
        <v>0</v>
      </c>
      <c r="Y18" s="34">
        <f>IF($B18="","0",(VLOOKUP($B18,'Imported products'!$B$5:$O$54,14,FALSE)*($D18)/1000))</f>
        <v>0</v>
      </c>
      <c r="AA18" s="110"/>
      <c r="AF18" s="144" t="str">
        <f t="shared" ref="AF18:AF23" si="3">IF(F13="","",F13)</f>
        <v>Rapskage_imp_conv</v>
      </c>
      <c r="AH18" s="110"/>
    </row>
    <row r="19" spans="1:65" x14ac:dyDescent="0.3">
      <c r="A19" s="25"/>
      <c r="B19" s="25"/>
      <c r="C19" s="24"/>
      <c r="D19" s="24"/>
      <c r="R19" s="52"/>
      <c r="AA19" s="110"/>
      <c r="AF19" s="144" t="str">
        <f t="shared" si="3"/>
        <v/>
      </c>
    </row>
    <row r="20" spans="1:65" x14ac:dyDescent="0.3">
      <c r="A20" s="18" t="s">
        <v>113</v>
      </c>
      <c r="B20" s="40"/>
      <c r="C20" s="28" t="s">
        <v>43</v>
      </c>
      <c r="D20" s="28">
        <f>SUM(D12:D18)</f>
        <v>1248</v>
      </c>
      <c r="R20" s="82">
        <f>(D12*R12+D13*R13+D14*R14+D15*R15+D16*R16+D17*R17+D18*R18)/D20</f>
        <v>865.11998047179111</v>
      </c>
      <c r="S20" s="45"/>
      <c r="T20" s="116">
        <f t="shared" ref="T20:X20" si="4">SUM(T12:T18)</f>
        <v>550.16587838662065</v>
      </c>
      <c r="U20" s="116">
        <f t="shared" si="4"/>
        <v>35.932993559726953</v>
      </c>
      <c r="V20" s="116">
        <f t="shared" si="4"/>
        <v>6.2935665414490902</v>
      </c>
      <c r="W20" s="116">
        <f t="shared" si="4"/>
        <v>8.0070928158664696</v>
      </c>
      <c r="X20" s="116">
        <f t="shared" si="4"/>
        <v>23778.694684046975</v>
      </c>
      <c r="Y20" s="116">
        <f>SUM(Y12:Y18)</f>
        <v>224.58120974829345</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 t="shared" si="9"/>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0</v>
      </c>
      <c r="E31" s="24"/>
      <c r="K31" t="s">
        <v>629</v>
      </c>
      <c r="L31" s="24"/>
      <c r="M31" s="24"/>
      <c r="N31" s="24"/>
      <c r="O31" s="24"/>
      <c r="P31" s="24"/>
      <c r="Q31" s="25"/>
      <c r="R31" s="82" t="e">
        <f>(D24*R24+D25*R25+D26*R26+D27*R27+D28*R28+D29*R29+D30*R30)/D31</f>
        <v>#DIV/0!</v>
      </c>
      <c r="S31" s="45"/>
      <c r="T31" s="116">
        <f t="shared" ref="T31:Y31" si="10">SUM(T24:T30)</f>
        <v>0</v>
      </c>
      <c r="U31" s="116">
        <f t="shared" si="10"/>
        <v>0</v>
      </c>
      <c r="V31" s="116">
        <f t="shared" si="10"/>
        <v>0</v>
      </c>
      <c r="W31" s="116">
        <f t="shared" si="10"/>
        <v>0</v>
      </c>
      <c r="X31" s="116">
        <f>SUM(X24:X30)</f>
        <v>0</v>
      </c>
      <c r="Y31" s="116">
        <f t="shared" si="10"/>
        <v>0</v>
      </c>
      <c r="AA31" s="113" t="s">
        <v>61</v>
      </c>
      <c r="AB31" s="115">
        <f>SUM(AB24:AB30)</f>
        <v>0</v>
      </c>
      <c r="AC31" s="115">
        <f>SUM(AC24:AC30)</f>
        <v>0</v>
      </c>
      <c r="AD31" s="115">
        <f>SUM(AD24:AD30)</f>
        <v>0</v>
      </c>
      <c r="AF31" s="144" t="str">
        <f>IF(E24="","",E24)</f>
        <v/>
      </c>
      <c r="AN31" s="35" t="s">
        <v>61</v>
      </c>
      <c r="AO31" s="92">
        <f>SUM(AO24:AO30)</f>
        <v>0</v>
      </c>
      <c r="AP31" s="92">
        <f t="shared" ref="AP31:BH31" si="11">SUM(AP24:AP30)</f>
        <v>0</v>
      </c>
      <c r="AQ31" s="92">
        <f t="shared" si="11"/>
        <v>0</v>
      </c>
      <c r="AR31" s="92">
        <f t="shared" si="11"/>
        <v>0</v>
      </c>
      <c r="AS31" s="92">
        <f t="shared" si="11"/>
        <v>0</v>
      </c>
      <c r="AT31" s="92">
        <f t="shared" si="11"/>
        <v>0</v>
      </c>
      <c r="AU31" s="92">
        <f t="shared" si="11"/>
        <v>0</v>
      </c>
      <c r="AV31" s="92">
        <f t="shared" si="11"/>
        <v>0</v>
      </c>
      <c r="AW31" s="92">
        <f t="shared" si="11"/>
        <v>0</v>
      </c>
      <c r="AX31" s="92">
        <f t="shared" si="11"/>
        <v>0</v>
      </c>
      <c r="AY31" s="92">
        <f t="shared" si="11"/>
        <v>0</v>
      </c>
      <c r="AZ31" s="92">
        <f t="shared" si="11"/>
        <v>0</v>
      </c>
      <c r="BA31" s="92">
        <f t="shared" si="11"/>
        <v>0</v>
      </c>
      <c r="BB31" s="92">
        <f t="shared" si="11"/>
        <v>0</v>
      </c>
      <c r="BC31" s="92">
        <f t="shared" si="11"/>
        <v>0</v>
      </c>
      <c r="BD31" s="92">
        <f t="shared" si="11"/>
        <v>0</v>
      </c>
      <c r="BE31" s="92">
        <f t="shared" si="11"/>
        <v>0</v>
      </c>
      <c r="BF31" s="92">
        <f t="shared" si="11"/>
        <v>0</v>
      </c>
      <c r="BG31" s="92">
        <f t="shared" si="11"/>
        <v>0</v>
      </c>
      <c r="BH31" s="92">
        <f t="shared" si="11"/>
        <v>0</v>
      </c>
    </row>
    <row r="32" spans="1:65" ht="15" thickBot="1" x14ac:dyDescent="0.35">
      <c r="A32" s="18" t="s">
        <v>113</v>
      </c>
      <c r="B32" s="40"/>
      <c r="C32" s="28" t="s">
        <v>43</v>
      </c>
      <c r="D32" s="83">
        <f>D20+D31</f>
        <v>1248</v>
      </c>
      <c r="E32" s="24"/>
      <c r="I32" s="24"/>
      <c r="J32" s="24"/>
      <c r="K32" s="24"/>
      <c r="L32" s="24"/>
      <c r="M32" s="24"/>
      <c r="N32" s="24"/>
      <c r="P32" s="25"/>
      <c r="Q32" s="25"/>
      <c r="R32" s="84" t="e">
        <f>(D20*R20+D31*R31)/D32</f>
        <v>#DIV/0!</v>
      </c>
      <c r="S32" s="85"/>
      <c r="T32" s="117">
        <f>T20+T31</f>
        <v>550.16587838662065</v>
      </c>
      <c r="U32" s="117">
        <f t="shared" ref="U32:Y32" si="12">U20+U31</f>
        <v>35.932993559726953</v>
      </c>
      <c r="V32" s="117">
        <f t="shared" si="12"/>
        <v>6.2935665414490902</v>
      </c>
      <c r="W32" s="117">
        <f t="shared" si="12"/>
        <v>8.0070928158664696</v>
      </c>
      <c r="X32" s="117">
        <f t="shared" si="12"/>
        <v>23778.694684046975</v>
      </c>
      <c r="Y32" s="117">
        <f t="shared" si="12"/>
        <v>224.58120974829345</v>
      </c>
      <c r="AF32" s="144" t="str">
        <f t="shared" ref="AF32:AF37" si="13">IF(E25="","",E25)</f>
        <v/>
      </c>
      <c r="BL32" t="str">
        <f>A4</f>
        <v>ID-nummer</v>
      </c>
      <c r="BM32">
        <f>B4</f>
        <v>110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Sow1_conv</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110</v>
      </c>
      <c r="BK34" t="str">
        <f t="shared" ref="BJ34:BK62" si="15">$BM$33</f>
        <v>Sow1_conv</v>
      </c>
      <c r="BL34" t="s">
        <v>69</v>
      </c>
      <c r="BM34">
        <f>$B$24</f>
        <v>0</v>
      </c>
      <c r="BN34" t="str">
        <f t="shared" ref="BN34:BO40" si="16">C24</f>
        <v>Kg</v>
      </c>
      <c r="BO34">
        <f t="shared" si="16"/>
        <v>0</v>
      </c>
    </row>
    <row r="35" spans="1:67" ht="15.6" x14ac:dyDescent="0.3">
      <c r="A35" s="18" t="s">
        <v>631</v>
      </c>
      <c r="B35" s="19" t="s">
        <v>297</v>
      </c>
      <c r="C35" s="28" t="s">
        <v>43</v>
      </c>
      <c r="D35" s="34">
        <f>H35*(R35/1000)</f>
        <v>28.49</v>
      </c>
      <c r="E35" s="30" t="str">
        <f>IF(B35="","",VLOOKUP(B35,'Processed products'!$B$5:$E$104,2,FALSE))</f>
        <v>Pork_meat_conv</v>
      </c>
      <c r="F35" s="30" t="str">
        <f>IF(B35="","",VLOOKUP(B35,'Processed products'!$B$5:$E$104,3,FALSE))</f>
        <v>Meat</v>
      </c>
      <c r="G35" s="30" t="str">
        <f>IF(B35="","",VLOOKUP(B35,'Processed products'!$B$5:$E$104,4,FALSE))</f>
        <v>Exit_model</v>
      </c>
      <c r="H35" s="5">
        <v>77</v>
      </c>
      <c r="I35" s="4"/>
      <c r="K35" s="97" t="s">
        <v>654</v>
      </c>
      <c r="L35" s="132" t="s">
        <v>299</v>
      </c>
      <c r="M35" s="132" t="s">
        <v>633</v>
      </c>
      <c r="N35" s="272">
        <v>0.74</v>
      </c>
      <c r="R35" s="51">
        <f>(IF($B35="",0,VLOOKUP($B35,'Processed products'!$B$5:$O$104,5,FALSE)))</f>
        <v>370</v>
      </c>
      <c r="S35" s="44"/>
      <c r="T35" s="28">
        <f>(IF($B35="","",VLOOKUP($B35,'Processed products'!$B$5:$O$104,9,FALSE)))</f>
        <v>680</v>
      </c>
      <c r="U35" s="34">
        <f>(IF($B35="","",VLOOKUP($B35,'Processed products'!$B$5:$O$104,10,FALSE)))</f>
        <v>59.459200000000003</v>
      </c>
      <c r="V35" s="28">
        <f>(IF($B35="","",VLOOKUP($B35,'Processed products'!$B$5:$O$104,11,FALSE)))</f>
        <v>17.3</v>
      </c>
      <c r="W35" s="28">
        <f>(IF($B35="","",VLOOKUP($B35,'Processed products'!$B$5:$O$104,12,FALSE)))</f>
        <v>5.41</v>
      </c>
      <c r="X35" s="28">
        <f>(IF($B35="","",VLOOKUP($B35,'Processed products'!$B$5:$O$104,13,FALSE)))</f>
        <v>27.17</v>
      </c>
      <c r="Z35" s="53"/>
      <c r="AA35" s="53"/>
      <c r="AB35" s="53"/>
      <c r="AC35" s="53"/>
      <c r="AD35" s="53"/>
      <c r="AF35" s="144" t="str">
        <f t="shared" si="13"/>
        <v/>
      </c>
      <c r="AJ35" s="32"/>
      <c r="BJ35">
        <f t="shared" si="14"/>
        <v>110</v>
      </c>
      <c r="BK35" t="str">
        <f t="shared" si="15"/>
        <v>Sow1_conv</v>
      </c>
      <c r="BL35" t="s">
        <v>69</v>
      </c>
      <c r="BM35">
        <f>$B$25</f>
        <v>0</v>
      </c>
      <c r="BN35" t="str">
        <f t="shared" si="16"/>
        <v>Kg</v>
      </c>
      <c r="BO35">
        <f t="shared" si="16"/>
        <v>0</v>
      </c>
    </row>
    <row r="36" spans="1:67" ht="15.6" x14ac:dyDescent="0.3">
      <c r="A36" s="18" t="s">
        <v>632</v>
      </c>
      <c r="B36" s="19" t="s">
        <v>298</v>
      </c>
      <c r="C36" s="28" t="s">
        <v>43</v>
      </c>
      <c r="D36" s="34">
        <f t="shared" ref="D36" si="17">H36*(R36/1000)</f>
        <v>8.5951000000000004</v>
      </c>
      <c r="E36" s="30" t="str">
        <f>IF(B36="","",VLOOKUP(B36,'Processed products'!$B$5:$E$104,2,FALSE))</f>
        <v>Dead_meat_conv</v>
      </c>
      <c r="F36" s="30" t="str">
        <f>IF(B36="","",VLOOKUP(B36,'Processed products'!$B$5:$E$104,3,FALSE))</f>
        <v>Dead_meat</v>
      </c>
      <c r="G36" s="30" t="str">
        <f>IF(B36="","",VLOOKUP(B36,'Processed products'!$B$5:$E$104,4,FALSE))</f>
        <v>Exit_model</v>
      </c>
      <c r="H36" s="5">
        <v>23.23</v>
      </c>
      <c r="I36" s="4"/>
      <c r="K36" s="97" t="s">
        <v>655</v>
      </c>
      <c r="L36" s="132" t="s">
        <v>390</v>
      </c>
      <c r="M36" s="132" t="s">
        <v>637</v>
      </c>
      <c r="N36" s="272">
        <v>2.67</v>
      </c>
      <c r="P36" s="93"/>
      <c r="Q36" s="262"/>
      <c r="R36" s="51">
        <f>(IF($B36="",0,VLOOKUP($B36,'Processed products'!$B$5:$O$104,5,FALSE)))</f>
        <v>370</v>
      </c>
      <c r="S36" s="44"/>
      <c r="T36" s="28">
        <f>(IF($B36="","",VLOOKUP($B36,'Processed products'!$B$5:$O$104,9,FALSE)))</f>
        <v>640</v>
      </c>
      <c r="U36" s="34">
        <f>(IF($B36="","",VLOOKUP($B36,'Processed products'!$B$5:$O$104,10,FALSE)))</f>
        <v>69.459199999999996</v>
      </c>
      <c r="V36" s="28">
        <f>(IF($B36="","",VLOOKUP($B36,'Processed products'!$B$5:$O$104,11,FALSE)))</f>
        <v>16.22</v>
      </c>
      <c r="W36" s="28">
        <f>(IF($B36="","",VLOOKUP($B36,'Processed products'!$B$5:$O$104,12,FALSE)))</f>
        <v>5.95</v>
      </c>
      <c r="X36" s="28">
        <f>(IF($B36="","",VLOOKUP($B36,'Processed products'!$B$5:$O$104,13,FALSE)))</f>
        <v>27.17</v>
      </c>
      <c r="Z36" s="53"/>
      <c r="AA36" s="53"/>
      <c r="AB36" s="53"/>
      <c r="AC36" s="53"/>
      <c r="AD36" s="53"/>
      <c r="AF36" s="144" t="str">
        <f t="shared" si="13"/>
        <v/>
      </c>
      <c r="BJ36">
        <f t="shared" si="14"/>
        <v>110</v>
      </c>
      <c r="BK36" t="str">
        <f t="shared" si="15"/>
        <v>Sow1_conv</v>
      </c>
      <c r="BL36" t="s">
        <v>69</v>
      </c>
      <c r="BM36">
        <f>$B$26</f>
        <v>0</v>
      </c>
      <c r="BN36" t="str">
        <f t="shared" si="16"/>
        <v>Kg</v>
      </c>
      <c r="BO36">
        <f t="shared" si="16"/>
        <v>0</v>
      </c>
    </row>
    <row r="37" spans="1:67" ht="16.2" thickBot="1" x14ac:dyDescent="0.35">
      <c r="A37" s="18" t="s">
        <v>647</v>
      </c>
      <c r="B37" s="19" t="s">
        <v>299</v>
      </c>
      <c r="C37" s="28" t="s">
        <v>43</v>
      </c>
      <c r="D37" s="34">
        <f>H37*(R37/1000)</f>
        <v>82.302800000000005</v>
      </c>
      <c r="E37" s="30" t="str">
        <f>IF(B37="","",VLOOKUP(B37,'Processed products'!$B$5:$E$104,2,FALSE))</f>
        <v>Piglet_6_7_live_conv</v>
      </c>
      <c r="F37" s="30" t="str">
        <f>IF(B37="","",VLOOKUP(B37,'Processed products'!$B$5:$E$104,3,FALSE))</f>
        <v>Pig_live_conv</v>
      </c>
      <c r="G37" s="30" t="str">
        <f>IF(B37="","",VLOOKUP(B37,'Processed products'!$B$5:$E$104,4,FALSE))</f>
        <v>Livestock_balance</v>
      </c>
      <c r="H37" s="5">
        <v>222.44</v>
      </c>
      <c r="I37" s="5">
        <v>33.200000000000003</v>
      </c>
      <c r="K37" s="273" t="s">
        <v>656</v>
      </c>
      <c r="L37" s="132" t="s">
        <v>388</v>
      </c>
      <c r="M37" s="132" t="s">
        <v>638</v>
      </c>
      <c r="N37" s="272">
        <v>9.02</v>
      </c>
      <c r="Q37" s="25"/>
      <c r="R37" s="51">
        <f>(IF($B37="",0,VLOOKUP($B37,'Processed products'!$B$5:$O$104,5,FALSE)))</f>
        <v>370</v>
      </c>
      <c r="S37" s="44"/>
      <c r="T37" s="28">
        <f>(IF($B37="","",VLOOKUP($B37,'Processed products'!$B$5:$O$104,9,FALSE)))</f>
        <v>640</v>
      </c>
      <c r="U37" s="34">
        <f>(IF($B37="","",VLOOKUP($B37,'Processed products'!$B$5:$O$104,10,FALSE)))</f>
        <v>69.459199999999996</v>
      </c>
      <c r="V37" s="28">
        <f>(IF($B37="","",VLOOKUP($B37,'Processed products'!$B$5:$O$104,11,FALSE)))</f>
        <v>16.22</v>
      </c>
      <c r="W37" s="28">
        <f>(IF($B37="","",VLOOKUP($B37,'Processed products'!$B$5:$O$104,12,FALSE)))</f>
        <v>5.95</v>
      </c>
      <c r="X37" s="28">
        <f>(IF($B37="","",VLOOKUP($B37,'Processed products'!$B$5:$O$104,13,FALSE)))</f>
        <v>27.17</v>
      </c>
      <c r="Z37" s="53"/>
      <c r="AA37" s="53"/>
      <c r="AB37" s="53"/>
      <c r="AC37" s="53"/>
      <c r="AD37" s="53"/>
      <c r="AF37" s="144" t="str">
        <f t="shared" si="13"/>
        <v/>
      </c>
      <c r="BJ37">
        <f t="shared" si="14"/>
        <v>110</v>
      </c>
      <c r="BK37" t="str">
        <f t="shared" si="15"/>
        <v>Sow1_conv</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110</v>
      </c>
      <c r="BK38" t="str">
        <f t="shared" si="15"/>
        <v>Sow1_conv</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24"/>
      <c r="K39" s="136">
        <f>6.7*0.11</f>
        <v>0.73699999999999999</v>
      </c>
      <c r="L39" s="123"/>
      <c r="M39" s="123"/>
      <c r="N39" s="136">
        <f>24.3*0.11</f>
        <v>2.673</v>
      </c>
      <c r="P39" s="93"/>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110</v>
      </c>
      <c r="BK39" t="str">
        <f t="shared" si="15"/>
        <v>Sow1_conv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38"/>
      <c r="L40" s="123"/>
      <c r="M40" s="123"/>
      <c r="N40" s="136">
        <f>82*0.11</f>
        <v>9.02</v>
      </c>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110</v>
      </c>
      <c r="BK40" t="str">
        <f t="shared" si="15"/>
        <v>Sow1_conv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O41" s="110"/>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110</v>
      </c>
      <c r="BK41" t="str">
        <f t="shared" si="15"/>
        <v>Sow1_conv</v>
      </c>
      <c r="BL41" t="s">
        <v>126</v>
      </c>
      <c r="BM41" t="str">
        <f>$B$35</f>
        <v>Svinekoed_adult_conv</v>
      </c>
      <c r="BN41" t="str">
        <f>C35</f>
        <v>Kg</v>
      </c>
      <c r="BO41" s="64">
        <f>P35</f>
        <v>0</v>
      </c>
    </row>
    <row r="42" spans="1:67" x14ac:dyDescent="0.3">
      <c r="A42" s="33" t="s">
        <v>61</v>
      </c>
      <c r="B42" s="39"/>
      <c r="C42" s="28" t="s">
        <v>43</v>
      </c>
      <c r="D42" s="34">
        <f>SUM(D35:D41)</f>
        <v>119.3879</v>
      </c>
      <c r="E42" s="24"/>
      <c r="I42" s="124"/>
      <c r="J42" s="136">
        <f>0.11*93+5+8</f>
        <v>23.23</v>
      </c>
      <c r="K42" s="123"/>
      <c r="L42" s="123"/>
      <c r="M42" s="123"/>
      <c r="N42" s="123"/>
      <c r="P42" s="93"/>
      <c r="Q42" s="25"/>
      <c r="Z42" s="53"/>
      <c r="AA42" s="53"/>
      <c r="AB42" s="53"/>
      <c r="AC42" s="53"/>
      <c r="AD42" s="53"/>
      <c r="AF42" s="144" t="str">
        <f t="shared" si="18"/>
        <v/>
      </c>
      <c r="BJ42">
        <f t="shared" si="14"/>
        <v>110</v>
      </c>
      <c r="BK42" t="str">
        <f t="shared" si="15"/>
        <v>Sow1_conv</v>
      </c>
      <c r="BL42" t="s">
        <v>126</v>
      </c>
      <c r="BM42" t="str">
        <f>$B$36</f>
        <v>Svinekoed_affald_conv</v>
      </c>
      <c r="BN42" t="str">
        <f t="shared" ref="BN42:BN47" si="19">C35</f>
        <v>Kg</v>
      </c>
      <c r="BO42" s="64">
        <f t="shared" ref="BO42" si="20">P35</f>
        <v>0</v>
      </c>
    </row>
    <row r="43" spans="1:67" x14ac:dyDescent="0.3">
      <c r="Z43" s="53"/>
      <c r="AA43" s="53"/>
      <c r="AB43" s="53"/>
      <c r="AC43" s="53"/>
      <c r="AD43" s="53"/>
      <c r="AF43" s="144" t="str">
        <f t="shared" si="18"/>
        <v/>
      </c>
      <c r="BJ43">
        <f t="shared" si="14"/>
        <v>110</v>
      </c>
      <c r="BK43" t="str">
        <f t="shared" si="15"/>
        <v>Sow1_conv</v>
      </c>
      <c r="BL43" t="s">
        <v>126</v>
      </c>
      <c r="BM43" t="str">
        <f>$B$37</f>
        <v>Svinekoed_piglet_conv</v>
      </c>
      <c r="BN43" t="str">
        <f t="shared" si="19"/>
        <v>Kg</v>
      </c>
      <c r="BO43" s="64">
        <f>P39</f>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110</v>
      </c>
      <c r="BK44" t="str">
        <f t="shared" si="15"/>
        <v>Sow1_conv</v>
      </c>
      <c r="BL44" t="s">
        <v>126</v>
      </c>
      <c r="BM44">
        <f>$B$38</f>
        <v>0</v>
      </c>
      <c r="BN44" t="str">
        <f t="shared" si="19"/>
        <v>Kg</v>
      </c>
      <c r="BO44" s="64">
        <f>P40</f>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110</v>
      </c>
      <c r="BK45" t="str">
        <f t="shared" si="15"/>
        <v>Sow1_conv</v>
      </c>
      <c r="BL45" t="s">
        <v>126</v>
      </c>
      <c r="BM45">
        <f>$B$39</f>
        <v>0</v>
      </c>
      <c r="BN45" t="str">
        <f t="shared" si="19"/>
        <v>Kg</v>
      </c>
      <c r="BO45" s="64">
        <f>P41</f>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110</v>
      </c>
      <c r="BK46" t="str">
        <f t="shared" si="15"/>
        <v>Sow1_conv</v>
      </c>
      <c r="BL46" t="s">
        <v>126</v>
      </c>
      <c r="BM46">
        <f>$B$40</f>
        <v>0</v>
      </c>
      <c r="BN46" t="str">
        <f t="shared" si="19"/>
        <v>Kg</v>
      </c>
      <c r="BO46" s="64">
        <f>P42</f>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110</v>
      </c>
      <c r="BK47" t="str">
        <f t="shared" si="15"/>
        <v>Sow1_conv</v>
      </c>
      <c r="BL47" t="s">
        <v>126</v>
      </c>
      <c r="BM47">
        <f>$B$41</f>
        <v>0</v>
      </c>
      <c r="BN47" t="str">
        <f t="shared" si="19"/>
        <v>Kg</v>
      </c>
      <c r="BO47" s="64" t="e">
        <f>#REF!</f>
        <v>#REF!</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110</v>
      </c>
      <c r="BK48" t="str">
        <f t="shared" si="15"/>
        <v>Sow1_conv</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110</v>
      </c>
      <c r="BK49" t="str">
        <f t="shared" si="15"/>
        <v>Sow1_conv</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110</v>
      </c>
      <c r="BK50" t="str">
        <f t="shared" si="15"/>
        <v>Sow1_conv</v>
      </c>
      <c r="BL50" t="s">
        <v>127</v>
      </c>
      <c r="BM50">
        <f t="shared" si="22"/>
        <v>0</v>
      </c>
      <c r="BN50" s="32">
        <f>$AH$34</f>
        <v>0</v>
      </c>
      <c r="BO50" s="32">
        <f>AH45</f>
        <v>0</v>
      </c>
    </row>
    <row r="51" spans="1:67" ht="15" thickBot="1" x14ac:dyDescent="0.35">
      <c r="A51" s="18" t="s">
        <v>56</v>
      </c>
      <c r="B51" s="9"/>
      <c r="C51" s="28" t="s">
        <v>43</v>
      </c>
      <c r="D51" s="34">
        <f>SUM(D42,D45:D50)</f>
        <v>119.3879</v>
      </c>
      <c r="I51" s="93"/>
      <c r="J51" s="93"/>
      <c r="K51" s="93"/>
      <c r="L51" s="93"/>
      <c r="M51" s="93"/>
      <c r="N51" s="93"/>
      <c r="O51" s="135"/>
      <c r="P51" s="93"/>
      <c r="Q51" s="47"/>
      <c r="Z51" s="53"/>
      <c r="AA51" s="53"/>
      <c r="AB51" s="53"/>
      <c r="AC51" s="53"/>
      <c r="AD51" s="53"/>
      <c r="AF51" s="145" t="str">
        <f t="shared" si="21"/>
        <v/>
      </c>
      <c r="BJ51">
        <f t="shared" si="14"/>
        <v>110</v>
      </c>
      <c r="BK51" t="str">
        <f t="shared" si="15"/>
        <v>Sow1_conv</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110</v>
      </c>
      <c r="BK52" t="str">
        <f t="shared" si="15"/>
        <v>Sow1_conv</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110</v>
      </c>
      <c r="BK53" t="str">
        <f t="shared" si="15"/>
        <v>Sow1_conv</v>
      </c>
      <c r="BL53" t="s">
        <v>127</v>
      </c>
      <c r="BM53">
        <f t="shared" ref="BM53:BM58" si="23">$B$46</f>
        <v>0</v>
      </c>
      <c r="BN53" t="str">
        <f>C46</f>
        <v>Kg</v>
      </c>
      <c r="BO53" s="64">
        <f>P46</f>
        <v>0</v>
      </c>
    </row>
    <row r="54" spans="1:67" x14ac:dyDescent="0.3">
      <c r="A54" s="18" t="s">
        <v>220</v>
      </c>
      <c r="B54" s="50" t="s">
        <v>719</v>
      </c>
      <c r="C54" s="50" t="s">
        <v>43</v>
      </c>
      <c r="D54" s="138"/>
      <c r="E54" s="53"/>
      <c r="F54" s="138"/>
      <c r="G54" s="53"/>
      <c r="H54" s="138"/>
      <c r="I54" s="138"/>
      <c r="AF54" s="32"/>
      <c r="BJ54">
        <f t="shared" si="14"/>
        <v>110</v>
      </c>
      <c r="BK54" t="str">
        <f t="shared" si="15"/>
        <v>Sow1_conv</v>
      </c>
      <c r="BL54" t="s">
        <v>127</v>
      </c>
      <c r="BM54">
        <f t="shared" si="23"/>
        <v>0</v>
      </c>
      <c r="BN54" t="str">
        <f>$AF$34</f>
        <v/>
      </c>
      <c r="BO54" s="32" t="str">
        <f>AF$46</f>
        <v/>
      </c>
    </row>
    <row r="55" spans="1:67" x14ac:dyDescent="0.3">
      <c r="A55" s="18" t="s">
        <v>254</v>
      </c>
      <c r="B55" s="50" t="s">
        <v>724</v>
      </c>
      <c r="C55" s="50" t="s">
        <v>43</v>
      </c>
      <c r="D55" s="138"/>
      <c r="E55" s="53"/>
      <c r="F55" s="138"/>
      <c r="G55" s="53"/>
      <c r="H55" s="138"/>
      <c r="I55" s="138"/>
      <c r="BJ55">
        <f t="shared" si="14"/>
        <v>110</v>
      </c>
      <c r="BK55" t="str">
        <f t="shared" si="15"/>
        <v>Sow1_conv</v>
      </c>
      <c r="BL55" t="s">
        <v>127</v>
      </c>
      <c r="BM55">
        <f t="shared" si="23"/>
        <v>0</v>
      </c>
      <c r="BN55">
        <f>$AG$34</f>
        <v>0</v>
      </c>
      <c r="BO55" s="32">
        <f>AG$46</f>
        <v>0</v>
      </c>
    </row>
    <row r="56" spans="1:67" x14ac:dyDescent="0.3">
      <c r="A56" s="18" t="s">
        <v>35</v>
      </c>
      <c r="B56" s="50"/>
      <c r="C56" s="50"/>
      <c r="D56" s="138"/>
      <c r="E56" s="53"/>
      <c r="F56" s="138"/>
      <c r="G56" s="53"/>
      <c r="H56" s="138"/>
      <c r="I56" s="138"/>
      <c r="BJ56">
        <f t="shared" si="14"/>
        <v>110</v>
      </c>
      <c r="BK56" t="str">
        <f t="shared" si="15"/>
        <v>Sow1_conv</v>
      </c>
      <c r="BL56" t="s">
        <v>127</v>
      </c>
      <c r="BM56">
        <f t="shared" si="23"/>
        <v>0</v>
      </c>
      <c r="BN56" s="32">
        <f>$AH$34</f>
        <v>0</v>
      </c>
      <c r="BO56" s="32">
        <f>AH$46</f>
        <v>0</v>
      </c>
    </row>
    <row r="57" spans="1:67" x14ac:dyDescent="0.3">
      <c r="A57" s="18" t="s">
        <v>36</v>
      </c>
      <c r="B57" s="50"/>
      <c r="C57" s="50"/>
      <c r="D57" s="138"/>
      <c r="E57" s="53"/>
      <c r="F57" s="138"/>
      <c r="G57" s="53"/>
      <c r="H57" s="138"/>
      <c r="I57" s="138"/>
      <c r="BJ57">
        <f t="shared" si="14"/>
        <v>110</v>
      </c>
      <c r="BK57" t="str">
        <f t="shared" si="15"/>
        <v>Sow1_conv</v>
      </c>
      <c r="BL57" t="s">
        <v>127</v>
      </c>
      <c r="BM57">
        <f t="shared" si="23"/>
        <v>0</v>
      </c>
      <c r="BN57">
        <f>$AI$34</f>
        <v>0</v>
      </c>
      <c r="BO57" s="32">
        <f>AI$46</f>
        <v>0</v>
      </c>
    </row>
    <row r="58" spans="1:67" x14ac:dyDescent="0.3">
      <c r="A58" s="18" t="s">
        <v>37</v>
      </c>
      <c r="B58" s="50"/>
      <c r="C58" s="50"/>
      <c r="D58" s="138"/>
      <c r="E58" s="53"/>
      <c r="F58" s="138"/>
      <c r="G58" s="53"/>
      <c r="H58" s="138"/>
      <c r="I58" s="138"/>
      <c r="BJ58">
        <f t="shared" si="14"/>
        <v>110</v>
      </c>
      <c r="BK58" t="str">
        <f t="shared" si="15"/>
        <v>Sow1_conv</v>
      </c>
      <c r="BL58" t="s">
        <v>127</v>
      </c>
      <c r="BM58">
        <f t="shared" si="23"/>
        <v>0</v>
      </c>
      <c r="BN58">
        <f>$AJ$34</f>
        <v>0</v>
      </c>
      <c r="BO58" s="32">
        <f>AJ$46</f>
        <v>0</v>
      </c>
    </row>
    <row r="59" spans="1:67" x14ac:dyDescent="0.3">
      <c r="A59" s="18" t="s">
        <v>56</v>
      </c>
      <c r="B59" s="24"/>
      <c r="D59" s="32"/>
      <c r="F59" s="32"/>
      <c r="H59" s="138"/>
      <c r="I59" s="138"/>
      <c r="BJ59">
        <f t="shared" si="14"/>
        <v>110</v>
      </c>
      <c r="BK59" t="str">
        <f t="shared" si="15"/>
        <v>Sow1_conv</v>
      </c>
      <c r="BL59" t="s">
        <v>127</v>
      </c>
      <c r="BM59">
        <f t="shared" ref="BL59:BM62" si="24">$B$47</f>
        <v>0</v>
      </c>
      <c r="BN59">
        <f>$AG$34</f>
        <v>0</v>
      </c>
      <c r="BO59" s="32">
        <f>AG$47</f>
        <v>0</v>
      </c>
    </row>
    <row r="60" spans="1:67" x14ac:dyDescent="0.3">
      <c r="BJ60">
        <f t="shared" si="14"/>
        <v>110</v>
      </c>
      <c r="BK60" t="str">
        <f t="shared" si="15"/>
        <v>Sow1_conv</v>
      </c>
      <c r="BL60" t="s">
        <v>127</v>
      </c>
      <c r="BM60">
        <f t="shared" si="24"/>
        <v>0</v>
      </c>
      <c r="BN60" s="32">
        <f>$AH$34</f>
        <v>0</v>
      </c>
      <c r="BO60" s="32">
        <f>AH$47</f>
        <v>0</v>
      </c>
    </row>
    <row r="61" spans="1:67" ht="17.399999999999999" x14ac:dyDescent="0.3">
      <c r="A61" s="31" t="s">
        <v>104</v>
      </c>
      <c r="BJ61">
        <f t="shared" si="14"/>
        <v>110</v>
      </c>
      <c r="BK61" t="str">
        <f t="shared" si="15"/>
        <v>Sow1_conv</v>
      </c>
      <c r="BL61" t="s">
        <v>127</v>
      </c>
      <c r="BM61">
        <f t="shared" si="24"/>
        <v>0</v>
      </c>
      <c r="BN61">
        <f>$AI$34</f>
        <v>0</v>
      </c>
      <c r="BO61" s="32">
        <f>AI$47</f>
        <v>0</v>
      </c>
    </row>
    <row r="62" spans="1:67" x14ac:dyDescent="0.3">
      <c r="A62" s="21" t="s">
        <v>280</v>
      </c>
      <c r="B62" s="10" t="s">
        <v>101</v>
      </c>
      <c r="C62" s="10" t="s">
        <v>102</v>
      </c>
      <c r="D62" s="10" t="s">
        <v>103</v>
      </c>
      <c r="BI62">
        <f t="shared" si="14"/>
        <v>110</v>
      </c>
      <c r="BJ62" t="str">
        <f t="shared" si="15"/>
        <v>Sow1_conv</v>
      </c>
      <c r="BK62" t="s">
        <v>127</v>
      </c>
      <c r="BL62">
        <f t="shared" si="24"/>
        <v>0</v>
      </c>
      <c r="BM62">
        <f>$AJ$34</f>
        <v>0</v>
      </c>
      <c r="BN62" s="32">
        <f>AJ$47</f>
        <v>0</v>
      </c>
    </row>
    <row r="63" spans="1:67" x14ac:dyDescent="0.3">
      <c r="A63" s="18" t="s">
        <v>86</v>
      </c>
      <c r="B63" s="19">
        <v>540</v>
      </c>
      <c r="C63" s="11">
        <v>100</v>
      </c>
      <c r="D63" s="11"/>
      <c r="E63" t="s">
        <v>278</v>
      </c>
      <c r="BI63">
        <f t="shared" ref="BI63:BJ91" si="25">$BM$32</f>
        <v>110</v>
      </c>
      <c r="BJ63" t="str">
        <f t="shared" ref="BJ63:BK91" si="26">$BM$33</f>
        <v>Sow1_conv</v>
      </c>
      <c r="BK63" t="s">
        <v>127</v>
      </c>
      <c r="BL63">
        <f t="shared" ref="BL63:BM68" si="27">$B$48</f>
        <v>0</v>
      </c>
      <c r="BM63" s="64" t="str">
        <f>C48</f>
        <v>Kg</v>
      </c>
      <c r="BN63" s="32">
        <f>P48</f>
        <v>0</v>
      </c>
    </row>
    <row r="64" spans="1:67" x14ac:dyDescent="0.3">
      <c r="A64" s="18" t="s">
        <v>87</v>
      </c>
      <c r="B64" s="19"/>
      <c r="C64" s="11"/>
      <c r="D64" s="11"/>
      <c r="BI64">
        <f t="shared" si="25"/>
        <v>110</v>
      </c>
      <c r="BJ64" t="str">
        <f t="shared" si="26"/>
        <v>Sow1_conv</v>
      </c>
      <c r="BK64" t="s">
        <v>127</v>
      </c>
      <c r="BL64">
        <f t="shared" si="27"/>
        <v>0</v>
      </c>
      <c r="BM64" t="str">
        <f>$AF$34</f>
        <v/>
      </c>
      <c r="BN64" s="32" t="str">
        <f>AF$48</f>
        <v/>
      </c>
    </row>
    <row r="65" spans="1:67" x14ac:dyDescent="0.3">
      <c r="A65" s="156" t="s">
        <v>56</v>
      </c>
      <c r="B65" s="159">
        <f>SUM(B63:B64)</f>
        <v>540</v>
      </c>
      <c r="C65" s="159">
        <f>SUM(C63:C64)</f>
        <v>100</v>
      </c>
      <c r="D65" s="159">
        <f>SUM(D63:D64)</f>
        <v>0</v>
      </c>
      <c r="BJ65">
        <f t="shared" si="25"/>
        <v>110</v>
      </c>
      <c r="BK65" t="str">
        <f t="shared" si="26"/>
        <v>Sow1_conv</v>
      </c>
      <c r="BL65" t="s">
        <v>127</v>
      </c>
      <c r="BM65">
        <f t="shared" si="27"/>
        <v>0</v>
      </c>
      <c r="BN65">
        <f>$AG$34</f>
        <v>0</v>
      </c>
      <c r="BO65" s="32">
        <f>AG$48</f>
        <v>0</v>
      </c>
    </row>
    <row r="66" spans="1:67" ht="17.399999999999999" x14ac:dyDescent="0.3">
      <c r="P66" s="31" t="s">
        <v>266</v>
      </c>
      <c r="Q66" s="31"/>
      <c r="BJ66">
        <f t="shared" si="25"/>
        <v>110</v>
      </c>
      <c r="BK66" t="str">
        <f t="shared" si="26"/>
        <v>Sow1_conv</v>
      </c>
      <c r="BL66" t="s">
        <v>127</v>
      </c>
      <c r="BM66">
        <f t="shared" si="27"/>
        <v>0</v>
      </c>
      <c r="BN66" s="32">
        <f>$AH$34</f>
        <v>0</v>
      </c>
      <c r="BO66" s="32">
        <f>AH$48</f>
        <v>0</v>
      </c>
    </row>
    <row r="67" spans="1:67" x14ac:dyDescent="0.3">
      <c r="A67" s="21" t="s">
        <v>18</v>
      </c>
      <c r="B67" s="37" t="s">
        <v>69</v>
      </c>
      <c r="C67" s="17" t="s">
        <v>70</v>
      </c>
      <c r="D67" s="17" t="s">
        <v>74</v>
      </c>
      <c r="E67" s="17" t="s">
        <v>80</v>
      </c>
      <c r="F67" s="17" t="s">
        <v>227</v>
      </c>
      <c r="I67" s="42"/>
      <c r="K67" s="17" t="s">
        <v>82</v>
      </c>
      <c r="L67" s="17" t="s">
        <v>17</v>
      </c>
      <c r="P67" s="17" t="str">
        <f>Other_tables!L4</f>
        <v>Transportmiddel</v>
      </c>
      <c r="Q67" s="54"/>
      <c r="R67" s="17" t="s">
        <v>119</v>
      </c>
      <c r="S67" s="17" t="s">
        <v>83</v>
      </c>
      <c r="T67" s="17" t="s">
        <v>97</v>
      </c>
      <c r="BJ67">
        <f t="shared" si="25"/>
        <v>110</v>
      </c>
      <c r="BK67" t="str">
        <f t="shared" si="26"/>
        <v>Sow1_conv</v>
      </c>
      <c r="BL67" t="s">
        <v>127</v>
      </c>
      <c r="BM67">
        <f t="shared" si="27"/>
        <v>0</v>
      </c>
      <c r="BN67">
        <f>$AI$34</f>
        <v>0</v>
      </c>
      <c r="BO67" s="32">
        <f>AI$48</f>
        <v>0</v>
      </c>
    </row>
    <row r="68" spans="1:67" x14ac:dyDescent="0.3">
      <c r="A68" s="18" t="s">
        <v>44</v>
      </c>
      <c r="B68" s="38" t="s">
        <v>284</v>
      </c>
      <c r="C68" s="19">
        <v>168</v>
      </c>
      <c r="D68" s="11" t="s">
        <v>225</v>
      </c>
      <c r="E68" s="11" t="s">
        <v>81</v>
      </c>
      <c r="F68" s="5">
        <v>100</v>
      </c>
      <c r="G68" t="s">
        <v>686</v>
      </c>
      <c r="K68" s="49">
        <f t="shared" ref="K68:K72" si="28">IF(B68="",0,((((VLOOKUP(B68,$B$12:$D$18,3,FALSE))/1000)*C68)/(VLOOKUP(B68,$B$12:$R$18,17,FALSE)/1000))*(F68/100))</f>
        <v>12.83039787121985</v>
      </c>
      <c r="L68" s="49">
        <f>IF(E68="Diesel",VLOOKUP(D68,Other_tables!$L$5:$O$13,2,FALSE)*K68,0)</f>
        <v>0</v>
      </c>
      <c r="P68" s="30" t="str">
        <f>Other_tables!L5</f>
        <v>Traktor</v>
      </c>
      <c r="Q68" s="44"/>
      <c r="R68" s="159">
        <f t="shared" ref="R68:R76" si="29">SUMPRODUCT(($D$68:$D$81=P68)*$L$68:$L$81)</f>
        <v>0.58553027517910994</v>
      </c>
      <c r="S68" s="49">
        <f t="shared" ref="S68:S76" si="30">IF(P68="","0",SUMPRODUCT(($D$68:$D$81=P68)*$K$68:$K$81))</f>
        <v>2.9276513758955494</v>
      </c>
      <c r="T68" s="49">
        <f>IF(R68&gt;0,0,(S68*VLOOKUP(P68,Other_tables!$L$5:$O$13,2,FALSE))/1000)</f>
        <v>0</v>
      </c>
      <c r="U68" s="95"/>
      <c r="BJ68">
        <f t="shared" si="25"/>
        <v>110</v>
      </c>
      <c r="BK68" t="str">
        <f t="shared" si="26"/>
        <v>Sow1_conv</v>
      </c>
      <c r="BL68" t="s">
        <v>127</v>
      </c>
      <c r="BM68">
        <f t="shared" si="27"/>
        <v>0</v>
      </c>
      <c r="BN68">
        <f>$AJ$34</f>
        <v>0</v>
      </c>
      <c r="BO68" s="32">
        <f>AJ$48</f>
        <v>0</v>
      </c>
    </row>
    <row r="69" spans="1:67" x14ac:dyDescent="0.3">
      <c r="A69" s="18" t="s">
        <v>45</v>
      </c>
      <c r="B69" s="38"/>
      <c r="C69" s="19"/>
      <c r="D69" s="11"/>
      <c r="E69" s="11"/>
      <c r="F69" s="5"/>
      <c r="K69" s="49">
        <f t="shared" si="28"/>
        <v>0</v>
      </c>
      <c r="L69" s="49">
        <f>IF(E69="Diesel",VLOOKUP(D69,Other_tables!$L$5:$O$13,2,FALSE)*K69,0)</f>
        <v>0</v>
      </c>
      <c r="P69" s="30" t="str">
        <f>Other_tables!L6</f>
        <v>Lastbil &gt; 20 T</v>
      </c>
      <c r="Q69" s="44"/>
      <c r="R69" s="159">
        <f t="shared" si="29"/>
        <v>0</v>
      </c>
      <c r="S69" s="49">
        <f t="shared" si="30"/>
        <v>41.486850011019655</v>
      </c>
      <c r="T69" s="49">
        <f>IF(R69&gt;0,0,(S69*VLOOKUP(P69,Other_tables!$L$5:$O$13,2,FALSE))/1000)</f>
        <v>4.1486850011019651</v>
      </c>
      <c r="U69" s="95"/>
      <c r="BJ69">
        <f t="shared" si="25"/>
        <v>110</v>
      </c>
      <c r="BK69" t="str">
        <f t="shared" si="26"/>
        <v>Sow1_conv</v>
      </c>
      <c r="BL69" t="s">
        <v>127</v>
      </c>
      <c r="BM69">
        <f t="shared" ref="BM69:BM74" si="31">$B$49</f>
        <v>0</v>
      </c>
      <c r="BN69" s="64" t="str">
        <f>C49</f>
        <v>Kg</v>
      </c>
      <c r="BO69" s="32">
        <f>P49</f>
        <v>0</v>
      </c>
    </row>
    <row r="70" spans="1:67" x14ac:dyDescent="0.3">
      <c r="A70" s="18" t="s">
        <v>46</v>
      </c>
      <c r="B70" s="38" t="s">
        <v>285</v>
      </c>
      <c r="C70" s="19">
        <v>168</v>
      </c>
      <c r="D70" s="11" t="s">
        <v>225</v>
      </c>
      <c r="E70" s="11" t="s">
        <v>81</v>
      </c>
      <c r="F70" s="5">
        <v>100</v>
      </c>
      <c r="G70" t="s">
        <v>230</v>
      </c>
      <c r="K70" s="49">
        <f t="shared" si="28"/>
        <v>28.656452139799804</v>
      </c>
      <c r="L70" s="49">
        <f>IF(E70="Diesel",VLOOKUP(D70,Other_tables!$L$5:$O$13,2,FALSE)*K70,0)</f>
        <v>0</v>
      </c>
      <c r="P70" s="30" t="str">
        <f>Other_tables!L7</f>
        <v>Lastbil 10-20 T</v>
      </c>
      <c r="Q70" s="44"/>
      <c r="R70" s="159">
        <f t="shared" si="29"/>
        <v>0</v>
      </c>
      <c r="S70" s="49">
        <f t="shared" si="30"/>
        <v>77.875526598821594</v>
      </c>
      <c r="T70" s="49">
        <f>IF(R70&gt;0,0,(S70*VLOOKUP(P70,Other_tables!$L$5:$O$13,2,FALSE))/1000)</f>
        <v>19.780383756100683</v>
      </c>
      <c r="BJ70">
        <f t="shared" si="25"/>
        <v>110</v>
      </c>
      <c r="BK70" t="str">
        <f t="shared" si="26"/>
        <v>Sow1_conv</v>
      </c>
      <c r="BL70" t="s">
        <v>127</v>
      </c>
      <c r="BM70">
        <f t="shared" si="31"/>
        <v>0</v>
      </c>
      <c r="BN70" t="str">
        <f>$AF$34</f>
        <v/>
      </c>
      <c r="BO70" s="32" t="str">
        <f>AF$49</f>
        <v/>
      </c>
    </row>
    <row r="71" spans="1:67" x14ac:dyDescent="0.3">
      <c r="A71" s="18" t="s">
        <v>47</v>
      </c>
      <c r="B71" s="38" t="s">
        <v>408</v>
      </c>
      <c r="C71" s="19">
        <v>133</v>
      </c>
      <c r="D71" s="11" t="s">
        <v>226</v>
      </c>
      <c r="E71" s="11" t="s">
        <v>81</v>
      </c>
      <c r="F71" s="5">
        <v>50</v>
      </c>
      <c r="G71" t="s">
        <v>685</v>
      </c>
      <c r="K71" s="49">
        <f t="shared" si="28"/>
        <v>77.875526598821594</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110</v>
      </c>
      <c r="BK71" t="str">
        <f t="shared" si="26"/>
        <v>Sow1_conv</v>
      </c>
      <c r="BL71" t="s">
        <v>127</v>
      </c>
      <c r="BM71">
        <f t="shared" si="31"/>
        <v>0</v>
      </c>
      <c r="BN71">
        <f>$AG$34</f>
        <v>0</v>
      </c>
      <c r="BO71" s="32">
        <f>AG$49</f>
        <v>0</v>
      </c>
    </row>
    <row r="72" spans="1:67" x14ac:dyDescent="0.3">
      <c r="A72" s="18" t="s">
        <v>67</v>
      </c>
      <c r="B72" s="38" t="s">
        <v>408</v>
      </c>
      <c r="C72" s="19">
        <v>5</v>
      </c>
      <c r="D72" s="11" t="s">
        <v>229</v>
      </c>
      <c r="E72" s="11" t="s">
        <v>17</v>
      </c>
      <c r="F72" s="5">
        <v>50</v>
      </c>
      <c r="K72" s="49">
        <f t="shared" si="28"/>
        <v>2.9276513758955494</v>
      </c>
      <c r="L72" s="49">
        <f>IF(E72="Diesel",VLOOKUP(D72,Other_tables!$L$5:$O$13,2,FALSE)*K72,0)</f>
        <v>0.58553027517910994</v>
      </c>
      <c r="P72" s="30" t="str">
        <f>Other_tables!L9</f>
        <v>Fragttog Europa</v>
      </c>
      <c r="Q72" s="44"/>
      <c r="R72" s="159">
        <f t="shared" si="29"/>
        <v>0</v>
      </c>
      <c r="S72" s="49">
        <f t="shared" si="30"/>
        <v>0</v>
      </c>
      <c r="T72" s="49">
        <f>IF(R72&gt;0,0,(S72*VLOOKUP(P72,Other_tables!$L$5:$O$13,2,FALSE))/1000)</f>
        <v>0</v>
      </c>
      <c r="BJ72">
        <f t="shared" si="25"/>
        <v>110</v>
      </c>
      <c r="BK72" t="str">
        <f t="shared" si="26"/>
        <v>Sow1_conv</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110</v>
      </c>
      <c r="BK73" t="str">
        <f t="shared" si="26"/>
        <v>Sow1_conv</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110</v>
      </c>
      <c r="BK74" t="str">
        <f t="shared" si="26"/>
        <v>Sow1_conv</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110</v>
      </c>
      <c r="BK75" t="str">
        <f t="shared" si="26"/>
        <v>Sow1_conv</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110</v>
      </c>
      <c r="BK76" t="str">
        <f t="shared" si="26"/>
        <v>Sow1_conv</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0.58553027517910994</v>
      </c>
      <c r="S77" s="57"/>
      <c r="T77" s="58">
        <f>SUM(T68:T76)</f>
        <v>23.92906875720265</v>
      </c>
      <c r="BJ77">
        <f t="shared" si="25"/>
        <v>110</v>
      </c>
      <c r="BK77" t="str">
        <f t="shared" si="26"/>
        <v>Sow1_conv</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110</v>
      </c>
      <c r="BK78" t="str">
        <f t="shared" si="26"/>
        <v>Sow1_conv</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110</v>
      </c>
      <c r="BK79" t="str">
        <f t="shared" si="26"/>
        <v>Sow1_conv</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110</v>
      </c>
      <c r="BK80" t="str">
        <f t="shared" si="26"/>
        <v>Sow1_conv</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110</v>
      </c>
      <c r="BK81" t="str">
        <f t="shared" si="26"/>
        <v>Sow1_conv</v>
      </c>
      <c r="BL81" t="s">
        <v>118</v>
      </c>
      <c r="BM81" t="s">
        <v>118</v>
      </c>
      <c r="BN81">
        <f>I53</f>
        <v>0</v>
      </c>
      <c r="BO81" s="47">
        <f>I59</f>
        <v>0</v>
      </c>
    </row>
    <row r="82" spans="1:67" ht="17.399999999999999" x14ac:dyDescent="0.3">
      <c r="A82" s="25"/>
      <c r="B82" s="25"/>
      <c r="C82" s="24"/>
      <c r="D82" s="24"/>
      <c r="P82" s="31" t="s">
        <v>95</v>
      </c>
      <c r="Q82" s="55"/>
      <c r="BJ82">
        <f t="shared" si="25"/>
        <v>110</v>
      </c>
      <c r="BK82" t="str">
        <f t="shared" si="26"/>
        <v>Sow1_conv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110</v>
      </c>
      <c r="BK83" t="str">
        <f t="shared" si="26"/>
        <v>Sow1_conv</v>
      </c>
      <c r="BL83" t="str">
        <f>$A$67</f>
        <v>Transport</v>
      </c>
      <c r="BM83" t="str">
        <f>BL83</f>
        <v>Transport</v>
      </c>
      <c r="BN83" t="str">
        <f>R67</f>
        <v>Diesel (L)</v>
      </c>
      <c r="BO83" s="47">
        <f>R77</f>
        <v>0.58553027517910994</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21.395555555555553</v>
      </c>
      <c r="S84" s="49">
        <f>IF(E84="",0,VLOOKUP(P84,$B$12:$D$18,3,FALSE)*E84)</f>
        <v>2.8281481481481481</v>
      </c>
      <c r="BJ84">
        <f t="shared" si="25"/>
        <v>110</v>
      </c>
      <c r="BK84" t="str">
        <f t="shared" si="26"/>
        <v>Sow1_conv</v>
      </c>
      <c r="BL84" t="str">
        <f>$A$67</f>
        <v>Transport</v>
      </c>
      <c r="BM84" t="str">
        <f>BL84</f>
        <v>Transport</v>
      </c>
      <c r="BN84" t="str">
        <f>T67</f>
        <v>kg CO₂eq for T/km</v>
      </c>
      <c r="BO84" s="47">
        <f>T77</f>
        <v>23.92906875720265</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110</v>
      </c>
      <c r="BK85" t="str">
        <f t="shared" si="26"/>
        <v>Sow1_conv</v>
      </c>
      <c r="BL85" t="s">
        <v>120</v>
      </c>
      <c r="BM85" t="s">
        <v>120</v>
      </c>
      <c r="BN85" t="str">
        <f>R83</f>
        <v>EL (KWh)</v>
      </c>
      <c r="BO85" s="47">
        <f>R93</f>
        <v>21.395555555555553</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110</v>
      </c>
      <c r="BK86" t="str">
        <f t="shared" si="26"/>
        <v>Sow1_conv</v>
      </c>
      <c r="BL86" t="s">
        <v>120</v>
      </c>
      <c r="BM86" t="s">
        <v>120</v>
      </c>
      <c r="BN86" t="str">
        <f>S83</f>
        <v>Diesel (L)</v>
      </c>
      <c r="BO86" s="47">
        <f>S93</f>
        <v>2.8281481481481481</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110</v>
      </c>
      <c r="BK87" t="str">
        <f t="shared" si="26"/>
        <v>Sow1_conv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110</v>
      </c>
      <c r="BK88" t="str">
        <f t="shared" si="26"/>
        <v>Sow1_conv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110</v>
      </c>
      <c r="BK89" t="str">
        <f t="shared" si="26"/>
        <v>Sow1_conv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110</v>
      </c>
      <c r="BK90" t="str">
        <f t="shared" si="26"/>
        <v>Sow1_conv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110</v>
      </c>
      <c r="BK91" t="str">
        <f t="shared" si="26"/>
        <v>Sow1_conv</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21.395555555555553</v>
      </c>
      <c r="S93" s="58">
        <f>SUM(S84:S92)</f>
        <v>2.8281481481481481</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302</v>
      </c>
      <c r="B122" s="158"/>
      <c r="C122" s="248">
        <v>40.807956818066714</v>
      </c>
      <c r="D122" s="6"/>
      <c r="E122" s="165">
        <v>0</v>
      </c>
      <c r="F122" s="164">
        <f>VLOOKUP(A122,'Stable systems'!$A$4:$AK$105,35,FALSE)</f>
        <v>0</v>
      </c>
      <c r="G122" s="164">
        <f>VLOOKUP(A122,'Stable systems'!$A$4:$AK$105,36,FALSE)</f>
        <v>0</v>
      </c>
      <c r="H122" s="164">
        <f>VLOOKUP(A122,'Stable systems'!$A$4:$AK$105,37,FALSE)</f>
        <v>0</v>
      </c>
      <c r="I122" t="s">
        <v>320</v>
      </c>
      <c r="M122" s="173">
        <f>(C122/100)*E122</f>
        <v>0</v>
      </c>
    </row>
    <row r="123" spans="1:13" x14ac:dyDescent="0.3">
      <c r="A123" s="158" t="s">
        <v>304</v>
      </c>
      <c r="B123" s="158"/>
      <c r="C123" s="248">
        <v>4.1322810832100689</v>
      </c>
      <c r="D123" s="6" t="s">
        <v>409</v>
      </c>
      <c r="E123" s="165">
        <v>297.5</v>
      </c>
      <c r="F123" s="164">
        <f>VLOOKUP(A123,'Stable systems'!$A$4:$AK$105,35,FALSE)</f>
        <v>0</v>
      </c>
      <c r="G123" s="164">
        <f>VLOOKUP(A123,'Stable systems'!$A$4:$AK$105,36,FALSE)</f>
        <v>0</v>
      </c>
      <c r="H123" s="164">
        <f>VLOOKUP(A123,'Stable systems'!$A$4:$AK$105,37,FALSE)</f>
        <v>297.5</v>
      </c>
      <c r="M123" s="173">
        <f t="shared" ref="M123:M131" si="41">(C123/100)*E123</f>
        <v>12.293536222549955</v>
      </c>
    </row>
    <row r="124" spans="1:13" x14ac:dyDescent="0.3">
      <c r="A124" s="158" t="s">
        <v>305</v>
      </c>
      <c r="B124" s="158"/>
      <c r="C124" s="248">
        <v>0.39798005497831956</v>
      </c>
      <c r="D124" s="6" t="s">
        <v>409</v>
      </c>
      <c r="E124" s="165">
        <v>297.5</v>
      </c>
      <c r="F124" s="164">
        <f>VLOOKUP(A124,'Stable systems'!$A$4:$AK$105,35,FALSE)</f>
        <v>0</v>
      </c>
      <c r="G124" s="164">
        <f>VLOOKUP(A124,'Stable systems'!$A$4:$AK$105,36,FALSE)</f>
        <v>0</v>
      </c>
      <c r="H124" s="164">
        <f>VLOOKUP(A124,'Stable systems'!$A$4:$AK$105,37,FALSE)</f>
        <v>297.5</v>
      </c>
      <c r="M124" s="173">
        <f t="shared" si="41"/>
        <v>1.1839906635605009</v>
      </c>
    </row>
    <row r="125" spans="1:13" x14ac:dyDescent="0.3">
      <c r="A125" s="158" t="s">
        <v>306</v>
      </c>
      <c r="B125" s="158"/>
      <c r="C125" s="248">
        <v>2.1727843826932935</v>
      </c>
      <c r="D125" s="6" t="s">
        <v>409</v>
      </c>
      <c r="E125" s="165">
        <v>765</v>
      </c>
      <c r="F125" s="164">
        <f>VLOOKUP(A125,'Stable systems'!$A$4:$AK$105,35,FALSE)</f>
        <v>0</v>
      </c>
      <c r="G125" s="164">
        <f>VLOOKUP(A125,'Stable systems'!$A$4:$AK$105,36,FALSE)</f>
        <v>0</v>
      </c>
      <c r="H125" s="164">
        <f>VLOOKUP(A125,'Stable systems'!$A$4:$AK$105,37,FALSE)</f>
        <v>765</v>
      </c>
      <c r="M125" s="173">
        <f t="shared" si="41"/>
        <v>16.621800527603696</v>
      </c>
    </row>
    <row r="126" spans="1:13" x14ac:dyDescent="0.3">
      <c r="A126" s="158" t="s">
        <v>307</v>
      </c>
      <c r="B126" s="158"/>
      <c r="C126" s="248">
        <v>22.3239722891865</v>
      </c>
      <c r="D126" s="6" t="s">
        <v>409</v>
      </c>
      <c r="E126" s="165">
        <v>42.5</v>
      </c>
      <c r="F126" s="164">
        <f>VLOOKUP(A126,'Stable systems'!$A$4:$AK$105,35,FALSE)</f>
        <v>0</v>
      </c>
      <c r="G126" s="164">
        <f>VLOOKUP(A126,'Stable systems'!$A$4:$AK$105,36,FALSE)</f>
        <v>0</v>
      </c>
      <c r="H126" s="164">
        <f>VLOOKUP(A126,'Stable systems'!$A$4:$AK$105,37,FALSE)</f>
        <v>42.5</v>
      </c>
      <c r="M126" s="173">
        <f t="shared" si="41"/>
        <v>9.4876882229042625</v>
      </c>
    </row>
    <row r="127" spans="1:13" x14ac:dyDescent="0.3">
      <c r="A127" s="158" t="s">
        <v>303</v>
      </c>
      <c r="B127" s="158"/>
      <c r="C127" s="248">
        <v>0.16502537186510599</v>
      </c>
      <c r="D127" s="6" t="s">
        <v>409</v>
      </c>
      <c r="E127" s="165">
        <v>63.75</v>
      </c>
      <c r="F127" s="164">
        <f>VLOOKUP(A127,'Stable systems'!$A$4:$AK$105,35,FALSE)</f>
        <v>0</v>
      </c>
      <c r="G127" s="164">
        <f>VLOOKUP(A127,'Stable systems'!$A$4:$AK$105,36,FALSE)</f>
        <v>0</v>
      </c>
      <c r="H127" s="164">
        <f>VLOOKUP(A127,'Stable systems'!$A$4:$AK$105,37,FALSE)</f>
        <v>63.75</v>
      </c>
      <c r="M127" s="173">
        <f t="shared" si="41"/>
        <v>0.10520367456400506</v>
      </c>
    </row>
    <row r="128" spans="1:13" x14ac:dyDescent="0.3">
      <c r="A128" s="158" t="s">
        <v>308</v>
      </c>
      <c r="B128" s="158"/>
      <c r="C128" s="248">
        <v>25.209617075732634</v>
      </c>
      <c r="D128" s="6"/>
      <c r="E128" s="165"/>
      <c r="F128" s="164">
        <f>VLOOKUP(A128,'Stable systems'!$A$4:$AK$105,35,FALSE)</f>
        <v>0</v>
      </c>
      <c r="G128" s="164">
        <f>VLOOKUP(A128,'Stable systems'!$A$4:$AK$105,36,FALSE)</f>
        <v>0</v>
      </c>
      <c r="H128" s="164">
        <f>VLOOKUP(A128,'Stable systems'!$A$4:$AK$105,37,FALSE)</f>
        <v>0</v>
      </c>
      <c r="M128" s="173">
        <f t="shared" si="41"/>
        <v>0</v>
      </c>
    </row>
    <row r="129" spans="1:16" x14ac:dyDescent="0.3">
      <c r="A129" s="158" t="s">
        <v>309</v>
      </c>
      <c r="B129" s="158"/>
      <c r="C129" s="248">
        <v>4.608390880982931</v>
      </c>
      <c r="D129" s="6"/>
      <c r="E129" s="165"/>
      <c r="F129" s="164">
        <f>VLOOKUP(A129,'Stable systems'!$A$4:$AK$105,35,FALSE)</f>
        <v>0</v>
      </c>
      <c r="G129" s="164">
        <f>VLOOKUP(A129,'Stable systems'!$A$4:$AK$105,36,FALSE)</f>
        <v>0</v>
      </c>
      <c r="H129" s="164">
        <f>VLOOKUP(A129,'Stable systems'!$A$4:$AK$105,37,FALSE)</f>
        <v>0</v>
      </c>
      <c r="M129" s="173">
        <f t="shared" si="41"/>
        <v>0</v>
      </c>
    </row>
    <row r="130" spans="1:16" x14ac:dyDescent="0.3">
      <c r="A130" s="158" t="s">
        <v>310</v>
      </c>
      <c r="B130" s="158"/>
      <c r="C130" s="248">
        <v>0.18199204328443391</v>
      </c>
      <c r="D130" s="6"/>
      <c r="E130" s="165"/>
      <c r="F130" s="164">
        <f>VLOOKUP(A130,'Stable systems'!$A$4:$AK$105,35,FALSE)</f>
        <v>0</v>
      </c>
      <c r="G130" s="164">
        <f>VLOOKUP(A130,'Stable systems'!$A$4:$AK$105,36,FALSE)</f>
        <v>0</v>
      </c>
      <c r="H130" s="164">
        <f>VLOOKUP(A130,'Stable systems'!$A$4:$AK$105,37,FALSE)</f>
        <v>0</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100.00000000000001</v>
      </c>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39.692219311182413</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0.23346875801593908</v>
      </c>
      <c r="L146" s="49">
        <f>IF(E146="Diesel",VLOOKUP(D146,Other_tables!$L$5:$O$13,2,FALSE)*K146,0)</f>
        <v>4.6693751603187818E-2</v>
      </c>
      <c r="P146" s="30" t="str">
        <f>Other_tables!L5</f>
        <v>Traktor</v>
      </c>
      <c r="Q146" s="44"/>
      <c r="R146" s="103">
        <f t="shared" ref="R146:R154" si="44">SUMPRODUCT(($D$146:$D$149=P146)*$L$146:$L$149)</f>
        <v>4.6693751603187818E-2</v>
      </c>
      <c r="S146" s="114">
        <f t="shared" ref="S146:S154" si="45">IF(P146="","0",SUMPRODUCT(($D$146:$D$149=P146)*$K$146:$K$149))</f>
        <v>0.23346875801593908</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4.6693751603187818E-2</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2.3510303932205066E-2</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9.4041215728820265E-2</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2.3510303932205066E-2</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0.14106182359323041</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cm="1">
        <f t="array" ref="R171">SUMPRODUCT(($P$68:$P$76=P171)*$R$68:$R$76)+SUMPRODUCT(($P$146:$P$154=P171)*$R$146:$R$154)</f>
        <v>0.63222402678229772</v>
      </c>
      <c r="S171" s="179"/>
      <c r="T171" s="103">
        <f t="shared" ref="T171:T179" si="46">SUMPRODUCT(($P$68:$P$76=P171)*$T$68:$T$76)+SUMPRODUCT(($P$146:$P$154=P171)*$T$146:$T$154)</f>
        <v>0</v>
      </c>
    </row>
    <row r="172" spans="1:20" x14ac:dyDescent="0.3">
      <c r="A172" s="25"/>
      <c r="B172" s="138"/>
      <c r="C172" s="138"/>
      <c r="P172" s="30" t="s">
        <v>225</v>
      </c>
      <c r="Q172" s="44"/>
      <c r="R172" s="103">
        <f t="shared" ref="R172:R179" si="47">SUMPRODUCT(($P$68:$P$76=P172)*$R$68:$R$76)+SUMPRODUCT(($P$146:$P$154=P172)*$R$146:$R$154)</f>
        <v>0</v>
      </c>
      <c r="S172" s="179"/>
      <c r="T172" s="103">
        <f t="shared" si="46"/>
        <v>4.1486850011019651</v>
      </c>
    </row>
    <row r="173" spans="1:20" x14ac:dyDescent="0.3">
      <c r="A173" s="25"/>
      <c r="B173" s="138"/>
      <c r="C173" s="138"/>
      <c r="P173" s="30" t="s">
        <v>226</v>
      </c>
      <c r="Q173" s="44"/>
      <c r="R173" s="103">
        <f t="shared" si="47"/>
        <v>0</v>
      </c>
      <c r="S173" s="179"/>
      <c r="T173" s="103">
        <f t="shared" si="46"/>
        <v>19.780383756100683</v>
      </c>
    </row>
    <row r="174" spans="1:20" x14ac:dyDescent="0.3">
      <c r="A174" s="25"/>
      <c r="B174" s="138"/>
      <c r="C174" s="138"/>
      <c r="P174" s="30" t="s">
        <v>267</v>
      </c>
      <c r="Q174" s="44"/>
      <c r="R174" s="103">
        <f t="shared" si="47"/>
        <v>0</v>
      </c>
      <c r="S174" s="179"/>
      <c r="T174" s="103">
        <f t="shared" si="46"/>
        <v>0</v>
      </c>
    </row>
    <row r="175" spans="1:20" x14ac:dyDescent="0.3">
      <c r="A175" s="25"/>
      <c r="B175" s="24"/>
      <c r="P175" s="30" t="s">
        <v>268</v>
      </c>
      <c r="Q175" s="44"/>
      <c r="R175" s="103">
        <f t="shared" si="47"/>
        <v>0</v>
      </c>
      <c r="S175" s="179"/>
      <c r="T175" s="103">
        <f t="shared" si="46"/>
        <v>0</v>
      </c>
    </row>
    <row r="176" spans="1:20" x14ac:dyDescent="0.3">
      <c r="G176" s="181" t="s">
        <v>101</v>
      </c>
      <c r="H176" s="181" t="s">
        <v>102</v>
      </c>
      <c r="I176" s="181" t="s">
        <v>103</v>
      </c>
      <c r="J176" s="182" t="s">
        <v>129</v>
      </c>
      <c r="P176" s="30" t="s">
        <v>269</v>
      </c>
      <c r="Q176" s="44"/>
      <c r="R176" s="103">
        <f t="shared" si="47"/>
        <v>0</v>
      </c>
      <c r="S176" s="179"/>
      <c r="T176" s="103">
        <f t="shared" si="46"/>
        <v>0</v>
      </c>
    </row>
    <row r="177" spans="6:20" x14ac:dyDescent="0.3">
      <c r="F177" s="183" t="s">
        <v>279</v>
      </c>
      <c r="G177" s="81">
        <f>B65+R106+C156</f>
        <v>540</v>
      </c>
      <c r="H177" s="81">
        <f>AC31+C65+R93+S106+D118+D156+D168</f>
        <v>121.39555555555555</v>
      </c>
      <c r="I177" s="81">
        <f>AB31+R77+D65+S93+T106+E118+R155+E156+E168</f>
        <v>3.6014339985236767</v>
      </c>
      <c r="J177" s="114">
        <f>AD31+T77+T155</f>
        <v>23.92906875720265</v>
      </c>
      <c r="P177" s="30" t="s">
        <v>270</v>
      </c>
      <c r="Q177" s="44"/>
      <c r="R177" s="103">
        <f t="shared" si="47"/>
        <v>0</v>
      </c>
      <c r="S177" s="179"/>
      <c r="T177" s="103">
        <f t="shared" si="46"/>
        <v>0</v>
      </c>
    </row>
    <row r="178" spans="6:20" x14ac:dyDescent="0.3">
      <c r="P178" s="30" t="s">
        <v>271</v>
      </c>
      <c r="Q178" s="44"/>
      <c r="R178" s="103">
        <f t="shared" si="47"/>
        <v>0</v>
      </c>
      <c r="S178" s="179"/>
      <c r="T178" s="103">
        <f t="shared" si="46"/>
        <v>0</v>
      </c>
    </row>
    <row r="179" spans="6:20" x14ac:dyDescent="0.3">
      <c r="P179" s="30">
        <v>0</v>
      </c>
      <c r="Q179" s="44"/>
      <c r="R179" s="103">
        <f t="shared" si="47"/>
        <v>0</v>
      </c>
      <c r="S179" s="179"/>
      <c r="T179" s="103">
        <f t="shared" si="46"/>
        <v>0</v>
      </c>
    </row>
    <row r="180" spans="6:20" x14ac:dyDescent="0.3">
      <c r="P180" s="59" t="s">
        <v>56</v>
      </c>
      <c r="R180" s="178">
        <f>SUM(R171:R179)</f>
        <v>0.63222402678229772</v>
      </c>
      <c r="S180" s="47"/>
      <c r="T180" s="178">
        <f>SUM(T171:T179)</f>
        <v>23.92906875720265</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09:B117 B84:B92 B68:B81" xr:uid="{00000000-0002-0000-0B00-000000000000}">
      <formula1>$AF$3:$AF$51</formula1>
    </dataValidation>
    <dataValidation type="list" allowBlank="1" showInputMessage="1" showErrorMessage="1" sqref="B97:B105 B82 B144:B145" xr:uid="{00000000-0002-0000-0B00-000001000000}">
      <formula1>$B$24:$B$30</formula1>
    </dataValidation>
    <dataValidation type="list" allowBlank="1" showInputMessage="1" showErrorMessage="1" sqref="B146:B149 B152:B155 B159:B167" xr:uid="{00000000-0002-0000-0B00-000002000000}">
      <formula1>$B$140:$B$143</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B00-000003000000}">
          <x14:formula1>
            <xm:f>'Imported products'!$B$5:$B$54</xm:f>
          </x14:formula1>
          <xm:sqref>F12:F18 B17:B18 G24:G30</xm:sqref>
        </x14:dataValidation>
        <x14:dataValidation type="list" allowBlank="1" showInputMessage="1" showErrorMessage="1" xr:uid="{00000000-0002-0000-0B00-000004000000}">
          <x14:formula1>
            <xm:f>Converted_feedstuff!$C$5:$C$54</xm:f>
          </x14:formula1>
          <xm:sqref>B24:B30 E24:E30</xm:sqref>
        </x14:dataValidation>
        <x14:dataValidation type="list" allowBlank="1" showInputMessage="1" showErrorMessage="1" xr:uid="{00000000-0002-0000-0B00-000005000000}">
          <x14:formula1>
            <xm:f>Other_tables!$G$5:$G$12</xm:f>
          </x14:formula1>
          <xm:sqref>C54:C58 C172:C174</xm:sqref>
        </x14:dataValidation>
        <x14:dataValidation type="list" allowBlank="1" showInputMessage="1" showErrorMessage="1" xr:uid="{00000000-0002-0000-0B00-000006000000}">
          <x14:formula1>
            <xm:f>'Diesel consumption for field op'!$B$4:$B$78</xm:f>
          </x14:formula1>
          <xm:sqref>C109:C117 C159:C167</xm:sqref>
        </x14:dataValidation>
        <x14:dataValidation type="list" allowBlank="1" showInputMessage="1" showErrorMessage="1" xr:uid="{00000000-0002-0000-0B00-000007000000}">
          <x14:formula1>
            <xm:f>Other_tables!$S$5:$S$22</xm:f>
          </x14:formula1>
          <xm:sqref>C84:C92</xm:sqref>
        </x14:dataValidation>
        <x14:dataValidation type="list" allowBlank="1" showInputMessage="1" showErrorMessage="1" xr:uid="{00000000-0002-0000-0B00-000008000000}">
          <x14:formula1>
            <xm:f>'Processed products'!$B$5:$B$104</xm:f>
          </x14:formula1>
          <xm:sqref>B35:B42 L35:M37</xm:sqref>
        </x14:dataValidation>
        <x14:dataValidation type="list" allowBlank="1" showInputMessage="1" showErrorMessage="1" xr:uid="{00000000-0002-0000-0B00-000009000000}">
          <x14:formula1>
            <xm:f>Other_tables!$A$5:$A$50</xm:f>
          </x14:formula1>
          <xm:sqref>C19 C33</xm:sqref>
        </x14:dataValidation>
        <x14:dataValidation type="list" allowBlank="1" showInputMessage="1" showErrorMessage="1" xr:uid="{00000000-0002-0000-0B00-00000A000000}">
          <x14:formula1>
            <xm:f>Biomass_pool_output_Tech1_modul!$A$3:$A$100</xm:f>
          </x14:formula1>
          <xm:sqref>B12:B16 B140:B143 D122:D135 E12:E18 F24:F30</xm:sqref>
        </x14:dataValidation>
        <x14:dataValidation type="list" allowBlank="1" showInputMessage="1" showErrorMessage="1" xr:uid="{00000000-0002-0000-0B00-00000C000000}">
          <x14:formula1>
            <xm:f>Other_tables!$L$5:$L$13</xm:f>
          </x14:formula1>
          <xm:sqref>D146:D149 D68:D82</xm:sqref>
        </x14:dataValidation>
        <x14:dataValidation type="list" allowBlank="1" showInputMessage="1" showErrorMessage="1" xr:uid="{00000000-0002-0000-0B00-00000D000000}">
          <x14:formula1>
            <xm:f>Other_tables!$Q$5:$Q$6</xm:f>
          </x14:formula1>
          <xm:sqref>E146:E149 E68:E82</xm:sqref>
        </x14:dataValidation>
        <x14:dataValidation type="list" allowBlank="1" showInputMessage="1" showErrorMessage="1" xr:uid="{00000000-0002-0000-0B00-00000E000000}">
          <x14:formula1>
            <xm:f>'Respiration and enteric gas los'!$A$4:$A$35</xm:f>
          </x14:formula1>
          <xm:sqref>B54</xm:sqref>
        </x14:dataValidation>
        <x14:dataValidation type="list" allowBlank="1" showInputMessage="1" showErrorMessage="1" xr:uid="{00000000-0002-0000-0B00-00000F000000}">
          <x14:formula1>
            <xm:f>'Respiration and enteric gas los'!$M$4:$M$35</xm:f>
          </x14:formula1>
          <xm:sqref>B55</xm:sqref>
        </x14:dataValidation>
        <x14:dataValidation type="list" allowBlank="1" showInputMessage="1" showErrorMessage="1" xr:uid="{00000000-0002-0000-0B00-000011000000}">
          <x14:formula1>
            <xm:f>'Processed products'!$C$5:$C$104</xm:f>
          </x14:formula1>
          <xm:sqref>D4</xm:sqref>
        </x14:dataValidation>
        <x14:dataValidation type="list" allowBlank="1" showInputMessage="1" showErrorMessage="1" xr:uid="{00000000-0002-0000-0B00-000012000000}">
          <x14:formula1>
            <xm:f>'Processed products'!$AJ$5:$AJ$104</xm:f>
          </x14:formula1>
          <xm:sqref>A136</xm:sqref>
        </x14:dataValidation>
        <x14:dataValidation type="list" allowBlank="1" showInputMessage="1" showErrorMessage="1" xr:uid="{D28248E4-EC04-4DAB-A760-6AACB267A459}">
          <x14:formula1>
            <xm:f>'Processed products'!$AJ$5:$AJ$250</xm:f>
          </x14:formula1>
          <xm:sqref>B45:B49</xm:sqref>
        </x14:dataValidation>
        <x14:dataValidation type="list" allowBlank="1" showInputMessage="1" showErrorMessage="1" xr:uid="{00000000-0002-0000-0B00-000010000000}">
          <x14:formula1>
            <xm:f>'Stable systems'!$A$4:$A$105</xm:f>
          </x14:formula1>
          <xm:sqref>A122:A134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CED89-DF9E-4CB7-8C76-D6A98D28C6C8}">
  <sheetPr>
    <tabColor theme="9" tint="0.59999389629810485"/>
  </sheetPr>
  <dimension ref="A1:BO223"/>
  <sheetViews>
    <sheetView workbookViewId="0">
      <selection activeCell="E141" sqref="E141"/>
    </sheetView>
  </sheetViews>
  <sheetFormatPr defaultRowHeight="14.4" x14ac:dyDescent="0.3"/>
  <cols>
    <col min="1" max="1" width="57.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Protein_1_org</v>
      </c>
    </row>
    <row r="4" spans="1:36" x14ac:dyDescent="0.3">
      <c r="A4" s="15" t="s">
        <v>31</v>
      </c>
      <c r="B4" s="299">
        <v>131</v>
      </c>
      <c r="C4" s="299"/>
      <c r="D4" s="5" t="s">
        <v>737</v>
      </c>
      <c r="F4" s="150" t="s">
        <v>223</v>
      </c>
      <c r="G4" s="149">
        <v>17.600000000000001</v>
      </c>
      <c r="I4" s="302" t="s">
        <v>158</v>
      </c>
      <c r="J4" s="303"/>
      <c r="K4" s="128"/>
      <c r="L4" s="134" t="s">
        <v>207</v>
      </c>
      <c r="AF4" s="144" t="str">
        <f t="shared" ref="AF4:AF9" si="0">IF(B13="","",B13)</f>
        <v/>
      </c>
    </row>
    <row r="5" spans="1:36" x14ac:dyDescent="0.3">
      <c r="A5" s="15" t="s">
        <v>32</v>
      </c>
      <c r="B5" s="299" t="s">
        <v>735</v>
      </c>
      <c r="C5" s="299"/>
      <c r="D5" s="17" t="s">
        <v>627</v>
      </c>
      <c r="E5" t="s">
        <v>186</v>
      </c>
      <c r="F5" s="150" t="s">
        <v>224</v>
      </c>
      <c r="G5" s="149">
        <v>18.600000000000001</v>
      </c>
      <c r="I5" s="86" t="s">
        <v>159</v>
      </c>
      <c r="J5" s="5"/>
      <c r="L5" s="90">
        <v>3.14</v>
      </c>
      <c r="AF5" s="144" t="str">
        <f t="shared" si="0"/>
        <v/>
      </c>
    </row>
    <row r="6" spans="1:36" x14ac:dyDescent="0.3">
      <c r="A6" s="15" t="s">
        <v>3</v>
      </c>
      <c r="B6" s="299" t="s">
        <v>736</v>
      </c>
      <c r="C6" s="299"/>
      <c r="D6" s="5">
        <v>1.026</v>
      </c>
      <c r="F6" s="151" t="s">
        <v>147</v>
      </c>
      <c r="G6" s="88">
        <f>(Y32/D32)*100</f>
        <v>28.997266514078845</v>
      </c>
      <c r="I6" s="86" t="s">
        <v>160</v>
      </c>
      <c r="J6" s="5"/>
      <c r="L6" s="129"/>
      <c r="AF6" s="144" t="str">
        <f t="shared" si="0"/>
        <v>Grain_org</v>
      </c>
    </row>
    <row r="7" spans="1:36" ht="14.7" customHeight="1" x14ac:dyDescent="0.3">
      <c r="A7" s="295" t="s">
        <v>55</v>
      </c>
      <c r="B7" s="296" t="s">
        <v>776</v>
      </c>
      <c r="C7" s="296"/>
      <c r="D7" s="42"/>
      <c r="F7" s="152" t="s">
        <v>187</v>
      </c>
      <c r="G7" s="257">
        <v>24</v>
      </c>
      <c r="I7" s="86" t="s">
        <v>161</v>
      </c>
      <c r="J7" s="5"/>
      <c r="L7" s="131" t="s">
        <v>198</v>
      </c>
      <c r="AF7" s="144" t="str">
        <f t="shared" si="0"/>
        <v/>
      </c>
    </row>
    <row r="8" spans="1:36" ht="15" thickBot="1" x14ac:dyDescent="0.35">
      <c r="A8" s="295"/>
      <c r="B8" s="296"/>
      <c r="C8" s="296"/>
      <c r="D8" s="47"/>
      <c r="F8" s="153" t="s">
        <v>197</v>
      </c>
      <c r="G8" s="102">
        <v>27.3</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Mineral_Type_2_grann_imp_org</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707</v>
      </c>
      <c r="C12" s="217" t="s">
        <v>43</v>
      </c>
      <c r="D12" s="254">
        <v>12</v>
      </c>
      <c r="E12" s="218"/>
      <c r="F12" s="218" t="s">
        <v>709</v>
      </c>
      <c r="G12" s="219"/>
      <c r="I12" s="87" t="s">
        <v>201</v>
      </c>
      <c r="J12" s="107">
        <v>1.54</v>
      </c>
      <c r="K12" s="107">
        <v>1.58</v>
      </c>
      <c r="L12" s="102"/>
      <c r="R12" s="51">
        <f>(IF($T12=0,"0",VLOOKUP($B12,Biomass_pool_output_Tech1_modul!$A$3:$G$100,7,FALSE)))</f>
        <v>900.60591062877404</v>
      </c>
      <c r="S12" s="44"/>
      <c r="T12" s="34">
        <f>IF($B12="","0",(VLOOKUP($B12,Biomass_pool_output_Tech1_modul!$A$3:$F$100,2,FALSE)*($D12)/1000))</f>
        <v>6.8019665448874438</v>
      </c>
      <c r="U12" s="34">
        <f>IF($B12="","0",(VLOOKUP($B12,Biomass_pool_output_Tech1_modul!$A$3:$F$100,3,FALSE)*($D12)/1000))</f>
        <v>1.0430824146494486</v>
      </c>
      <c r="V12" s="34">
        <f>IF($B12="","0",(VLOOKUP($B12,Biomass_pool_output_Tech1_modul!$A$3:$F$100,4,FALSE)*($D12)/1000))</f>
        <v>6.64063615210818E-2</v>
      </c>
      <c r="W12" s="34">
        <f>IF($B12="","0",(VLOOKUP($B12,Biomass_pool_output_Tech1_modul!$A$3:$F$100,5,FALSE)*($D12)/1000))</f>
        <v>0.31669806409136275</v>
      </c>
      <c r="X12" s="34">
        <f>IF($B12="","0",(VLOOKUP($B12,Biomass_pool_output_Tech1_modul!$A$3:$F$100,6,FALSE)*$D12))</f>
        <v>218.92356688618079</v>
      </c>
      <c r="Y12" s="34">
        <f>U12*6.25</f>
        <v>6.5192650915590535</v>
      </c>
      <c r="AA12" s="53"/>
      <c r="AB12" s="53"/>
      <c r="AC12" s="53"/>
      <c r="AD12" s="53"/>
      <c r="AF12" s="144" t="str">
        <f t="shared" si="1"/>
        <v/>
      </c>
      <c r="AG12" s="53"/>
      <c r="AH12" s="53"/>
      <c r="AI12" s="53"/>
      <c r="AJ12" s="53"/>
    </row>
    <row r="13" spans="1:36" x14ac:dyDescent="0.3">
      <c r="A13" s="211" t="s">
        <v>318</v>
      </c>
      <c r="B13" s="212"/>
      <c r="C13" s="213" t="s">
        <v>43</v>
      </c>
      <c r="D13" s="255"/>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53"/>
      <c r="E14" s="223"/>
      <c r="F14" s="224"/>
      <c r="G14" s="154"/>
      <c r="I14" s="203"/>
      <c r="J14" s="203"/>
      <c r="K14" s="203"/>
      <c r="L14">
        <v>27.3</v>
      </c>
      <c r="M14">
        <v>71.400000000000006</v>
      </c>
      <c r="N14" s="110">
        <f>L14*(M14/100)</f>
        <v>19.492200000000004</v>
      </c>
      <c r="O14" t="s">
        <v>769</v>
      </c>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54">
        <v>14</v>
      </c>
      <c r="E15" s="218"/>
      <c r="F15" s="226" t="s">
        <v>538</v>
      </c>
      <c r="G15" s="219"/>
      <c r="M15">
        <v>24.7</v>
      </c>
      <c r="N15" s="110">
        <f>L14*(M15/100)</f>
        <v>6.7431000000000001</v>
      </c>
      <c r="O15" t="s">
        <v>770</v>
      </c>
      <c r="R15" s="51">
        <f>(IF($T15=0,"0",VLOOKUP($B15,Biomass_pool_output_Tech1_modul!$A$3:$G$100,7,FALSE)))</f>
        <v>850.11622419383002</v>
      </c>
      <c r="S15" s="44"/>
      <c r="T15" s="34">
        <f>IF($B15="","0",(VLOOKUP($B15,Biomass_pool_output_Tech1_modul!$A$3:$F$100,2,FALSE)*($D15)/1000))</f>
        <v>6.3</v>
      </c>
      <c r="U15" s="34">
        <f>IF($B15="","0",(VLOOKUP($B15,Biomass_pool_output_Tech1_modul!$A$3:$F$100,3,FALSE)*($D15)/1000))</f>
        <v>0.2235181866855154</v>
      </c>
      <c r="V15" s="34">
        <f>IF($B15="","0",(VLOOKUP($B15,Biomass_pool_output_Tech1_modul!$A$3:$F$100,4,FALSE)*($D15)/1000))</f>
        <v>4.4770607837720099E-2</v>
      </c>
      <c r="W15" s="34">
        <f>IF($B15="","0",(VLOOKUP($B15,Biomass_pool_output_Tech1_modul!$A$3:$F$100,5,FALSE)*($D15)/1000))</f>
        <v>6.5352153816326572E-2</v>
      </c>
      <c r="X15" s="34">
        <f>IF($B15="","0",(VLOOKUP($B15,Biomass_pool_output_Tech1_modul!$A$3:$F$100,6,FALSE)*$D15))</f>
        <v>270.04413036767738</v>
      </c>
      <c r="Y15" s="34">
        <f t="shared" si="2"/>
        <v>1.3969886667844713</v>
      </c>
      <c r="AA15" s="53"/>
      <c r="AB15" s="53"/>
      <c r="AC15" s="53"/>
      <c r="AD15" s="53"/>
      <c r="AF15" s="144" t="str">
        <f t="shared" si="1"/>
        <v/>
      </c>
      <c r="AG15" s="53"/>
      <c r="AH15" s="53"/>
      <c r="AI15" s="53"/>
      <c r="AJ15" s="53"/>
    </row>
    <row r="16" spans="1:36" x14ac:dyDescent="0.3">
      <c r="A16" s="211" t="s">
        <v>107</v>
      </c>
      <c r="B16" s="212"/>
      <c r="C16" s="213" t="s">
        <v>43</v>
      </c>
      <c r="D16" s="255"/>
      <c r="E16" s="214"/>
      <c r="F16" s="225"/>
      <c r="M16">
        <v>0</v>
      </c>
      <c r="N16" s="110">
        <f>L14*(M16/100)</f>
        <v>0</v>
      </c>
      <c r="O16" t="s">
        <v>771</v>
      </c>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56"/>
      <c r="E17" s="5"/>
      <c r="F17" s="126"/>
      <c r="M17">
        <v>3.9</v>
      </c>
      <c r="N17" s="110">
        <f>L14*(M17/100)</f>
        <v>1.0647</v>
      </c>
      <c r="O17" t="s">
        <v>772</v>
      </c>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Soyakage_imp_org</v>
      </c>
      <c r="AH17" s="110"/>
    </row>
    <row r="18" spans="1:65" x14ac:dyDescent="0.3">
      <c r="A18" s="18" t="s">
        <v>414</v>
      </c>
      <c r="B18" s="19" t="s">
        <v>708</v>
      </c>
      <c r="C18" s="28" t="s">
        <v>43</v>
      </c>
      <c r="D18" s="256">
        <v>1.3</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6.5000000000000002E-2</v>
      </c>
      <c r="W18" s="34">
        <f>IF($B18="","0",(VLOOKUP($B18,'Imported products'!$B$5:$O$54,12,FALSE)*($D18)/1000))</f>
        <v>1.9500000000000001E-3</v>
      </c>
      <c r="X18" s="34">
        <f>IF($B18="","0",(VLOOKUP($B18,'Imported products'!$B$5:$O$54,13,FALSE)*($D18)/1000))</f>
        <v>0</v>
      </c>
      <c r="Y18" s="34">
        <f>IF($B18="","0",(VLOOKUP($B18,'Imported products'!$B$5:$O$54,14,FALSE)*($D18)/1000))</f>
        <v>0</v>
      </c>
      <c r="AA18" s="110"/>
      <c r="AF18" s="144" t="str">
        <f t="shared" ref="AF18:AF23" si="3">IF(F13="","",F13)</f>
        <v/>
      </c>
      <c r="AH18" s="110"/>
    </row>
    <row r="19" spans="1:65" x14ac:dyDescent="0.3">
      <c r="A19" s="25"/>
      <c r="B19" s="25"/>
      <c r="C19" s="24"/>
      <c r="D19" s="24"/>
      <c r="R19" s="52"/>
      <c r="AA19" s="110"/>
      <c r="AF19" s="144" t="str">
        <f t="shared" si="3"/>
        <v/>
      </c>
    </row>
    <row r="20" spans="1:65" x14ac:dyDescent="0.3">
      <c r="A20" s="18" t="s">
        <v>113</v>
      </c>
      <c r="B20" s="40"/>
      <c r="C20" s="28" t="s">
        <v>43</v>
      </c>
      <c r="D20" s="28">
        <f>SUM(D12:D18)</f>
        <v>27.3</v>
      </c>
      <c r="R20" s="82">
        <f>(D12*R12+D13*R13+D14*R14+D15*R15+D16*R16+D17*R17+D18*R18)/D20</f>
        <v>879.44681561387938</v>
      </c>
      <c r="S20" s="45"/>
      <c r="T20" s="116">
        <f t="shared" ref="T20:X20" si="4">SUM(T12:T18)</f>
        <v>13.101966544887443</v>
      </c>
      <c r="U20" s="116">
        <f t="shared" si="4"/>
        <v>1.266600601334964</v>
      </c>
      <c r="V20" s="116">
        <f t="shared" si="4"/>
        <v>0.17617696935880189</v>
      </c>
      <c r="W20" s="116">
        <f t="shared" si="4"/>
        <v>0.38400021790768935</v>
      </c>
      <c r="X20" s="116">
        <f t="shared" si="4"/>
        <v>488.9676972538582</v>
      </c>
      <c r="Y20" s="116">
        <f>SUM(Y12:Y18)</f>
        <v>7.9162537583435251</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ref="T26:W27" si="10">IF($D26="",0,$D26*(L26/1000))</f>
        <v>0</v>
      </c>
      <c r="U26" s="34">
        <f t="shared" si="10"/>
        <v>0</v>
      </c>
      <c r="V26" s="34">
        <f t="shared" si="10"/>
        <v>0</v>
      </c>
      <c r="W26" s="34">
        <f t="shared" si="10"/>
        <v>0</v>
      </c>
      <c r="X26" s="34">
        <f>IF($D26="",0,$D26*P26)</f>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10"/>
        <v>0</v>
      </c>
      <c r="U27" s="34">
        <f t="shared" si="10"/>
        <v>0</v>
      </c>
      <c r="V27" s="34">
        <f t="shared" si="10"/>
        <v>0</v>
      </c>
      <c r="W27" s="34">
        <f t="shared" si="10"/>
        <v>0</v>
      </c>
      <c r="X27" s="34">
        <f>IF($D27="",0,$D27*P27)</f>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IF(B28="","",B28)</f>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IF(B29="","",B29)</f>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0</v>
      </c>
      <c r="E31" s="24"/>
      <c r="K31" t="s">
        <v>629</v>
      </c>
      <c r="L31" s="24"/>
      <c r="M31" s="24"/>
      <c r="N31" s="24"/>
      <c r="O31" s="24"/>
      <c r="P31" s="24"/>
      <c r="Q31" s="25"/>
      <c r="R31" s="82" t="e">
        <f>(D24*R24+D25*R25+D26*R26+D27*R27+D28*R28+D29*R29+D30*R30)/D31</f>
        <v>#DIV/0!</v>
      </c>
      <c r="S31" s="45"/>
      <c r="T31" s="116">
        <f t="shared" ref="T31:Y31" si="11">SUM(T24:T30)</f>
        <v>0</v>
      </c>
      <c r="U31" s="116">
        <f t="shared" si="11"/>
        <v>0</v>
      </c>
      <c r="V31" s="116">
        <f t="shared" si="11"/>
        <v>0</v>
      </c>
      <c r="W31" s="116">
        <f t="shared" si="11"/>
        <v>0</v>
      </c>
      <c r="X31" s="116">
        <f>SUM(X24:X30)</f>
        <v>0</v>
      </c>
      <c r="Y31" s="116">
        <f t="shared" si="11"/>
        <v>0</v>
      </c>
      <c r="AA31" s="113" t="s">
        <v>61</v>
      </c>
      <c r="AB31" s="115">
        <f>SUM(AB24:AB30)</f>
        <v>0</v>
      </c>
      <c r="AC31" s="115">
        <f>SUM(AC24:AC30)</f>
        <v>0</v>
      </c>
      <c r="AD31" s="115">
        <f>SUM(AD24:AD30)</f>
        <v>0</v>
      </c>
      <c r="AF31" s="144" t="str">
        <f>IF(E24="","",E24)</f>
        <v/>
      </c>
      <c r="AN31" s="35" t="s">
        <v>61</v>
      </c>
      <c r="AO31" s="92">
        <f>SUM(AO24:AO30)</f>
        <v>0</v>
      </c>
      <c r="AP31" s="92">
        <f t="shared" ref="AP31:BH31" si="12">SUM(AP24:AP30)</f>
        <v>0</v>
      </c>
      <c r="AQ31" s="92">
        <f t="shared" si="12"/>
        <v>0</v>
      </c>
      <c r="AR31" s="92">
        <f t="shared" si="12"/>
        <v>0</v>
      </c>
      <c r="AS31" s="92">
        <f t="shared" si="12"/>
        <v>0</v>
      </c>
      <c r="AT31" s="92">
        <f t="shared" si="12"/>
        <v>0</v>
      </c>
      <c r="AU31" s="92">
        <f t="shared" si="12"/>
        <v>0</v>
      </c>
      <c r="AV31" s="92">
        <f t="shared" si="12"/>
        <v>0</v>
      </c>
      <c r="AW31" s="92">
        <f t="shared" si="12"/>
        <v>0</v>
      </c>
      <c r="AX31" s="92">
        <f t="shared" si="12"/>
        <v>0</v>
      </c>
      <c r="AY31" s="92">
        <f t="shared" si="12"/>
        <v>0</v>
      </c>
      <c r="AZ31" s="92">
        <f t="shared" si="12"/>
        <v>0</v>
      </c>
      <c r="BA31" s="92">
        <f t="shared" si="12"/>
        <v>0</v>
      </c>
      <c r="BB31" s="92">
        <f t="shared" si="12"/>
        <v>0</v>
      </c>
      <c r="BC31" s="92">
        <f t="shared" si="12"/>
        <v>0</v>
      </c>
      <c r="BD31" s="92">
        <f t="shared" si="12"/>
        <v>0</v>
      </c>
      <c r="BE31" s="92">
        <f t="shared" si="12"/>
        <v>0</v>
      </c>
      <c r="BF31" s="92">
        <f t="shared" si="12"/>
        <v>0</v>
      </c>
      <c r="BG31" s="92">
        <f t="shared" si="12"/>
        <v>0</v>
      </c>
      <c r="BH31" s="92">
        <f t="shared" si="12"/>
        <v>0</v>
      </c>
    </row>
    <row r="32" spans="1:65" ht="15" thickBot="1" x14ac:dyDescent="0.35">
      <c r="A32" s="18" t="s">
        <v>113</v>
      </c>
      <c r="B32" s="40"/>
      <c r="C32" s="28" t="s">
        <v>43</v>
      </c>
      <c r="D32" s="83">
        <f>D20+D31</f>
        <v>27.3</v>
      </c>
      <c r="E32" s="24"/>
      <c r="I32" s="24"/>
      <c r="J32" s="24"/>
      <c r="K32" s="24"/>
      <c r="L32" s="24"/>
      <c r="M32" s="24"/>
      <c r="N32" s="24"/>
      <c r="P32" s="25"/>
      <c r="Q32" s="25"/>
      <c r="R32" s="84" t="e">
        <f>(D20*R20+D31*R31)/D32</f>
        <v>#DIV/0!</v>
      </c>
      <c r="S32" s="85"/>
      <c r="T32" s="117">
        <f>T20+T31</f>
        <v>13.101966544887443</v>
      </c>
      <c r="U32" s="117">
        <f t="shared" ref="U32:Y32" si="13">U20+U31</f>
        <v>1.266600601334964</v>
      </c>
      <c r="V32" s="117">
        <f t="shared" si="13"/>
        <v>0.17617696935880189</v>
      </c>
      <c r="W32" s="117">
        <f t="shared" si="13"/>
        <v>0.38400021790768935</v>
      </c>
      <c r="X32" s="117">
        <f t="shared" si="13"/>
        <v>488.9676972538582</v>
      </c>
      <c r="Y32" s="117">
        <f t="shared" si="13"/>
        <v>7.9162537583435251</v>
      </c>
      <c r="AF32" s="144" t="str">
        <f t="shared" ref="AF32:AF37" si="14">IF(E25="","",E25)</f>
        <v/>
      </c>
      <c r="BL32" t="str">
        <f>A4</f>
        <v>ID-nummer</v>
      </c>
      <c r="BM32">
        <f>B4</f>
        <v>131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4"/>
        <v/>
      </c>
      <c r="AK33" s="29"/>
      <c r="BL33" t="str">
        <f>A5</f>
        <v>Kode</v>
      </c>
      <c r="BM33" t="str">
        <f>B5</f>
        <v>LittlePigs_up_to_31_org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4"/>
        <v/>
      </c>
      <c r="AM34" s="29"/>
      <c r="AN34" s="29"/>
      <c r="BJ34">
        <f t="shared" ref="BI34:BJ62" si="15">$BM$32</f>
        <v>131</v>
      </c>
      <c r="BK34" t="str">
        <f t="shared" ref="BJ34:BK62" si="16">$BM$33</f>
        <v>LittlePigs_up_to_31_org</v>
      </c>
      <c r="BL34" t="s">
        <v>69</v>
      </c>
      <c r="BM34">
        <f>$B$24</f>
        <v>0</v>
      </c>
      <c r="BN34" t="str">
        <f t="shared" ref="BN34:BO40" si="17">C24</f>
        <v>Kg</v>
      </c>
      <c r="BO34">
        <f t="shared" si="17"/>
        <v>0</v>
      </c>
    </row>
    <row r="35" spans="1:67" ht="15.6" x14ac:dyDescent="0.3">
      <c r="A35" s="18" t="s">
        <v>631</v>
      </c>
      <c r="B35" s="19"/>
      <c r="C35" s="28" t="s">
        <v>43</v>
      </c>
      <c r="D35" s="34">
        <f>H35*(R35/1000)</f>
        <v>0</v>
      </c>
      <c r="E35" s="30" t="str">
        <f>IF(B35="","",VLOOKUP(B35,'Processed products'!$B$5:$E$104,2,FALSE))</f>
        <v/>
      </c>
      <c r="F35" s="30" t="str">
        <f>IF(B35="","",VLOOKUP(B35,'Processed products'!$B$5:$E$104,3,FALSE))</f>
        <v/>
      </c>
      <c r="G35" s="30" t="str">
        <f>IF(B35="","",VLOOKUP(B35,'Processed products'!$B$5:$E$104,4,FALSE))</f>
        <v/>
      </c>
      <c r="H35" s="5"/>
      <c r="I35" s="4"/>
      <c r="K35" s="97" t="s">
        <v>654</v>
      </c>
      <c r="L35" s="132" t="s">
        <v>713</v>
      </c>
      <c r="M35" s="132" t="s">
        <v>714</v>
      </c>
      <c r="N35" s="272">
        <v>0.39</v>
      </c>
      <c r="R35" s="51">
        <f>(IF($B35="",0,VLOOKUP($B35,'Processed products'!$B$5:$O$104,5,FALSE)))</f>
        <v>0</v>
      </c>
      <c r="S35" s="44"/>
      <c r="T35" s="28" t="str">
        <f>(IF($B35="","",VLOOKUP($B35,'Processed products'!$B$5:$O$104,9,FALSE)))</f>
        <v/>
      </c>
      <c r="U35" s="34" t="str">
        <f>(IF($B35="","",VLOOKUP($B35,'Processed products'!$B$5:$O$104,10,FALSE)))</f>
        <v/>
      </c>
      <c r="V35" s="28" t="str">
        <f>(IF($B35="","",VLOOKUP($B35,'Processed products'!$B$5:$O$104,11,FALSE)))</f>
        <v/>
      </c>
      <c r="W35" s="28" t="str">
        <f>(IF($B35="","",VLOOKUP($B35,'Processed products'!$B$5:$O$104,12,FALSE)))</f>
        <v/>
      </c>
      <c r="X35" s="28" t="str">
        <f>(IF($B35="","",VLOOKUP($B35,'Processed products'!$B$5:$O$104,13,FALSE)))</f>
        <v/>
      </c>
      <c r="Z35" s="53"/>
      <c r="AA35" s="53"/>
      <c r="AB35" s="53"/>
      <c r="AC35" s="53"/>
      <c r="AD35" s="53"/>
      <c r="AF35" s="144" t="str">
        <f t="shared" si="14"/>
        <v/>
      </c>
      <c r="AJ35" s="32"/>
      <c r="BJ35">
        <f t="shared" si="15"/>
        <v>131</v>
      </c>
      <c r="BK35" t="str">
        <f t="shared" si="16"/>
        <v>LittlePigs_up_to_31_org</v>
      </c>
      <c r="BL35" t="s">
        <v>69</v>
      </c>
      <c r="BM35">
        <f>$B$25</f>
        <v>0</v>
      </c>
      <c r="BN35" t="str">
        <f t="shared" si="17"/>
        <v>Kg</v>
      </c>
      <c r="BO35">
        <f t="shared" si="17"/>
        <v>0</v>
      </c>
    </row>
    <row r="36" spans="1:67" ht="15.6" x14ac:dyDescent="0.3">
      <c r="A36" s="18" t="s">
        <v>632</v>
      </c>
      <c r="B36" s="19" t="s">
        <v>712</v>
      </c>
      <c r="C36" s="28" t="s">
        <v>43</v>
      </c>
      <c r="D36" s="34">
        <f t="shared" ref="D36" si="18">H36*(R36/1000)</f>
        <v>7.7699999999999991E-2</v>
      </c>
      <c r="E36" s="30" t="str">
        <f>IF(B36="","",VLOOKUP(B36,'Processed products'!$B$5:$E$104,2,FALSE))</f>
        <v>Dead_meat_org</v>
      </c>
      <c r="F36" s="30" t="str">
        <f>IF(B36="","",VLOOKUP(B36,'Processed products'!$B$5:$E$104,3,FALSE))</f>
        <v>Dead_meat</v>
      </c>
      <c r="G36" s="30" t="str">
        <f>IF(B36="","",VLOOKUP(B36,'Processed products'!$B$5:$E$104,4,FALSE))</f>
        <v>Exit_model</v>
      </c>
      <c r="H36" s="5">
        <v>0.21</v>
      </c>
      <c r="I36" s="4"/>
      <c r="K36" s="97" t="s">
        <v>655</v>
      </c>
      <c r="L36" s="132"/>
      <c r="M36" s="132"/>
      <c r="N36" s="272"/>
      <c r="P36" s="93"/>
      <c r="Q36" s="262"/>
      <c r="R36" s="51">
        <f>(IF($B36="",0,VLOOKUP($B36,'Processed products'!$B$5:$O$104,5,FALSE)))</f>
        <v>370</v>
      </c>
      <c r="S36" s="44"/>
      <c r="T36" s="28">
        <f>(IF($B36="","",VLOOKUP($B36,'Processed products'!$B$5:$O$104,9,FALSE)))</f>
        <v>640</v>
      </c>
      <c r="U36" s="34">
        <f>(IF($B36="","",VLOOKUP($B36,'Processed products'!$B$5:$O$104,10,FALSE)))</f>
        <v>69.459199999999996</v>
      </c>
      <c r="V36" s="28">
        <f>(IF($B36="","",VLOOKUP($B36,'Processed products'!$B$5:$O$104,11,FALSE)))</f>
        <v>16.22</v>
      </c>
      <c r="W36" s="28">
        <f>(IF($B36="","",VLOOKUP($B36,'Processed products'!$B$5:$O$104,12,FALSE)))</f>
        <v>5.95</v>
      </c>
      <c r="X36" s="28">
        <f>(IF($B36="","",VLOOKUP($B36,'Processed products'!$B$5:$O$104,13,FALSE)))</f>
        <v>27.17</v>
      </c>
      <c r="Z36" s="53"/>
      <c r="AA36" s="53"/>
      <c r="AB36" s="53"/>
      <c r="AC36" s="53"/>
      <c r="AD36" s="53"/>
      <c r="AF36" s="144" t="str">
        <f t="shared" si="14"/>
        <v/>
      </c>
      <c r="BJ36">
        <f t="shared" si="15"/>
        <v>131</v>
      </c>
      <c r="BK36" t="str">
        <f t="shared" si="16"/>
        <v>LittlePigs_up_to_31_org</v>
      </c>
      <c r="BL36" t="s">
        <v>69</v>
      </c>
      <c r="BM36">
        <f>$B$26</f>
        <v>0</v>
      </c>
      <c r="BN36" t="str">
        <f t="shared" si="17"/>
        <v>Kg</v>
      </c>
      <c r="BO36">
        <f>D26</f>
        <v>0</v>
      </c>
    </row>
    <row r="37" spans="1:67" ht="16.2" thickBot="1" x14ac:dyDescent="0.35">
      <c r="A37" s="18" t="s">
        <v>647</v>
      </c>
      <c r="B37" s="19" t="s">
        <v>715</v>
      </c>
      <c r="C37" s="28" t="s">
        <v>43</v>
      </c>
      <c r="D37" s="34">
        <f>H37*(R37/1000)</f>
        <v>5.92</v>
      </c>
      <c r="E37" s="30" t="str">
        <f>IF(B37="","",VLOOKUP(B37,'Processed products'!$B$5:$E$104,2,FALSE))</f>
        <v>Piglet_31_live_org</v>
      </c>
      <c r="F37" s="30" t="str">
        <f>IF(B37="","",VLOOKUP(B37,'Processed products'!$B$5:$E$104,3,FALSE))</f>
        <v>Pig_live_org</v>
      </c>
      <c r="G37" s="30" t="str">
        <f>IF(B37="","",VLOOKUP(B37,'Processed products'!$B$5:$E$104,4,FALSE))</f>
        <v>Livestock_balance</v>
      </c>
      <c r="H37" s="5">
        <v>16</v>
      </c>
      <c r="I37" s="5">
        <v>1</v>
      </c>
      <c r="K37" s="273" t="s">
        <v>656</v>
      </c>
      <c r="L37" s="132"/>
      <c r="M37" s="132"/>
      <c r="N37" s="272"/>
      <c r="Q37" s="25"/>
      <c r="R37" s="51">
        <f>(IF($B37="",0,VLOOKUP($B37,'Processed products'!$B$5:$O$104,5,FALSE)))</f>
        <v>370</v>
      </c>
      <c r="S37" s="44"/>
      <c r="T37" s="28">
        <f>(IF($B37="","",VLOOKUP($B37,'Processed products'!$B$5:$O$104,9,FALSE)))</f>
        <v>640</v>
      </c>
      <c r="U37" s="34">
        <f>(IF($B37="","",VLOOKUP($B37,'Processed products'!$B$5:$O$104,10,FALSE)))</f>
        <v>79.87</v>
      </c>
      <c r="V37" s="28">
        <f>(IF($B37="","",VLOOKUP($B37,'Processed products'!$B$5:$O$104,11,FALSE)))</f>
        <v>13.24</v>
      </c>
      <c r="W37" s="28">
        <f>(IF($B37="","",VLOOKUP($B37,'Processed products'!$B$5:$O$104,12,FALSE)))</f>
        <v>5.95</v>
      </c>
      <c r="X37" s="28">
        <f>(IF($B37="","",VLOOKUP($B37,'Processed products'!$B$5:$O$104,13,FALSE)))</f>
        <v>27.17</v>
      </c>
      <c r="Z37" s="53"/>
      <c r="AA37" s="53"/>
      <c r="AB37" s="53"/>
      <c r="AC37" s="53"/>
      <c r="AD37" s="53"/>
      <c r="AF37" s="144" t="str">
        <f t="shared" si="14"/>
        <v/>
      </c>
      <c r="BJ37">
        <f t="shared" si="15"/>
        <v>131</v>
      </c>
      <c r="BK37" t="str">
        <f t="shared" si="16"/>
        <v>LittlePigs_up_to_31_org</v>
      </c>
      <c r="BL37" t="s">
        <v>69</v>
      </c>
      <c r="BM37">
        <f>$B$27</f>
        <v>0</v>
      </c>
      <c r="BN37" t="str">
        <f t="shared" si="17"/>
        <v>Kg</v>
      </c>
      <c r="BO37">
        <f>D27</f>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5"/>
        <v>131</v>
      </c>
      <c r="BK38" t="str">
        <f t="shared" si="16"/>
        <v>LittlePigs_up_to_31_org</v>
      </c>
      <c r="BL38" t="s">
        <v>69</v>
      </c>
      <c r="BM38">
        <f>$B$28</f>
        <v>0</v>
      </c>
      <c r="BN38" t="str">
        <f t="shared" si="17"/>
        <v>Kg</v>
      </c>
      <c r="BO38">
        <f t="shared" si="17"/>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24"/>
      <c r="K39" s="136">
        <f>15*0.0253*1.026</f>
        <v>0.38936700000000002</v>
      </c>
      <c r="L39" s="123"/>
      <c r="M39" s="123"/>
      <c r="N39" s="136"/>
      <c r="P39" s="93"/>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9">IF(F25="","",F25)</f>
        <v/>
      </c>
      <c r="BJ39">
        <f t="shared" si="15"/>
        <v>131</v>
      </c>
      <c r="BK39" t="str">
        <f t="shared" si="16"/>
        <v>LittlePigs_up_to_31_org</v>
      </c>
      <c r="BL39" t="s">
        <v>69</v>
      </c>
      <c r="BM39">
        <f>$B$29</f>
        <v>0</v>
      </c>
      <c r="BN39" t="str">
        <f t="shared" si="17"/>
        <v>Kg</v>
      </c>
      <c r="BO39">
        <f t="shared" si="17"/>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38"/>
      <c r="L40" s="123"/>
      <c r="M40" s="123"/>
      <c r="N40" s="136"/>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9"/>
        <v/>
      </c>
      <c r="AH40" s="36"/>
      <c r="BJ40">
        <f t="shared" si="15"/>
        <v>131</v>
      </c>
      <c r="BK40" t="str">
        <f t="shared" si="16"/>
        <v>LittlePigs_up_to_31_org</v>
      </c>
      <c r="BL40" t="s">
        <v>69</v>
      </c>
      <c r="BM40">
        <f>$B$30</f>
        <v>0</v>
      </c>
      <c r="BN40" t="str">
        <f t="shared" si="17"/>
        <v>Kg</v>
      </c>
      <c r="BO40">
        <f t="shared" si="17"/>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O41" s="110"/>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9"/>
        <v/>
      </c>
      <c r="BJ41">
        <f t="shared" si="15"/>
        <v>131</v>
      </c>
      <c r="BK41" t="str">
        <f t="shared" si="16"/>
        <v>LittlePigs_up_to_31_org</v>
      </c>
      <c r="BL41" t="s">
        <v>126</v>
      </c>
      <c r="BM41">
        <f>$B$35</f>
        <v>0</v>
      </c>
      <c r="BN41" t="str">
        <f>C35</f>
        <v>Kg</v>
      </c>
      <c r="BO41" s="64">
        <f>P35</f>
        <v>0</v>
      </c>
    </row>
    <row r="42" spans="1:67" x14ac:dyDescent="0.3">
      <c r="A42" s="33" t="s">
        <v>61</v>
      </c>
      <c r="B42" s="39"/>
      <c r="C42" s="28" t="s">
        <v>43</v>
      </c>
      <c r="D42" s="34">
        <f>SUM(D35:D41)</f>
        <v>5.9977</v>
      </c>
      <c r="E42" s="24"/>
      <c r="I42" s="124"/>
      <c r="J42" s="136">
        <f>(16/2)*0.0253*1.026</f>
        <v>0.2076624</v>
      </c>
      <c r="K42" s="123"/>
      <c r="L42" s="123"/>
      <c r="M42" s="123"/>
      <c r="N42" s="123"/>
      <c r="P42" s="93"/>
      <c r="Q42" s="25"/>
      <c r="Z42" s="53"/>
      <c r="AA42" s="53"/>
      <c r="AB42" s="53"/>
      <c r="AC42" s="53"/>
      <c r="AD42" s="53"/>
      <c r="AF42" s="144" t="str">
        <f t="shared" si="19"/>
        <v/>
      </c>
      <c r="BJ42">
        <f t="shared" si="15"/>
        <v>131</v>
      </c>
      <c r="BK42" t="str">
        <f t="shared" si="16"/>
        <v>LittlePigs_up_to_31_org</v>
      </c>
      <c r="BL42" t="s">
        <v>126</v>
      </c>
      <c r="BM42" t="str">
        <f>$B$36</f>
        <v>Svinekoed_affald_org</v>
      </c>
      <c r="BN42" t="str">
        <f t="shared" ref="BN42:BN47" si="20">C35</f>
        <v>Kg</v>
      </c>
      <c r="BO42" s="64">
        <f t="shared" ref="BO42" si="21">P35</f>
        <v>0</v>
      </c>
    </row>
    <row r="43" spans="1:67" x14ac:dyDescent="0.3">
      <c r="Z43" s="53"/>
      <c r="AA43" s="53"/>
      <c r="AB43" s="53"/>
      <c r="AC43" s="53"/>
      <c r="AD43" s="53"/>
      <c r="AF43" s="144" t="str">
        <f t="shared" si="19"/>
        <v/>
      </c>
      <c r="BJ43">
        <f t="shared" si="15"/>
        <v>131</v>
      </c>
      <c r="BK43" t="str">
        <f t="shared" si="16"/>
        <v>LittlePigs_up_to_31_org</v>
      </c>
      <c r="BL43" t="s">
        <v>126</v>
      </c>
      <c r="BM43" t="str">
        <f>$B$37</f>
        <v>Svinekoed_little_pig_org</v>
      </c>
      <c r="BN43" t="str">
        <f t="shared" si="20"/>
        <v>Kg</v>
      </c>
      <c r="BO43" s="64">
        <f>P39</f>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9"/>
        <v/>
      </c>
      <c r="BJ44">
        <f t="shared" si="15"/>
        <v>131</v>
      </c>
      <c r="BK44" t="str">
        <f t="shared" si="16"/>
        <v>LittlePigs_up_to_31_org</v>
      </c>
      <c r="BL44" t="s">
        <v>126</v>
      </c>
      <c r="BM44">
        <f>$B$38</f>
        <v>0</v>
      </c>
      <c r="BN44" t="str">
        <f t="shared" si="20"/>
        <v>Kg</v>
      </c>
      <c r="BO44" s="64">
        <f>P40</f>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5"/>
        <v>131</v>
      </c>
      <c r="BK45" t="str">
        <f t="shared" si="16"/>
        <v>LittlePigs_up_to_31_org</v>
      </c>
      <c r="BL45" t="s">
        <v>126</v>
      </c>
      <c r="BM45">
        <f>$B$39</f>
        <v>0</v>
      </c>
      <c r="BN45" t="str">
        <f t="shared" si="20"/>
        <v>Kg</v>
      </c>
      <c r="BO45" s="64">
        <f>P41</f>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2">IF(G25="","",G25)</f>
        <v/>
      </c>
      <c r="AG46" s="136"/>
      <c r="AH46" s="136"/>
      <c r="AI46" s="136"/>
      <c r="AJ46" s="136"/>
      <c r="BJ46">
        <f t="shared" si="15"/>
        <v>131</v>
      </c>
      <c r="BK46" t="str">
        <f t="shared" si="16"/>
        <v>LittlePigs_up_to_31_org</v>
      </c>
      <c r="BL46" t="s">
        <v>126</v>
      </c>
      <c r="BM46">
        <f>$B$40</f>
        <v>0</v>
      </c>
      <c r="BN46" t="str">
        <f t="shared" si="20"/>
        <v>Kg</v>
      </c>
      <c r="BO46" s="64">
        <f>P42</f>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2"/>
        <v/>
      </c>
      <c r="AG47" s="136"/>
      <c r="AH47" s="136"/>
      <c r="AI47" s="136"/>
      <c r="AJ47" s="136"/>
      <c r="BJ47">
        <f t="shared" si="15"/>
        <v>131</v>
      </c>
      <c r="BK47" t="str">
        <f t="shared" si="16"/>
        <v>LittlePigs_up_to_31_org</v>
      </c>
      <c r="BL47" t="s">
        <v>126</v>
      </c>
      <c r="BM47">
        <f>$B$41</f>
        <v>0</v>
      </c>
      <c r="BN47" t="str">
        <f t="shared" si="20"/>
        <v>Kg</v>
      </c>
      <c r="BO47" s="64" t="e">
        <f>#REF!</f>
        <v>#REF!</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2"/>
        <v/>
      </c>
      <c r="AG48" s="136"/>
      <c r="AH48" s="136"/>
      <c r="AI48" s="136"/>
      <c r="AJ48" s="136"/>
      <c r="BJ48">
        <f t="shared" si="15"/>
        <v>131</v>
      </c>
      <c r="BK48" t="str">
        <f t="shared" si="16"/>
        <v>LittlePigs_up_to_31_org</v>
      </c>
      <c r="BL48" t="s">
        <v>127</v>
      </c>
      <c r="BM48">
        <f t="shared" ref="BM48:BM52" si="23">$B$45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2"/>
        <v/>
      </c>
      <c r="AG49" s="136"/>
      <c r="AH49" s="136"/>
      <c r="AI49" s="136"/>
      <c r="AJ49" s="136"/>
      <c r="BJ49">
        <f t="shared" si="15"/>
        <v>131</v>
      </c>
      <c r="BK49" t="str">
        <f t="shared" si="16"/>
        <v>LittlePigs_up_to_31_org</v>
      </c>
      <c r="BL49" t="s">
        <v>127</v>
      </c>
      <c r="BM49">
        <f t="shared" si="23"/>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2"/>
        <v/>
      </c>
      <c r="AG50" s="136"/>
      <c r="AH50" s="136"/>
      <c r="AI50" s="136"/>
      <c r="AJ50" s="136"/>
      <c r="BJ50">
        <f t="shared" si="15"/>
        <v>131</v>
      </c>
      <c r="BK50" t="str">
        <f t="shared" si="16"/>
        <v>LittlePigs_up_to_31_org</v>
      </c>
      <c r="BL50" t="s">
        <v>127</v>
      </c>
      <c r="BM50">
        <f t="shared" si="23"/>
        <v>0</v>
      </c>
      <c r="BN50" s="32">
        <f>$AH$34</f>
        <v>0</v>
      </c>
      <c r="BO50" s="32">
        <f>AH45</f>
        <v>0</v>
      </c>
    </row>
    <row r="51" spans="1:67" ht="15" thickBot="1" x14ac:dyDescent="0.35">
      <c r="A51" s="18" t="s">
        <v>56</v>
      </c>
      <c r="B51" s="9"/>
      <c r="C51" s="28" t="s">
        <v>43</v>
      </c>
      <c r="D51" s="34">
        <f>SUM(D42,D45:D50)</f>
        <v>5.9977</v>
      </c>
      <c r="I51" s="93"/>
      <c r="J51" s="93"/>
      <c r="K51" s="93"/>
      <c r="L51" s="93"/>
      <c r="M51" s="93"/>
      <c r="N51" s="93"/>
      <c r="O51" s="135"/>
      <c r="P51" s="93"/>
      <c r="Q51" s="47"/>
      <c r="Z51" s="53"/>
      <c r="AA51" s="53"/>
      <c r="AB51" s="53"/>
      <c r="AC51" s="53"/>
      <c r="AD51" s="53"/>
      <c r="AF51" s="145" t="str">
        <f t="shared" si="22"/>
        <v/>
      </c>
      <c r="BJ51">
        <f t="shared" si="15"/>
        <v>131</v>
      </c>
      <c r="BK51" t="str">
        <f t="shared" si="16"/>
        <v>LittlePigs_up_to_31_org</v>
      </c>
      <c r="BL51" t="s">
        <v>127</v>
      </c>
      <c r="BM51">
        <f t="shared" si="23"/>
        <v>0</v>
      </c>
      <c r="BN51">
        <f>$AI$34</f>
        <v>0</v>
      </c>
      <c r="BO51" s="32">
        <f>AI45</f>
        <v>0</v>
      </c>
    </row>
    <row r="52" spans="1:67" x14ac:dyDescent="0.3">
      <c r="C52" s="25"/>
      <c r="H52" s="137"/>
      <c r="I52" s="137"/>
      <c r="Y52" s="29"/>
      <c r="Z52" s="136"/>
      <c r="AA52" s="136"/>
      <c r="AB52" s="136"/>
      <c r="AC52" s="136"/>
      <c r="AD52" s="136"/>
      <c r="AF52" s="32"/>
      <c r="BJ52">
        <f t="shared" si="15"/>
        <v>131</v>
      </c>
      <c r="BK52" t="str">
        <f t="shared" si="16"/>
        <v>LittlePigs_up_to_31_org</v>
      </c>
      <c r="BL52" t="s">
        <v>127</v>
      </c>
      <c r="BM52">
        <f t="shared" si="23"/>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5"/>
        <v>131</v>
      </c>
      <c r="BK53" t="str">
        <f t="shared" si="16"/>
        <v>LittlePigs_up_to_31_org</v>
      </c>
      <c r="BL53" t="s">
        <v>127</v>
      </c>
      <c r="BM53">
        <f t="shared" ref="BM53:BM58" si="24">$B$46</f>
        <v>0</v>
      </c>
      <c r="BN53" t="str">
        <f>C46</f>
        <v>Kg</v>
      </c>
      <c r="BO53" s="64">
        <f>P46</f>
        <v>0</v>
      </c>
    </row>
    <row r="54" spans="1:67" x14ac:dyDescent="0.3">
      <c r="A54" s="18" t="s">
        <v>220</v>
      </c>
      <c r="B54" s="50" t="s">
        <v>415</v>
      </c>
      <c r="C54" s="50" t="s">
        <v>43</v>
      </c>
      <c r="D54" s="138"/>
      <c r="E54" s="53"/>
      <c r="F54" s="138"/>
      <c r="G54" s="53"/>
      <c r="H54" s="138"/>
      <c r="I54" s="138"/>
      <c r="AF54" s="32"/>
      <c r="BJ54">
        <f t="shared" si="15"/>
        <v>131</v>
      </c>
      <c r="BK54" t="str">
        <f t="shared" si="16"/>
        <v>LittlePigs_up_to_31_org</v>
      </c>
      <c r="BL54" t="s">
        <v>127</v>
      </c>
      <c r="BM54">
        <f t="shared" si="24"/>
        <v>0</v>
      </c>
      <c r="BN54" t="str">
        <f>$AF$34</f>
        <v/>
      </c>
      <c r="BO54" s="32" t="str">
        <f>AF$46</f>
        <v/>
      </c>
    </row>
    <row r="55" spans="1:67" x14ac:dyDescent="0.3">
      <c r="A55" s="18" t="s">
        <v>254</v>
      </c>
      <c r="B55" s="50" t="s">
        <v>739</v>
      </c>
      <c r="C55" s="50" t="s">
        <v>43</v>
      </c>
      <c r="D55" s="138"/>
      <c r="E55" s="53"/>
      <c r="F55" s="138"/>
      <c r="G55" s="53"/>
      <c r="H55" s="138"/>
      <c r="I55" s="138"/>
      <c r="BJ55">
        <f t="shared" si="15"/>
        <v>131</v>
      </c>
      <c r="BK55" t="str">
        <f t="shared" si="16"/>
        <v>LittlePigs_up_to_31_org</v>
      </c>
      <c r="BL55" t="s">
        <v>127</v>
      </c>
      <c r="BM55">
        <f t="shared" si="24"/>
        <v>0</v>
      </c>
      <c r="BN55">
        <f>$AG$34</f>
        <v>0</v>
      </c>
      <c r="BO55" s="32">
        <f>AG$46</f>
        <v>0</v>
      </c>
    </row>
    <row r="56" spans="1:67" x14ac:dyDescent="0.3">
      <c r="A56" s="18" t="s">
        <v>35</v>
      </c>
      <c r="B56" s="50"/>
      <c r="C56" s="50"/>
      <c r="D56" s="138"/>
      <c r="E56" s="53"/>
      <c r="F56" s="138"/>
      <c r="G56" s="53"/>
      <c r="H56" s="138"/>
      <c r="I56" s="138"/>
      <c r="BJ56">
        <f t="shared" si="15"/>
        <v>131</v>
      </c>
      <c r="BK56" t="str">
        <f t="shared" si="16"/>
        <v>LittlePigs_up_to_31_org</v>
      </c>
      <c r="BL56" t="s">
        <v>127</v>
      </c>
      <c r="BM56">
        <f t="shared" si="24"/>
        <v>0</v>
      </c>
      <c r="BN56" s="32">
        <f>$AH$34</f>
        <v>0</v>
      </c>
      <c r="BO56" s="32">
        <f>AH$46</f>
        <v>0</v>
      </c>
    </row>
    <row r="57" spans="1:67" x14ac:dyDescent="0.3">
      <c r="A57" s="18" t="s">
        <v>36</v>
      </c>
      <c r="B57" s="50"/>
      <c r="C57" s="50"/>
      <c r="D57" s="138"/>
      <c r="E57" s="53"/>
      <c r="F57" s="138"/>
      <c r="G57" s="53"/>
      <c r="H57" s="138"/>
      <c r="I57" s="138"/>
      <c r="BJ57">
        <f t="shared" si="15"/>
        <v>131</v>
      </c>
      <c r="BK57" t="str">
        <f t="shared" si="16"/>
        <v>LittlePigs_up_to_31_org</v>
      </c>
      <c r="BL57" t="s">
        <v>127</v>
      </c>
      <c r="BM57">
        <f t="shared" si="24"/>
        <v>0</v>
      </c>
      <c r="BN57">
        <f>$AI$34</f>
        <v>0</v>
      </c>
      <c r="BO57" s="32">
        <f>AI$46</f>
        <v>0</v>
      </c>
    </row>
    <row r="58" spans="1:67" x14ac:dyDescent="0.3">
      <c r="A58" s="18" t="s">
        <v>37</v>
      </c>
      <c r="B58" s="50"/>
      <c r="C58" s="50"/>
      <c r="D58" s="138"/>
      <c r="E58" s="53"/>
      <c r="F58" s="138"/>
      <c r="G58" s="53"/>
      <c r="H58" s="138"/>
      <c r="I58" s="138"/>
      <c r="BJ58">
        <f t="shared" si="15"/>
        <v>131</v>
      </c>
      <c r="BK58" t="str">
        <f t="shared" si="16"/>
        <v>LittlePigs_up_to_31_org</v>
      </c>
      <c r="BL58" t="s">
        <v>127</v>
      </c>
      <c r="BM58">
        <f t="shared" si="24"/>
        <v>0</v>
      </c>
      <c r="BN58">
        <f>$AJ$34</f>
        <v>0</v>
      </c>
      <c r="BO58" s="32">
        <f>AJ$46</f>
        <v>0</v>
      </c>
    </row>
    <row r="59" spans="1:67" x14ac:dyDescent="0.3">
      <c r="A59" s="18" t="s">
        <v>56</v>
      </c>
      <c r="B59" s="24"/>
      <c r="D59" s="32"/>
      <c r="F59" s="32"/>
      <c r="H59" s="138"/>
      <c r="I59" s="138"/>
      <c r="BJ59">
        <f t="shared" si="15"/>
        <v>131</v>
      </c>
      <c r="BK59" t="str">
        <f t="shared" si="16"/>
        <v>LittlePigs_up_to_31_org</v>
      </c>
      <c r="BL59" t="s">
        <v>127</v>
      </c>
      <c r="BM59">
        <f t="shared" ref="BL59:BM62" si="25">$B$47</f>
        <v>0</v>
      </c>
      <c r="BN59">
        <f>$AG$34</f>
        <v>0</v>
      </c>
      <c r="BO59" s="32">
        <f>AG$47</f>
        <v>0</v>
      </c>
    </row>
    <row r="60" spans="1:67" x14ac:dyDescent="0.3">
      <c r="BJ60">
        <f t="shared" si="15"/>
        <v>131</v>
      </c>
      <c r="BK60" t="str">
        <f t="shared" si="16"/>
        <v>LittlePigs_up_to_31_org</v>
      </c>
      <c r="BL60" t="s">
        <v>127</v>
      </c>
      <c r="BM60">
        <f t="shared" si="25"/>
        <v>0</v>
      </c>
      <c r="BN60" s="32">
        <f>$AH$34</f>
        <v>0</v>
      </c>
      <c r="BO60" s="32">
        <f>AH$47</f>
        <v>0</v>
      </c>
    </row>
    <row r="61" spans="1:67" ht="17.399999999999999" x14ac:dyDescent="0.3">
      <c r="A61" s="31" t="s">
        <v>104</v>
      </c>
      <c r="BJ61">
        <f t="shared" si="15"/>
        <v>131</v>
      </c>
      <c r="BK61" t="str">
        <f t="shared" si="16"/>
        <v>LittlePigs_up_to_31_org</v>
      </c>
      <c r="BL61" t="s">
        <v>127</v>
      </c>
      <c r="BM61">
        <f t="shared" si="25"/>
        <v>0</v>
      </c>
      <c r="BN61">
        <f>$AI$34</f>
        <v>0</v>
      </c>
      <c r="BO61" s="32">
        <f>AI$47</f>
        <v>0</v>
      </c>
    </row>
    <row r="62" spans="1:67" x14ac:dyDescent="0.3">
      <c r="A62" s="21" t="s">
        <v>280</v>
      </c>
      <c r="B62" s="10" t="s">
        <v>101</v>
      </c>
      <c r="C62" s="10" t="s">
        <v>102</v>
      </c>
      <c r="D62" s="10" t="s">
        <v>103</v>
      </c>
      <c r="BI62">
        <f t="shared" si="15"/>
        <v>131</v>
      </c>
      <c r="BJ62" t="str">
        <f t="shared" si="16"/>
        <v>LittlePigs_up_to_31_org</v>
      </c>
      <c r="BK62" t="s">
        <v>127</v>
      </c>
      <c r="BL62">
        <f t="shared" si="25"/>
        <v>0</v>
      </c>
      <c r="BM62">
        <f>$AJ$34</f>
        <v>0</v>
      </c>
      <c r="BN62" s="32">
        <f>AJ$47</f>
        <v>0</v>
      </c>
    </row>
    <row r="63" spans="1:67" x14ac:dyDescent="0.3">
      <c r="A63" s="18" t="s">
        <v>86</v>
      </c>
      <c r="B63" s="19"/>
      <c r="C63" s="11">
        <v>2</v>
      </c>
      <c r="D63" s="11"/>
      <c r="E63" t="s">
        <v>774</v>
      </c>
      <c r="BI63">
        <f t="shared" ref="BI63:BJ91" si="26">$BM$32</f>
        <v>131</v>
      </c>
      <c r="BJ63" t="str">
        <f t="shared" ref="BJ63:BK91" si="27">$BM$33</f>
        <v>LittlePigs_up_to_31_org</v>
      </c>
      <c r="BK63" t="s">
        <v>127</v>
      </c>
      <c r="BL63">
        <f t="shared" ref="BL63:BM68" si="28">$B$48</f>
        <v>0</v>
      </c>
      <c r="BM63" s="64" t="str">
        <f>C48</f>
        <v>Kg</v>
      </c>
      <c r="BN63" s="32">
        <f>P48</f>
        <v>0</v>
      </c>
    </row>
    <row r="64" spans="1:67" x14ac:dyDescent="0.3">
      <c r="A64" s="18" t="s">
        <v>87</v>
      </c>
      <c r="B64" s="19"/>
      <c r="C64" s="11"/>
      <c r="D64" s="11"/>
      <c r="BI64">
        <f t="shared" si="26"/>
        <v>131</v>
      </c>
      <c r="BJ64" t="str">
        <f t="shared" si="27"/>
        <v>LittlePigs_up_to_31_org</v>
      </c>
      <c r="BK64" t="s">
        <v>127</v>
      </c>
      <c r="BL64">
        <f t="shared" si="28"/>
        <v>0</v>
      </c>
      <c r="BM64" t="str">
        <f>$AF$34</f>
        <v/>
      </c>
      <c r="BN64" s="32" t="str">
        <f>AF$48</f>
        <v/>
      </c>
    </row>
    <row r="65" spans="1:67" x14ac:dyDescent="0.3">
      <c r="A65" s="156" t="s">
        <v>56</v>
      </c>
      <c r="B65" s="159">
        <f>SUM(B63:B64)</f>
        <v>0</v>
      </c>
      <c r="C65" s="159">
        <f>SUM(C63:C64)</f>
        <v>2</v>
      </c>
      <c r="D65" s="159">
        <f>SUM(D63:D64)</f>
        <v>0</v>
      </c>
      <c r="BJ65">
        <f t="shared" si="26"/>
        <v>131</v>
      </c>
      <c r="BK65" t="str">
        <f t="shared" si="27"/>
        <v>LittlePigs_up_to_31_org</v>
      </c>
      <c r="BL65" t="s">
        <v>127</v>
      </c>
      <c r="BM65">
        <f t="shared" si="28"/>
        <v>0</v>
      </c>
      <c r="BN65">
        <f>$AG$34</f>
        <v>0</v>
      </c>
      <c r="BO65" s="32">
        <f>AG$48</f>
        <v>0</v>
      </c>
    </row>
    <row r="66" spans="1:67" ht="17.399999999999999" x14ac:dyDescent="0.3">
      <c r="P66" s="31" t="s">
        <v>266</v>
      </c>
      <c r="Q66" s="31"/>
      <c r="BJ66">
        <f t="shared" si="26"/>
        <v>131</v>
      </c>
      <c r="BK66" t="str">
        <f t="shared" si="27"/>
        <v>LittlePigs_up_to_31_org</v>
      </c>
      <c r="BL66" t="s">
        <v>127</v>
      </c>
      <c r="BM66">
        <f t="shared" si="28"/>
        <v>0</v>
      </c>
      <c r="BN66" s="32">
        <f>$AH$34</f>
        <v>0</v>
      </c>
      <c r="BO66" s="32">
        <f>AH$48</f>
        <v>0</v>
      </c>
    </row>
    <row r="67" spans="1:67" x14ac:dyDescent="0.3">
      <c r="A67" s="21" t="s">
        <v>18</v>
      </c>
      <c r="B67" s="37" t="s">
        <v>69</v>
      </c>
      <c r="C67" s="17" t="s">
        <v>70</v>
      </c>
      <c r="D67" s="17" t="s">
        <v>74</v>
      </c>
      <c r="E67" s="17" t="s">
        <v>80</v>
      </c>
      <c r="F67" s="17" t="s">
        <v>227</v>
      </c>
      <c r="I67" s="42"/>
      <c r="K67" s="17" t="s">
        <v>82</v>
      </c>
      <c r="L67" s="17" t="s">
        <v>17</v>
      </c>
      <c r="P67" s="17" t="str">
        <f>Other_tables!L4</f>
        <v>Transportmiddel</v>
      </c>
      <c r="Q67" s="54"/>
      <c r="R67" s="17" t="s">
        <v>119</v>
      </c>
      <c r="S67" s="17" t="s">
        <v>83</v>
      </c>
      <c r="T67" s="17" t="s">
        <v>97</v>
      </c>
      <c r="BJ67">
        <f t="shared" si="26"/>
        <v>131</v>
      </c>
      <c r="BK67" t="str">
        <f t="shared" si="27"/>
        <v>LittlePigs_up_to_31_org</v>
      </c>
      <c r="BL67" t="s">
        <v>127</v>
      </c>
      <c r="BM67">
        <f t="shared" si="28"/>
        <v>0</v>
      </c>
      <c r="BN67">
        <f>$AI$34</f>
        <v>0</v>
      </c>
      <c r="BO67" s="32">
        <f>AI$48</f>
        <v>0</v>
      </c>
    </row>
    <row r="68" spans="1:67" x14ac:dyDescent="0.3">
      <c r="A68" s="18" t="s">
        <v>44</v>
      </c>
      <c r="B68" s="38" t="s">
        <v>707</v>
      </c>
      <c r="C68" s="19">
        <v>168</v>
      </c>
      <c r="D68" s="11" t="s">
        <v>225</v>
      </c>
      <c r="E68" s="11" t="s">
        <v>81</v>
      </c>
      <c r="F68" s="5">
        <v>100</v>
      </c>
      <c r="G68" t="s">
        <v>686</v>
      </c>
      <c r="K68" s="49">
        <f t="shared" ref="K68:K72" si="29">IF(B68="",0,((((VLOOKUP(B68,$B$12:$D$18,3,FALSE))/1000)*C68)/(VLOOKUP(B68,$B$12:$R$18,17,FALSE)/1000))*(F68/100))</f>
        <v>2.2384929703520307</v>
      </c>
      <c r="L68" s="49">
        <f>IF(E68="Diesel",VLOOKUP(D68,Other_tables!$L$5:$O$13,2,FALSE)*K68,0)</f>
        <v>0</v>
      </c>
      <c r="P68" s="30" t="str">
        <f>Other_tables!L5</f>
        <v>Traktor</v>
      </c>
      <c r="Q68" s="44"/>
      <c r="R68" s="159">
        <f t="shared" ref="R68:R76" si="30">SUMPRODUCT(($D$68:$D$81=P68)*$L$68:$L$81)</f>
        <v>8.2341682240427063E-3</v>
      </c>
      <c r="S68" s="49" t="e">
        <f t="shared" ref="S68:S76" si="31">IF(P68="","0",SUMPRODUCT(($D$68:$D$81=P68)*$K$68:$K$81))</f>
        <v>#N/A</v>
      </c>
      <c r="T68" s="49">
        <f>IF(R68&gt;0,0,(S68*VLOOKUP(P68,Other_tables!$L$5:$O$13,2,FALSE))/1000)</f>
        <v>0</v>
      </c>
      <c r="U68" s="95"/>
      <c r="BJ68">
        <f t="shared" si="26"/>
        <v>131</v>
      </c>
      <c r="BK68" t="str">
        <f t="shared" si="27"/>
        <v>LittlePigs_up_to_31_org</v>
      </c>
      <c r="BL68" t="s">
        <v>127</v>
      </c>
      <c r="BM68">
        <f t="shared" si="28"/>
        <v>0</v>
      </c>
      <c r="BN68">
        <f>$AJ$34</f>
        <v>0</v>
      </c>
      <c r="BO68" s="32">
        <f>AJ$48</f>
        <v>0</v>
      </c>
    </row>
    <row r="69" spans="1:67" x14ac:dyDescent="0.3">
      <c r="A69" s="18" t="s">
        <v>45</v>
      </c>
      <c r="B69" s="38"/>
      <c r="C69" s="19"/>
      <c r="D69" s="11"/>
      <c r="E69" s="11"/>
      <c r="F69" s="5">
        <v>0</v>
      </c>
      <c r="K69" s="49">
        <f t="shared" si="29"/>
        <v>0</v>
      </c>
      <c r="L69" s="49">
        <f>IF(E69="Diesel",VLOOKUP(D69,Other_tables!$L$5:$O$13,2,FALSE)*K69,0)</f>
        <v>0</v>
      </c>
      <c r="P69" s="30" t="str">
        <f>Other_tables!L6</f>
        <v>Lastbil &gt; 20 T</v>
      </c>
      <c r="Q69" s="44"/>
      <c r="R69" s="159">
        <f t="shared" si="30"/>
        <v>0</v>
      </c>
      <c r="S69" s="49" t="e">
        <f t="shared" si="31"/>
        <v>#N/A</v>
      </c>
      <c r="T69" s="49" t="e">
        <f>IF(R69&gt;0,0,(S69*VLOOKUP(P69,Other_tables!$L$5:$O$13,2,FALSE))/1000)</f>
        <v>#N/A</v>
      </c>
      <c r="U69" s="95"/>
      <c r="BJ69">
        <f t="shared" si="26"/>
        <v>131</v>
      </c>
      <c r="BK69" t="str">
        <f t="shared" si="27"/>
        <v>LittlePigs_up_to_31_org</v>
      </c>
      <c r="BL69" t="s">
        <v>127</v>
      </c>
      <c r="BM69">
        <f t="shared" ref="BM69:BM74" si="32">$B$49</f>
        <v>0</v>
      </c>
      <c r="BN69" s="64" t="str">
        <f>C49</f>
        <v>Kg</v>
      </c>
      <c r="BO69" s="32">
        <f>P49</f>
        <v>0</v>
      </c>
    </row>
    <row r="70" spans="1:67" x14ac:dyDescent="0.3">
      <c r="A70" s="18" t="s">
        <v>46</v>
      </c>
      <c r="B70" s="38" t="s">
        <v>442</v>
      </c>
      <c r="C70" s="19">
        <v>168</v>
      </c>
      <c r="D70" s="11" t="s">
        <v>225</v>
      </c>
      <c r="E70" s="11" t="s">
        <v>81</v>
      </c>
      <c r="F70" s="5">
        <v>100</v>
      </c>
      <c r="G70" t="s">
        <v>230</v>
      </c>
      <c r="K70" s="49" t="e">
        <f t="shared" si="29"/>
        <v>#N/A</v>
      </c>
      <c r="L70" s="49">
        <f>IF(E70="Diesel",VLOOKUP(D70,Other_tables!$L$5:$O$13,2,FALSE)*K70,0)</f>
        <v>0</v>
      </c>
      <c r="P70" s="30" t="str">
        <f>Other_tables!L7</f>
        <v>Lastbil 10-20 T</v>
      </c>
      <c r="Q70" s="44"/>
      <c r="R70" s="159">
        <f t="shared" si="30"/>
        <v>0</v>
      </c>
      <c r="S70" s="49" t="e">
        <f t="shared" si="31"/>
        <v>#N/A</v>
      </c>
      <c r="T70" s="49" t="e">
        <f>IF(R70&gt;0,0,(S70*VLOOKUP(P70,Other_tables!$L$5:$O$13,2,FALSE))/1000)</f>
        <v>#N/A</v>
      </c>
      <c r="BJ70">
        <f t="shared" si="26"/>
        <v>131</v>
      </c>
      <c r="BK70" t="str">
        <f t="shared" si="27"/>
        <v>LittlePigs_up_to_31_org</v>
      </c>
      <c r="BL70" t="s">
        <v>127</v>
      </c>
      <c r="BM70">
        <f t="shared" si="32"/>
        <v>0</v>
      </c>
      <c r="BN70" t="str">
        <f>$AF$34</f>
        <v/>
      </c>
      <c r="BO70" s="32" t="str">
        <f>AF$49</f>
        <v/>
      </c>
    </row>
    <row r="71" spans="1:67" x14ac:dyDescent="0.3">
      <c r="A71" s="18" t="s">
        <v>47</v>
      </c>
      <c r="B71" s="38" t="s">
        <v>444</v>
      </c>
      <c r="C71" s="19">
        <v>133</v>
      </c>
      <c r="D71" s="11" t="s">
        <v>226</v>
      </c>
      <c r="E71" s="11" t="s">
        <v>81</v>
      </c>
      <c r="F71" s="5">
        <v>50</v>
      </c>
      <c r="G71" t="s">
        <v>685</v>
      </c>
      <c r="K71" s="49">
        <f t="shared" si="29"/>
        <v>1.0951443737976798</v>
      </c>
      <c r="L71" s="49">
        <f>IF(E71="Diesel",VLOOKUP(D71,Other_tables!$L$5:$O$13,2,FALSE)*K71,0)</f>
        <v>0</v>
      </c>
      <c r="P71" s="30" t="str">
        <f>Other_tables!L8</f>
        <v>Lastbil &lt; 10 T</v>
      </c>
      <c r="Q71" s="44"/>
      <c r="R71" s="159">
        <f t="shared" si="30"/>
        <v>0</v>
      </c>
      <c r="S71" s="49" t="e">
        <f t="shared" si="31"/>
        <v>#N/A</v>
      </c>
      <c r="T71" s="49" t="e">
        <f>IF(R71&gt;0,0,(S71*VLOOKUP(P71,Other_tables!$L$5:$O$13,2,FALSE))/1000)</f>
        <v>#N/A</v>
      </c>
      <c r="BJ71">
        <f t="shared" si="26"/>
        <v>131</v>
      </c>
      <c r="BK71" t="str">
        <f t="shared" si="27"/>
        <v>LittlePigs_up_to_31_org</v>
      </c>
      <c r="BL71" t="s">
        <v>127</v>
      </c>
      <c r="BM71">
        <f t="shared" si="32"/>
        <v>0</v>
      </c>
      <c r="BN71">
        <f>$AG$34</f>
        <v>0</v>
      </c>
      <c r="BO71" s="32">
        <f>AG$49</f>
        <v>0</v>
      </c>
    </row>
    <row r="72" spans="1:67" x14ac:dyDescent="0.3">
      <c r="A72" s="18" t="s">
        <v>67</v>
      </c>
      <c r="B72" s="38" t="s">
        <v>444</v>
      </c>
      <c r="C72" s="19">
        <v>5</v>
      </c>
      <c r="D72" s="11" t="s">
        <v>229</v>
      </c>
      <c r="E72" s="11" t="s">
        <v>17</v>
      </c>
      <c r="F72" s="5">
        <v>50</v>
      </c>
      <c r="K72" s="49">
        <f t="shared" si="29"/>
        <v>4.1170841120213533E-2</v>
      </c>
      <c r="L72" s="49">
        <f>IF(E72="Diesel",VLOOKUP(D72,Other_tables!$L$5:$O$13,2,FALSE)*K72,0)</f>
        <v>8.2341682240427063E-3</v>
      </c>
      <c r="P72" s="30" t="str">
        <f>Other_tables!L9</f>
        <v>Fragttog Europa</v>
      </c>
      <c r="Q72" s="44"/>
      <c r="R72" s="159">
        <f t="shared" si="30"/>
        <v>0</v>
      </c>
      <c r="S72" s="49" t="e">
        <f t="shared" si="31"/>
        <v>#N/A</v>
      </c>
      <c r="T72" s="49" t="e">
        <f>IF(R72&gt;0,0,(S72*VLOOKUP(P72,Other_tables!$L$5:$O$13,2,FALSE))/1000)</f>
        <v>#N/A</v>
      </c>
      <c r="BJ72">
        <f t="shared" si="26"/>
        <v>131</v>
      </c>
      <c r="BK72" t="str">
        <f t="shared" si="27"/>
        <v>LittlePigs_up_to_31_org</v>
      </c>
      <c r="BL72" t="s">
        <v>127</v>
      </c>
      <c r="BM72">
        <f t="shared" si="32"/>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30"/>
        <v>0</v>
      </c>
      <c r="S73" s="49" t="e">
        <f t="shared" si="31"/>
        <v>#N/A</v>
      </c>
      <c r="T73" s="49" t="e">
        <f>IF(R73&gt;0,0,(S73*VLOOKUP(P73,Other_tables!$L$5:$O$13,2,FALSE))/1000)</f>
        <v>#N/A</v>
      </c>
      <c r="BJ73">
        <f t="shared" si="26"/>
        <v>131</v>
      </c>
      <c r="BK73" t="str">
        <f t="shared" si="27"/>
        <v>LittlePigs_up_to_31_org</v>
      </c>
      <c r="BL73" t="s">
        <v>127</v>
      </c>
      <c r="BM73">
        <f t="shared" si="32"/>
        <v>0</v>
      </c>
      <c r="BN73">
        <f>$AI$34</f>
        <v>0</v>
      </c>
      <c r="BO73" s="32">
        <f>AI$49</f>
        <v>0</v>
      </c>
    </row>
    <row r="74" spans="1:67" x14ac:dyDescent="0.3">
      <c r="A74" s="18" t="s">
        <v>48</v>
      </c>
      <c r="B74" s="38"/>
      <c r="C74" s="19"/>
      <c r="D74" s="11"/>
      <c r="E74" s="11"/>
      <c r="F74" s="5">
        <v>100</v>
      </c>
      <c r="K74" s="49">
        <f t="shared" ref="K74:K81" si="33">IF(B74="",0,((((VLOOKUP(B74,$B$12:$D$18,3,FALSE))/1000)*C74)/(VLOOKUP(B74,$B$12:$R$18,17,FALSE)/1000))*(F74/100))</f>
        <v>0</v>
      </c>
      <c r="L74" s="49">
        <f>IF(E74="Diesel",VLOOKUP(D74,Other_tables!$L$5:$O$13,2,FALSE)*K74,0)</f>
        <v>0</v>
      </c>
      <c r="P74" s="30" t="str">
        <f>Other_tables!L11</f>
        <v>Skib Indlandsk</v>
      </c>
      <c r="Q74" s="44"/>
      <c r="R74" s="159">
        <f t="shared" si="30"/>
        <v>0</v>
      </c>
      <c r="S74" s="49" t="e">
        <f t="shared" si="31"/>
        <v>#N/A</v>
      </c>
      <c r="T74" s="49" t="e">
        <f>IF(R74&gt;0,0,(S74*VLOOKUP(P74,Other_tables!$L$5:$O$13,2,FALSE))/1000)</f>
        <v>#N/A</v>
      </c>
      <c r="BJ74">
        <f t="shared" si="26"/>
        <v>131</v>
      </c>
      <c r="BK74" t="str">
        <f t="shared" si="27"/>
        <v>LittlePigs_up_to_31_org</v>
      </c>
      <c r="BL74" t="s">
        <v>127</v>
      </c>
      <c r="BM74">
        <f t="shared" si="32"/>
        <v>0</v>
      </c>
      <c r="BN74">
        <f>$AJ$34</f>
        <v>0</v>
      </c>
      <c r="BO74" s="32">
        <f>AJ$49</f>
        <v>0</v>
      </c>
    </row>
    <row r="75" spans="1:67" x14ac:dyDescent="0.3">
      <c r="A75" s="18" t="s">
        <v>49</v>
      </c>
      <c r="B75" s="38"/>
      <c r="C75" s="19"/>
      <c r="D75" s="11"/>
      <c r="E75" s="11"/>
      <c r="F75" s="5">
        <v>100</v>
      </c>
      <c r="K75" s="49">
        <f t="shared" si="33"/>
        <v>0</v>
      </c>
      <c r="L75" s="49">
        <f>IF(E75="Diesel",VLOOKUP(D75,Other_tables!$L$5:$O$13,2,FALSE)*K75,0)</f>
        <v>0</v>
      </c>
      <c r="P75" s="30" t="str">
        <f>Other_tables!L12</f>
        <v>Skib Europa</v>
      </c>
      <c r="Q75" s="44"/>
      <c r="R75" s="159">
        <f t="shared" si="30"/>
        <v>0</v>
      </c>
      <c r="S75" s="49" t="e">
        <f t="shared" si="31"/>
        <v>#N/A</v>
      </c>
      <c r="T75" s="49" t="e">
        <f>IF(R75&gt;0,0,(S75*VLOOKUP(P75,Other_tables!$L$5:$O$13,2,FALSE))/1000)</f>
        <v>#N/A</v>
      </c>
      <c r="BJ75">
        <f t="shared" si="26"/>
        <v>131</v>
      </c>
      <c r="BK75" t="str">
        <f t="shared" si="27"/>
        <v>LittlePigs_up_to_31_org</v>
      </c>
      <c r="BL75" t="s">
        <v>127</v>
      </c>
      <c r="BM75" t="str">
        <f t="shared" ref="BM75:BM80" si="34">$B$50</f>
        <v>Loss</v>
      </c>
      <c r="BN75" t="str">
        <f>C50</f>
        <v>Kg</v>
      </c>
      <c r="BO75" s="64">
        <f>P50</f>
        <v>0</v>
      </c>
    </row>
    <row r="76" spans="1:67" x14ac:dyDescent="0.3">
      <c r="A76" s="18" t="s">
        <v>50</v>
      </c>
      <c r="B76" s="38"/>
      <c r="C76" s="19"/>
      <c r="D76" s="11"/>
      <c r="E76" s="11"/>
      <c r="F76" s="5">
        <v>100</v>
      </c>
      <c r="K76" s="49">
        <f t="shared" si="33"/>
        <v>0</v>
      </c>
      <c r="L76" s="49">
        <f>IF(E76="Diesel",VLOOKUP(D76,Other_tables!$L$5:$O$13,2,FALSE)*K76,0)</f>
        <v>0</v>
      </c>
      <c r="P76" s="30">
        <f>Other_tables!L13</f>
        <v>0</v>
      </c>
      <c r="Q76" s="44"/>
      <c r="R76" s="159">
        <f t="shared" si="30"/>
        <v>0</v>
      </c>
      <c r="S76" s="49" t="e">
        <f t="shared" si="31"/>
        <v>#N/A</v>
      </c>
      <c r="T76" s="49" t="e">
        <f>IF(R76&gt;0,0,(S76*VLOOKUP(P76,Other_tables!$L$5:$O$13,2,FALSE))/1000)</f>
        <v>#N/A</v>
      </c>
      <c r="BJ76">
        <f t="shared" si="26"/>
        <v>131</v>
      </c>
      <c r="BK76" t="str">
        <f t="shared" si="27"/>
        <v>LittlePigs_up_to_31_org</v>
      </c>
      <c r="BL76" t="s">
        <v>127</v>
      </c>
      <c r="BM76" t="str">
        <f t="shared" si="34"/>
        <v>Loss</v>
      </c>
      <c r="BN76" t="str">
        <f>$AF$34</f>
        <v/>
      </c>
      <c r="BO76" s="32" t="str">
        <f>AF$50</f>
        <v/>
      </c>
    </row>
    <row r="77" spans="1:67" x14ac:dyDescent="0.3">
      <c r="A77" s="18" t="s">
        <v>75</v>
      </c>
      <c r="B77" s="38"/>
      <c r="C77" s="19"/>
      <c r="D77" s="11"/>
      <c r="E77" s="11"/>
      <c r="F77" s="5">
        <v>100</v>
      </c>
      <c r="K77" s="49">
        <f t="shared" si="33"/>
        <v>0</v>
      </c>
      <c r="L77" s="49">
        <f>IF(E77="Diesel",VLOOKUP(D77,Other_tables!$L$5:$O$13,2,FALSE)*K77,0)</f>
        <v>0</v>
      </c>
      <c r="P77" s="59" t="s">
        <v>56</v>
      </c>
      <c r="Q77" s="45"/>
      <c r="R77" s="58">
        <f>SUM(R68:R76)</f>
        <v>8.2341682240427063E-3</v>
      </c>
      <c r="S77" s="57"/>
      <c r="T77" s="58" t="e">
        <f>SUM(T68:T76)</f>
        <v>#N/A</v>
      </c>
      <c r="BJ77">
        <f t="shared" si="26"/>
        <v>131</v>
      </c>
      <c r="BK77" t="str">
        <f t="shared" si="27"/>
        <v>LittlePigs_up_to_31_org</v>
      </c>
      <c r="BL77" t="s">
        <v>127</v>
      </c>
      <c r="BM77" t="str">
        <f t="shared" si="34"/>
        <v>Loss</v>
      </c>
      <c r="BN77">
        <f>$AG$34</f>
        <v>0</v>
      </c>
      <c r="BO77" s="32">
        <f>AG$50</f>
        <v>0</v>
      </c>
    </row>
    <row r="78" spans="1:67" x14ac:dyDescent="0.3">
      <c r="A78" s="18" t="s">
        <v>76</v>
      </c>
      <c r="B78" s="38"/>
      <c r="C78" s="19"/>
      <c r="D78" s="11"/>
      <c r="E78" s="11"/>
      <c r="F78" s="5">
        <v>100</v>
      </c>
      <c r="K78" s="49">
        <f t="shared" si="33"/>
        <v>0</v>
      </c>
      <c r="L78" s="49">
        <f>IF(E78="Diesel",VLOOKUP(D78,Other_tables!$L$5:$O$13,2,FALSE)*K78,0)</f>
        <v>0</v>
      </c>
      <c r="BJ78">
        <f t="shared" si="26"/>
        <v>131</v>
      </c>
      <c r="BK78" t="str">
        <f t="shared" si="27"/>
        <v>LittlePigs_up_to_31_org</v>
      </c>
      <c r="BL78" t="s">
        <v>127</v>
      </c>
      <c r="BM78" t="str">
        <f t="shared" si="34"/>
        <v>Loss</v>
      </c>
      <c r="BN78">
        <f>$AH$34</f>
        <v>0</v>
      </c>
      <c r="BO78" s="32">
        <f>AH$50</f>
        <v>0</v>
      </c>
    </row>
    <row r="79" spans="1:67" x14ac:dyDescent="0.3">
      <c r="A79" s="18" t="s">
        <v>77</v>
      </c>
      <c r="B79" s="38"/>
      <c r="C79" s="19"/>
      <c r="D79" s="11"/>
      <c r="E79" s="11"/>
      <c r="F79" s="5">
        <v>100</v>
      </c>
      <c r="K79" s="49">
        <f t="shared" si="33"/>
        <v>0</v>
      </c>
      <c r="L79" s="49">
        <f>IF(E79="Diesel",VLOOKUP(D79,Other_tables!$L$5:$O$13,2,FALSE)*K79,0)</f>
        <v>0</v>
      </c>
      <c r="BJ79">
        <f t="shared" si="26"/>
        <v>131</v>
      </c>
      <c r="BK79" t="str">
        <f t="shared" si="27"/>
        <v>LittlePigs_up_to_31_org</v>
      </c>
      <c r="BL79" t="s">
        <v>127</v>
      </c>
      <c r="BM79" t="str">
        <f t="shared" si="34"/>
        <v>Loss</v>
      </c>
      <c r="BN79">
        <f>$AI$34</f>
        <v>0</v>
      </c>
      <c r="BO79" s="32">
        <f>AI$50</f>
        <v>0</v>
      </c>
    </row>
    <row r="80" spans="1:67" x14ac:dyDescent="0.3">
      <c r="A80" s="18" t="s">
        <v>78</v>
      </c>
      <c r="B80" s="38"/>
      <c r="C80" s="19"/>
      <c r="D80" s="11"/>
      <c r="E80" s="11"/>
      <c r="F80" s="5">
        <v>100</v>
      </c>
      <c r="K80" s="49">
        <f t="shared" si="33"/>
        <v>0</v>
      </c>
      <c r="L80" s="49">
        <f>IF(E80="Diesel",VLOOKUP(D80,Other_tables!$L$5:$O$13,2,FALSE)*K80,0)</f>
        <v>0</v>
      </c>
      <c r="BJ80">
        <f t="shared" si="26"/>
        <v>131</v>
      </c>
      <c r="BK80" t="str">
        <f t="shared" si="27"/>
        <v>LittlePigs_up_to_31_org</v>
      </c>
      <c r="BL80" t="s">
        <v>127</v>
      </c>
      <c r="BM80" t="str">
        <f t="shared" si="34"/>
        <v>Loss</v>
      </c>
      <c r="BN80">
        <f>$AJ$34</f>
        <v>0</v>
      </c>
      <c r="BO80" s="32">
        <f>AJ$50</f>
        <v>0</v>
      </c>
    </row>
    <row r="81" spans="1:67" x14ac:dyDescent="0.3">
      <c r="A81" s="18" t="s">
        <v>79</v>
      </c>
      <c r="B81" s="38"/>
      <c r="C81" s="19"/>
      <c r="D81" s="11"/>
      <c r="E81" s="11"/>
      <c r="F81" s="5">
        <v>100</v>
      </c>
      <c r="K81" s="49">
        <f t="shared" si="33"/>
        <v>0</v>
      </c>
      <c r="L81" s="49">
        <f>IF(E81="Diesel",VLOOKUP(D81,Other_tables!$L$5:$O$13,2,FALSE)*K81,0)</f>
        <v>0</v>
      </c>
      <c r="BJ81">
        <f t="shared" si="26"/>
        <v>131</v>
      </c>
      <c r="BK81" t="str">
        <f t="shared" si="27"/>
        <v>LittlePigs_up_to_31_org</v>
      </c>
      <c r="BL81" t="s">
        <v>118</v>
      </c>
      <c r="BM81" t="s">
        <v>118</v>
      </c>
      <c r="BN81">
        <f>I53</f>
        <v>0</v>
      </c>
      <c r="BO81" s="47">
        <f>I59</f>
        <v>0</v>
      </c>
    </row>
    <row r="82" spans="1:67" ht="17.399999999999999" x14ac:dyDescent="0.3">
      <c r="A82" s="25"/>
      <c r="B82" s="25"/>
      <c r="C82" s="24"/>
      <c r="D82" s="24"/>
      <c r="P82" s="31" t="s">
        <v>95</v>
      </c>
      <c r="Q82" s="55"/>
      <c r="BJ82">
        <f t="shared" si="26"/>
        <v>131</v>
      </c>
      <c r="BK82" t="str">
        <f t="shared" si="27"/>
        <v>LittlePigs_up_to_31_org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6"/>
        <v>131</v>
      </c>
      <c r="BK83" t="str">
        <f t="shared" si="27"/>
        <v>LittlePigs_up_to_31_org</v>
      </c>
      <c r="BL83" t="str">
        <f>$A$67</f>
        <v>Transport</v>
      </c>
      <c r="BM83" t="str">
        <f>BL83</f>
        <v>Transport</v>
      </c>
      <c r="BN83" t="str">
        <f>R67</f>
        <v>Diesel (L)</v>
      </c>
      <c r="BO83" s="47">
        <f>R77</f>
        <v>8.2341682240427063E-3</v>
      </c>
    </row>
    <row r="84" spans="1:67" x14ac:dyDescent="0.3">
      <c r="A84" s="18" t="s">
        <v>33</v>
      </c>
      <c r="B84" s="38" t="s">
        <v>444</v>
      </c>
      <c r="C84" s="19" t="s">
        <v>217</v>
      </c>
      <c r="D84" s="28">
        <f>IF(B84="","",VLOOKUP(C84,Other_tables!$S$5:$AA$22,7,FALSE))</f>
        <v>2.148148148148148E-2</v>
      </c>
      <c r="E84" s="28">
        <f>IF(B84="","",VLOOKUP(C84,Other_tables!$S$5:$AA$22,3,FALSE))</f>
        <v>2.839506172839506E-3</v>
      </c>
      <c r="F84" s="5">
        <v>100</v>
      </c>
      <c r="P84" s="30" t="str">
        <f t="shared" ref="P84:P92" si="35">B84</f>
        <v>Grain_org</v>
      </c>
      <c r="Q84" s="44"/>
      <c r="R84" s="49">
        <f>IF(D84="",0,VLOOKUP(P84,$B$12:$D$18,3,FALSE)*D84)</f>
        <v>0.3007407407407407</v>
      </c>
      <c r="S84" s="49">
        <f>IF(E84="",0,VLOOKUP(P84,$B$12:$D$18,3,FALSE)*E84)</f>
        <v>3.9753086419753086E-2</v>
      </c>
      <c r="BJ84">
        <f t="shared" si="26"/>
        <v>131</v>
      </c>
      <c r="BK84" t="str">
        <f t="shared" si="27"/>
        <v>LittlePigs_up_to_31_org</v>
      </c>
      <c r="BL84" t="str">
        <f>$A$67</f>
        <v>Transport</v>
      </c>
      <c r="BM84" t="str">
        <f>BL84</f>
        <v>Transport</v>
      </c>
      <c r="BN84" t="str">
        <f>T67</f>
        <v>kg CO₂eq for T/km</v>
      </c>
      <c r="BO84" s="47" t="e">
        <f>T77</f>
        <v>#N/A</v>
      </c>
    </row>
    <row r="85" spans="1:67" x14ac:dyDescent="0.3">
      <c r="A85" s="18" t="s">
        <v>34</v>
      </c>
      <c r="B85" s="38"/>
      <c r="C85" s="19"/>
      <c r="D85" s="28" t="str">
        <f>IF(B85="","",VLOOKUP(C85,Other_tables!$S$5:$AA$22,7,FALSE))</f>
        <v/>
      </c>
      <c r="E85" s="28" t="str">
        <f>IF(B85="","",VLOOKUP(C85,Other_tables!$S$5:$AA$22,3,FALSE))</f>
        <v/>
      </c>
      <c r="F85" s="5">
        <v>100</v>
      </c>
      <c r="P85" s="30">
        <f t="shared" si="35"/>
        <v>0</v>
      </c>
      <c r="Q85" s="44"/>
      <c r="R85" s="49">
        <f t="shared" ref="R85:R92" si="36">IF(D85="",0,VLOOKUP(P85,$B$12:$D$18,3,FALSE)*D85)</f>
        <v>0</v>
      </c>
      <c r="S85" s="49">
        <f t="shared" ref="S85:S92" si="37">IF(E85="",0,VLOOKUP(P85,$B$12:$D$18,3,FALSE)*E85)</f>
        <v>0</v>
      </c>
      <c r="BJ85">
        <f t="shared" si="26"/>
        <v>131</v>
      </c>
      <c r="BK85" t="str">
        <f t="shared" si="27"/>
        <v>LittlePigs_up_to_31_org</v>
      </c>
      <c r="BL85" t="s">
        <v>120</v>
      </c>
      <c r="BM85" t="s">
        <v>120</v>
      </c>
      <c r="BN85" t="str">
        <f>R83</f>
        <v>EL (KWh)</v>
      </c>
      <c r="BO85" s="47">
        <f>R93</f>
        <v>0.3007407407407407</v>
      </c>
    </row>
    <row r="86" spans="1:67" x14ac:dyDescent="0.3">
      <c r="A86" s="18" t="s">
        <v>35</v>
      </c>
      <c r="B86" s="38"/>
      <c r="C86" s="19"/>
      <c r="D86" s="28" t="str">
        <f>IF(B86="","",VLOOKUP(C86,Other_tables!$S$5:$AA$22,7,FALSE))</f>
        <v/>
      </c>
      <c r="E86" s="28" t="str">
        <f>IF(B86="","",VLOOKUP(C86,Other_tables!$S$5:$AA$22,3,FALSE))</f>
        <v/>
      </c>
      <c r="F86" s="5">
        <v>100</v>
      </c>
      <c r="P86" s="30">
        <f t="shared" si="35"/>
        <v>0</v>
      </c>
      <c r="Q86" s="44"/>
      <c r="R86" s="49">
        <f>IF(D86="",0,VLOOKUP(P86,$B$12:$D$18,3,FALSE)*D86)</f>
        <v>0</v>
      </c>
      <c r="S86" s="49">
        <f t="shared" si="37"/>
        <v>0</v>
      </c>
      <c r="BJ86">
        <f t="shared" si="26"/>
        <v>131</v>
      </c>
      <c r="BK86" t="str">
        <f t="shared" si="27"/>
        <v>LittlePigs_up_to_31_org</v>
      </c>
      <c r="BL86" t="s">
        <v>120</v>
      </c>
      <c r="BM86" t="s">
        <v>120</v>
      </c>
      <c r="BN86" t="str">
        <f>S83</f>
        <v>Diesel (L)</v>
      </c>
      <c r="BO86" s="47">
        <f>S93</f>
        <v>3.9753086419753086E-2</v>
      </c>
    </row>
    <row r="87" spans="1:67" x14ac:dyDescent="0.3">
      <c r="A87" s="18" t="s">
        <v>36</v>
      </c>
      <c r="B87" s="38"/>
      <c r="C87" s="19"/>
      <c r="D87" s="28" t="str">
        <f>IF(B87="","",VLOOKUP(C87,Other_tables!$S$5:$AA$22,7,FALSE))</f>
        <v/>
      </c>
      <c r="E87" s="28" t="str">
        <f>IF(B87="","",VLOOKUP(C87,Other_tables!$S$5:$AA$22,3,FALSE))</f>
        <v/>
      </c>
      <c r="F87" s="5">
        <v>100</v>
      </c>
      <c r="P87" s="30">
        <f t="shared" si="35"/>
        <v>0</v>
      </c>
      <c r="Q87" s="44"/>
      <c r="R87" s="49">
        <f t="shared" si="36"/>
        <v>0</v>
      </c>
      <c r="S87" s="49">
        <f t="shared" si="37"/>
        <v>0</v>
      </c>
      <c r="BJ87">
        <f t="shared" si="26"/>
        <v>131</v>
      </c>
      <c r="BK87" t="str">
        <f t="shared" si="27"/>
        <v>LittlePigs_up_to_31_org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5"/>
        <v>0</v>
      </c>
      <c r="Q88" s="44"/>
      <c r="R88" s="49">
        <f t="shared" si="36"/>
        <v>0</v>
      </c>
      <c r="S88" s="49">
        <f t="shared" si="37"/>
        <v>0</v>
      </c>
      <c r="BJ88">
        <f t="shared" si="26"/>
        <v>131</v>
      </c>
      <c r="BK88" t="str">
        <f t="shared" si="27"/>
        <v>LittlePigs_up_to_31_org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5"/>
        <v>0</v>
      </c>
      <c r="Q89" s="44"/>
      <c r="R89" s="49">
        <f t="shared" si="36"/>
        <v>0</v>
      </c>
      <c r="S89" s="49">
        <f t="shared" si="37"/>
        <v>0</v>
      </c>
      <c r="BJ89">
        <f t="shared" si="26"/>
        <v>131</v>
      </c>
      <c r="BK89" t="str">
        <f t="shared" si="27"/>
        <v>LittlePigs_up_to_31_org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5"/>
        <v>0</v>
      </c>
      <c r="Q90" s="44"/>
      <c r="R90" s="49">
        <f t="shared" si="36"/>
        <v>0</v>
      </c>
      <c r="S90" s="49">
        <f t="shared" si="37"/>
        <v>0</v>
      </c>
      <c r="BJ90">
        <f t="shared" si="26"/>
        <v>131</v>
      </c>
      <c r="BK90" t="str">
        <f t="shared" si="27"/>
        <v>LittlePigs_up_to_31_org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5"/>
        <v>0</v>
      </c>
      <c r="Q91" s="44"/>
      <c r="R91" s="49">
        <f t="shared" si="36"/>
        <v>0</v>
      </c>
      <c r="S91" s="49">
        <f t="shared" si="37"/>
        <v>0</v>
      </c>
      <c r="BJ91">
        <f t="shared" si="26"/>
        <v>131</v>
      </c>
      <c r="BK91" t="str">
        <f t="shared" si="27"/>
        <v>LittlePigs_up_to_31_org</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5"/>
        <v>0</v>
      </c>
      <c r="Q92" s="44"/>
      <c r="R92" s="49">
        <f t="shared" si="36"/>
        <v>0</v>
      </c>
      <c r="S92" s="49">
        <f t="shared" si="37"/>
        <v>0</v>
      </c>
    </row>
    <row r="93" spans="1:67" x14ac:dyDescent="0.3">
      <c r="P93" s="59" t="s">
        <v>56</v>
      </c>
      <c r="Q93" s="45"/>
      <c r="R93" s="58">
        <f>SUM(R84:R92)</f>
        <v>0.3007407407407407</v>
      </c>
      <c r="S93" s="58">
        <f>SUM(S84:S92)</f>
        <v>3.9753086419753086E-2</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8">B97</f>
        <v>0</v>
      </c>
      <c r="Q97" s="56"/>
      <c r="R97" s="49">
        <f t="shared" ref="R97:R105" si="39">IF(C97="",0,VLOOKUP(P97,$B$24:$D$30,3,FALSE)*C97)</f>
        <v>0</v>
      </c>
      <c r="S97" s="49">
        <f t="shared" ref="S97:S105" si="40">IF(D97="",0,VLOOKUP(P97,$B$24:$D$30,3,FALSE)*D97)</f>
        <v>0</v>
      </c>
      <c r="T97" s="49">
        <f t="shared" ref="T97:T105" si="41">IF(E97="",0,VLOOKUP(P97,$B$24:$D$30,3,FALSE)*E97)</f>
        <v>0</v>
      </c>
    </row>
    <row r="98" spans="1:20" x14ac:dyDescent="0.3">
      <c r="A98" s="18" t="s">
        <v>87</v>
      </c>
      <c r="B98" s="38"/>
      <c r="C98" s="19"/>
      <c r="D98" s="11"/>
      <c r="E98" s="11"/>
      <c r="P98" s="30">
        <f t="shared" si="38"/>
        <v>0</v>
      </c>
      <c r="Q98" s="44"/>
      <c r="R98" s="49">
        <f t="shared" si="39"/>
        <v>0</v>
      </c>
      <c r="S98" s="49">
        <f t="shared" si="40"/>
        <v>0</v>
      </c>
      <c r="T98" s="49">
        <f t="shared" si="41"/>
        <v>0</v>
      </c>
    </row>
    <row r="99" spans="1:20" x14ac:dyDescent="0.3">
      <c r="A99" s="18" t="s">
        <v>88</v>
      </c>
      <c r="B99" s="38"/>
      <c r="C99" s="19"/>
      <c r="D99" s="11"/>
      <c r="E99" s="11"/>
      <c r="P99" s="30">
        <f t="shared" si="38"/>
        <v>0</v>
      </c>
      <c r="Q99" s="44"/>
      <c r="R99" s="49">
        <f t="shared" si="39"/>
        <v>0</v>
      </c>
      <c r="S99" s="49">
        <f t="shared" si="40"/>
        <v>0</v>
      </c>
      <c r="T99" s="49">
        <f t="shared" si="41"/>
        <v>0</v>
      </c>
    </row>
    <row r="100" spans="1:20" x14ac:dyDescent="0.3">
      <c r="A100" s="18" t="s">
        <v>89</v>
      </c>
      <c r="B100" s="38"/>
      <c r="C100" s="19"/>
      <c r="D100" s="11"/>
      <c r="E100" s="11"/>
      <c r="P100" s="30">
        <f t="shared" si="38"/>
        <v>0</v>
      </c>
      <c r="Q100" s="44"/>
      <c r="R100" s="49">
        <f t="shared" si="39"/>
        <v>0</v>
      </c>
      <c r="S100" s="49">
        <f t="shared" si="40"/>
        <v>0</v>
      </c>
      <c r="T100" s="49">
        <f t="shared" si="41"/>
        <v>0</v>
      </c>
    </row>
    <row r="101" spans="1:20" x14ac:dyDescent="0.3">
      <c r="A101" s="18" t="s">
        <v>90</v>
      </c>
      <c r="B101" s="38"/>
      <c r="C101" s="19"/>
      <c r="D101" s="11"/>
      <c r="E101" s="11"/>
      <c r="P101" s="30">
        <f t="shared" si="38"/>
        <v>0</v>
      </c>
      <c r="Q101" s="44"/>
      <c r="R101" s="49">
        <f t="shared" si="39"/>
        <v>0</v>
      </c>
      <c r="S101" s="49">
        <f t="shared" si="40"/>
        <v>0</v>
      </c>
      <c r="T101" s="49">
        <f t="shared" si="41"/>
        <v>0</v>
      </c>
    </row>
    <row r="102" spans="1:20" x14ac:dyDescent="0.3">
      <c r="A102" s="18" t="s">
        <v>91</v>
      </c>
      <c r="B102" s="38"/>
      <c r="C102" s="19"/>
      <c r="D102" s="11"/>
      <c r="E102" s="11"/>
      <c r="P102" s="30">
        <f t="shared" si="38"/>
        <v>0</v>
      </c>
      <c r="Q102" s="44"/>
      <c r="R102" s="49">
        <f t="shared" si="39"/>
        <v>0</v>
      </c>
      <c r="S102" s="49">
        <f t="shared" si="40"/>
        <v>0</v>
      </c>
      <c r="T102" s="49">
        <f t="shared" si="41"/>
        <v>0</v>
      </c>
    </row>
    <row r="103" spans="1:20" x14ac:dyDescent="0.3">
      <c r="A103" s="18" t="s">
        <v>92</v>
      </c>
      <c r="B103" s="38"/>
      <c r="C103" s="19"/>
      <c r="D103" s="11"/>
      <c r="E103" s="11"/>
      <c r="P103" s="30">
        <f t="shared" si="38"/>
        <v>0</v>
      </c>
      <c r="Q103" s="44"/>
      <c r="R103" s="49">
        <f t="shared" si="39"/>
        <v>0</v>
      </c>
      <c r="S103" s="49">
        <f t="shared" si="40"/>
        <v>0</v>
      </c>
      <c r="T103" s="49">
        <f t="shared" si="41"/>
        <v>0</v>
      </c>
    </row>
    <row r="104" spans="1:20" x14ac:dyDescent="0.3">
      <c r="A104" s="18" t="s">
        <v>93</v>
      </c>
      <c r="B104" s="38"/>
      <c r="C104" s="19"/>
      <c r="D104" s="11"/>
      <c r="E104" s="11"/>
      <c r="P104" s="30">
        <f t="shared" si="38"/>
        <v>0</v>
      </c>
      <c r="Q104" s="44"/>
      <c r="R104" s="49">
        <f t="shared" si="39"/>
        <v>0</v>
      </c>
      <c r="S104" s="49">
        <f t="shared" si="40"/>
        <v>0</v>
      </c>
      <c r="T104" s="49">
        <f t="shared" si="41"/>
        <v>0</v>
      </c>
    </row>
    <row r="105" spans="1:20" x14ac:dyDescent="0.3">
      <c r="A105" s="18" t="s">
        <v>94</v>
      </c>
      <c r="B105" s="38"/>
      <c r="C105" s="19"/>
      <c r="D105" s="11"/>
      <c r="E105" s="11"/>
      <c r="P105" s="30">
        <f t="shared" si="38"/>
        <v>0</v>
      </c>
      <c r="Q105" s="44"/>
      <c r="R105" s="49">
        <f t="shared" si="39"/>
        <v>0</v>
      </c>
      <c r="S105" s="49">
        <f t="shared" si="40"/>
        <v>0</v>
      </c>
      <c r="T105" s="49">
        <f t="shared" si="41"/>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744</v>
      </c>
      <c r="B122" s="158"/>
      <c r="C122" s="248">
        <v>43.591578212034612</v>
      </c>
      <c r="D122" s="6"/>
      <c r="E122" s="165">
        <v>0</v>
      </c>
      <c r="F122" s="164">
        <f>VLOOKUP(A122,'Stable systems'!$A$4:$AK$105,35,FALSE)</f>
        <v>0</v>
      </c>
      <c r="G122" s="164">
        <f>VLOOKUP(A122,'Stable systems'!$A$4:$AK$105,36,FALSE)</f>
        <v>0</v>
      </c>
      <c r="H122" s="164">
        <f>VLOOKUP(A122,'Stable systems'!$A$4:$AK$105,37,FALSE)</f>
        <v>0</v>
      </c>
      <c r="M122" s="173">
        <f>(C122/100)*E122</f>
        <v>0</v>
      </c>
    </row>
    <row r="123" spans="1:13" x14ac:dyDescent="0.3">
      <c r="A123" s="158" t="s">
        <v>745</v>
      </c>
      <c r="B123" s="158"/>
      <c r="C123" s="248">
        <v>50.368490045546963</v>
      </c>
      <c r="D123" s="6" t="s">
        <v>432</v>
      </c>
      <c r="E123" s="165">
        <v>5.0999999999999996</v>
      </c>
      <c r="F123" s="164">
        <f>VLOOKUP(A123,'Stable systems'!$A$4:$AK$105,35,FALSE)</f>
        <v>0</v>
      </c>
      <c r="G123" s="164">
        <f>VLOOKUP(A123,'Stable systems'!$A$4:$AK$105,36,FALSE)</f>
        <v>0</v>
      </c>
      <c r="H123" s="164">
        <f>VLOOKUP(A123,'Stable systems'!$A$4:$AK$105,37,FALSE)</f>
        <v>5.0999999999999996</v>
      </c>
      <c r="M123" s="173">
        <f t="shared" ref="M123:M131" si="42">(C123/100)*E123</f>
        <v>2.5687929923228952</v>
      </c>
    </row>
    <row r="124" spans="1:13" x14ac:dyDescent="0.3">
      <c r="A124" s="158" t="s">
        <v>746</v>
      </c>
      <c r="B124" s="158"/>
      <c r="C124" s="248">
        <v>6.039931742418414</v>
      </c>
      <c r="D124" s="6" t="s">
        <v>432</v>
      </c>
      <c r="E124" s="165">
        <v>1.7</v>
      </c>
      <c r="F124" s="164">
        <f>VLOOKUP(A124,'Stable systems'!$A$4:$AK$105,35,FALSE)</f>
        <v>0</v>
      </c>
      <c r="G124" s="164">
        <f>VLOOKUP(A124,'Stable systems'!$A$4:$AK$105,36,FALSE)</f>
        <v>0</v>
      </c>
      <c r="H124" s="164">
        <f>VLOOKUP(A124,'Stable systems'!$A$4:$AK$105,37,FALSE)</f>
        <v>1.7</v>
      </c>
      <c r="M124" s="173">
        <f t="shared" si="42"/>
        <v>0.10267883962111303</v>
      </c>
    </row>
    <row r="125" spans="1:13" x14ac:dyDescent="0.3">
      <c r="A125" s="158"/>
      <c r="B125" s="158"/>
      <c r="C125" s="248"/>
      <c r="D125" s="6"/>
      <c r="E125" s="165"/>
      <c r="F125" s="164" t="e">
        <f>VLOOKUP(A125,'Stable systems'!$A$4:$AK$105,35,FALSE)</f>
        <v>#N/A</v>
      </c>
      <c r="G125" s="164" t="e">
        <f>VLOOKUP(A125,'Stable systems'!$A$4:$AK$105,36,FALSE)</f>
        <v>#N/A</v>
      </c>
      <c r="H125" s="164" t="e">
        <f>VLOOKUP(A125,'Stable systems'!$A$4:$AK$105,37,FALSE)</f>
        <v>#N/A</v>
      </c>
      <c r="M125" s="173">
        <f t="shared" si="42"/>
        <v>0</v>
      </c>
    </row>
    <row r="126" spans="1:13" x14ac:dyDescent="0.3">
      <c r="A126" s="158"/>
      <c r="B126" s="158"/>
      <c r="C126" s="248"/>
      <c r="D126" s="6"/>
      <c r="E126" s="165"/>
      <c r="F126" s="164" t="e">
        <f>VLOOKUP(A126,'Stable systems'!$A$4:$AK$105,35,FALSE)</f>
        <v>#N/A</v>
      </c>
      <c r="G126" s="164" t="e">
        <f>VLOOKUP(A126,'Stable systems'!$A$4:$AK$105,36,FALSE)</f>
        <v>#N/A</v>
      </c>
      <c r="H126" s="164" t="e">
        <f>VLOOKUP(A126,'Stable systems'!$A$4:$AK$105,37,FALSE)</f>
        <v>#N/A</v>
      </c>
      <c r="M126" s="173">
        <f t="shared" si="42"/>
        <v>0</v>
      </c>
    </row>
    <row r="127" spans="1:13" x14ac:dyDescent="0.3">
      <c r="A127" s="158"/>
      <c r="B127" s="158"/>
      <c r="C127" s="248"/>
      <c r="D127" s="6"/>
      <c r="E127" s="165"/>
      <c r="F127" s="164" t="e">
        <f>VLOOKUP(A127,'Stable systems'!$A$4:$AK$105,35,FALSE)</f>
        <v>#N/A</v>
      </c>
      <c r="G127" s="164" t="e">
        <f>VLOOKUP(A127,'Stable systems'!$A$4:$AK$105,36,FALSE)</f>
        <v>#N/A</v>
      </c>
      <c r="H127" s="164" t="e">
        <f>VLOOKUP(A127,'Stable systems'!$A$4:$AK$105,37,FALSE)</f>
        <v>#N/A</v>
      </c>
      <c r="M127" s="173">
        <f t="shared" si="42"/>
        <v>0</v>
      </c>
    </row>
    <row r="128" spans="1:13" x14ac:dyDescent="0.3">
      <c r="A128" s="158"/>
      <c r="B128" s="158"/>
      <c r="C128" s="248"/>
      <c r="D128" s="6"/>
      <c r="E128" s="165"/>
      <c r="F128" s="164" t="e">
        <f>VLOOKUP(A128,'Stable systems'!$A$4:$AK$105,35,FALSE)</f>
        <v>#N/A</v>
      </c>
      <c r="G128" s="164" t="e">
        <f>VLOOKUP(A128,'Stable systems'!$A$4:$AK$105,36,FALSE)</f>
        <v>#N/A</v>
      </c>
      <c r="H128" s="164" t="e">
        <f>VLOOKUP(A128,'Stable systems'!$A$4:$AK$105,37,FALSE)</f>
        <v>#N/A</v>
      </c>
      <c r="M128" s="173">
        <f t="shared" si="42"/>
        <v>0</v>
      </c>
    </row>
    <row r="129" spans="1:16" x14ac:dyDescent="0.3">
      <c r="A129" s="158"/>
      <c r="B129" s="158"/>
      <c r="C129" s="248"/>
      <c r="D129" s="6"/>
      <c r="E129" s="165"/>
      <c r="F129" s="164" t="e">
        <f>VLOOKUP(A129,'Stable systems'!$A$4:$AK$105,35,FALSE)</f>
        <v>#N/A</v>
      </c>
      <c r="G129" s="164" t="e">
        <f>VLOOKUP(A129,'Stable systems'!$A$4:$AK$105,36,FALSE)</f>
        <v>#N/A</v>
      </c>
      <c r="H129" s="164" t="e">
        <f>VLOOKUP(A129,'Stable systems'!$A$4:$AK$105,37,FALSE)</f>
        <v>#N/A</v>
      </c>
      <c r="M129" s="173">
        <f t="shared" si="42"/>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2"/>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2"/>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3">(C133/100)*E133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3"/>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2.6714718319440083</v>
      </c>
    </row>
    <row r="141" spans="1:16" x14ac:dyDescent="0.3">
      <c r="A141" s="30" t="s">
        <v>262</v>
      </c>
      <c r="B141" s="38"/>
      <c r="C141" s="4">
        <f>VLOOKUP(B141,Biomass_pool_output_Tech1_modul!$A$3:$G$100,7,FALSE)</f>
        <v>0</v>
      </c>
      <c r="D141" s="177">
        <f t="shared" ref="D141:D142" si="44">IF(B141="",0,SUMPRODUCT(($D$122:$D$134=B141)*$M$122:$M$134)*((100-$C$136)/100))</f>
        <v>0</v>
      </c>
    </row>
    <row r="142" spans="1:16" x14ac:dyDescent="0.3">
      <c r="A142" s="30" t="s">
        <v>263</v>
      </c>
      <c r="B142" s="38"/>
      <c r="C142" s="4">
        <f>VLOOKUP(B142,Biomass_pool_output_Tech1_modul!$A$3:$G$100,7,FALSE)</f>
        <v>0</v>
      </c>
      <c r="D142" s="177">
        <f t="shared" si="44"/>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1.5696665150934777E-2</v>
      </c>
      <c r="L146" s="49">
        <f>IF(E146="Diesel",VLOOKUP(D146,Other_tables!$L$5:$O$13,2,FALSE)*K146,0)</f>
        <v>3.1393330301869556E-3</v>
      </c>
      <c r="P146" s="30" t="str">
        <f>Other_tables!L5</f>
        <v>Traktor</v>
      </c>
      <c r="Q146" s="44"/>
      <c r="R146" s="103">
        <f t="shared" ref="R146:R154" si="45">SUMPRODUCT(($D$146:$D$149=P146)*$L$146:$L$149)</f>
        <v>3.1393330301869556E-3</v>
      </c>
      <c r="S146" s="114">
        <f t="shared" ref="S146:S154" si="46">IF(P146="","0",SUMPRODUCT(($D$146:$D$149=P146)*$K$146:$K$149))</f>
        <v>1.5696665150934777E-2</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5"/>
        <v>0</v>
      </c>
      <c r="S147" s="114">
        <f t="shared" si="46"/>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5"/>
        <v>0</v>
      </c>
      <c r="S148" s="114">
        <f t="shared" si="46"/>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5"/>
        <v>0</v>
      </c>
      <c r="S149" s="114">
        <f t="shared" si="46"/>
        <v>0</v>
      </c>
      <c r="T149" s="114">
        <f>IF(R149&gt;0,0,(S149*VLOOKUP(P149,Other_tables!$L$5:$O$13,2,FALSE))/1000)</f>
        <v>0</v>
      </c>
    </row>
    <row r="150" spans="1:20" x14ac:dyDescent="0.3">
      <c r="K150" s="47"/>
      <c r="L150" s="47"/>
      <c r="P150" s="30" t="str">
        <f>Other_tables!L9</f>
        <v>Fragttog Europa</v>
      </c>
      <c r="Q150" s="44"/>
      <c r="R150" s="103">
        <f t="shared" si="45"/>
        <v>0</v>
      </c>
      <c r="S150" s="114">
        <f t="shared" si="46"/>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5"/>
        <v>0</v>
      </c>
      <c r="S151" s="114">
        <f t="shared" si="46"/>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5"/>
        <v>0</v>
      </c>
      <c r="S152" s="114">
        <f t="shared" si="46"/>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5"/>
        <v>0</v>
      </c>
      <c r="S153" s="114">
        <f t="shared" si="46"/>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5"/>
        <v>0</v>
      </c>
      <c r="S154" s="114">
        <f t="shared" si="46"/>
        <v>0</v>
      </c>
      <c r="T154" s="114">
        <f>IF(R154&gt;0,0,(S154*VLOOKUP(P154,Other_tables!$L$5:$O$13,2,FALSE))/1000)</f>
        <v>0</v>
      </c>
    </row>
    <row r="155" spans="1:20" x14ac:dyDescent="0.3">
      <c r="A155" s="18" t="s">
        <v>89</v>
      </c>
      <c r="B155" s="38"/>
      <c r="C155" s="19"/>
      <c r="D155" s="11"/>
      <c r="E155" s="11"/>
      <c r="K155" s="47"/>
      <c r="L155" s="47"/>
      <c r="P155" s="59" t="s">
        <v>56</v>
      </c>
      <c r="R155" s="178">
        <f>SUM(R146:R154)</f>
        <v>3.1393330301869556E-3</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1.5806541806991318E-3</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6.3226167227965271E-3</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1.5806541806991318E-3</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9.4839250841947907E-3</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cm="1">
        <f t="array" ref="R171">SUMPRODUCT(($P$68:$P$76=P171)*$R$68:$R$76)+SUMPRODUCT(($P$146:$P$154=P171)*$R$146:$R$154)</f>
        <v>1.1373501254229663E-2</v>
      </c>
      <c r="S171" s="179"/>
      <c r="T171" s="103" t="e">
        <f t="shared" ref="T171:T179" si="47">SUMPRODUCT(($P$68:$P$76=P171)*$T$68:$T$76)+SUMPRODUCT(($P$146:$P$154=P171)*$T$146:$T$154)</f>
        <v>#N/A</v>
      </c>
    </row>
    <row r="172" spans="1:20" x14ac:dyDescent="0.3">
      <c r="A172" s="25"/>
      <c r="B172" s="138"/>
      <c r="C172" s="138"/>
      <c r="P172" s="30" t="s">
        <v>225</v>
      </c>
      <c r="Q172" s="44"/>
      <c r="R172" s="103">
        <f t="shared" ref="R172:R179" si="48">SUMPRODUCT(($P$68:$P$76=P172)*$R$68:$R$76)+SUMPRODUCT(($P$146:$P$154=P172)*$R$146:$R$154)</f>
        <v>0</v>
      </c>
      <c r="S172" s="179"/>
      <c r="T172" s="103" t="e">
        <f t="shared" si="47"/>
        <v>#N/A</v>
      </c>
    </row>
    <row r="173" spans="1:20" x14ac:dyDescent="0.3">
      <c r="A173" s="25"/>
      <c r="B173" s="138"/>
      <c r="C173" s="138"/>
      <c r="P173" s="30" t="s">
        <v>226</v>
      </c>
      <c r="Q173" s="44"/>
      <c r="R173" s="103">
        <f t="shared" si="48"/>
        <v>0</v>
      </c>
      <c r="S173" s="179"/>
      <c r="T173" s="103" t="e">
        <f t="shared" si="47"/>
        <v>#N/A</v>
      </c>
    </row>
    <row r="174" spans="1:20" x14ac:dyDescent="0.3">
      <c r="A174" s="25"/>
      <c r="B174" s="138"/>
      <c r="C174" s="138"/>
      <c r="P174" s="30" t="s">
        <v>267</v>
      </c>
      <c r="Q174" s="44"/>
      <c r="R174" s="103">
        <f t="shared" si="48"/>
        <v>0</v>
      </c>
      <c r="S174" s="179"/>
      <c r="T174" s="103" t="e">
        <f t="shared" si="47"/>
        <v>#N/A</v>
      </c>
    </row>
    <row r="175" spans="1:20" x14ac:dyDescent="0.3">
      <c r="A175" s="25"/>
      <c r="B175" s="24"/>
      <c r="P175" s="30" t="s">
        <v>268</v>
      </c>
      <c r="Q175" s="44"/>
      <c r="R175" s="103">
        <f t="shared" si="48"/>
        <v>0</v>
      </c>
      <c r="S175" s="179"/>
      <c r="T175" s="103" t="e">
        <f t="shared" si="47"/>
        <v>#N/A</v>
      </c>
    </row>
    <row r="176" spans="1:20" x14ac:dyDescent="0.3">
      <c r="G176" s="181" t="s">
        <v>101</v>
      </c>
      <c r="H176" s="181" t="s">
        <v>102</v>
      </c>
      <c r="I176" s="181" t="s">
        <v>103</v>
      </c>
      <c r="J176" s="182" t="s">
        <v>129</v>
      </c>
      <c r="P176" s="30" t="s">
        <v>269</v>
      </c>
      <c r="Q176" s="44"/>
      <c r="R176" s="103">
        <f t="shared" si="48"/>
        <v>0</v>
      </c>
      <c r="S176" s="179"/>
      <c r="T176" s="103" t="e">
        <f t="shared" si="47"/>
        <v>#N/A</v>
      </c>
    </row>
    <row r="177" spans="1:20" x14ac:dyDescent="0.3">
      <c r="F177" s="183" t="s">
        <v>279</v>
      </c>
      <c r="G177" s="81">
        <f>B65+R106+C156</f>
        <v>0</v>
      </c>
      <c r="H177" s="81">
        <f>AC31+C65+R93+S106+D118+D156+D168</f>
        <v>2.3007407407407405</v>
      </c>
      <c r="I177" s="81">
        <f>AB31+R77+D65+S93+T106+E118+R155+E156+E168</f>
        <v>6.061051275817754E-2</v>
      </c>
      <c r="J177" s="114" t="e">
        <f>AD31+T77+T155</f>
        <v>#N/A</v>
      </c>
      <c r="P177" s="30" t="s">
        <v>270</v>
      </c>
      <c r="Q177" s="44"/>
      <c r="R177" s="103">
        <f t="shared" si="48"/>
        <v>0</v>
      </c>
      <c r="S177" s="179"/>
      <c r="T177" s="103" t="e">
        <f t="shared" si="47"/>
        <v>#N/A</v>
      </c>
    </row>
    <row r="178" spans="1:20" x14ac:dyDescent="0.3">
      <c r="P178" s="30" t="s">
        <v>271</v>
      </c>
      <c r="Q178" s="44"/>
      <c r="R178" s="103">
        <f t="shared" si="48"/>
        <v>0</v>
      </c>
      <c r="S178" s="179"/>
      <c r="T178" s="103" t="e">
        <f t="shared" si="47"/>
        <v>#N/A</v>
      </c>
    </row>
    <row r="179" spans="1:20" x14ac:dyDescent="0.3">
      <c r="P179" s="30">
        <v>0</v>
      </c>
      <c r="Q179" s="44"/>
      <c r="R179" s="103">
        <f t="shared" si="48"/>
        <v>0</v>
      </c>
      <c r="S179" s="179"/>
      <c r="T179" s="103" t="e">
        <f t="shared" si="47"/>
        <v>#N/A</v>
      </c>
    </row>
    <row r="180" spans="1:20" x14ac:dyDescent="0.3">
      <c r="E180" t="s">
        <v>705</v>
      </c>
      <c r="F180" t="s">
        <v>706</v>
      </c>
      <c r="P180" s="59" t="s">
        <v>56</v>
      </c>
      <c r="R180" s="178">
        <f>SUM(R171:R179)</f>
        <v>1.1373501254229663E-2</v>
      </c>
      <c r="S180" s="47"/>
      <c r="T180" s="178" t="e">
        <f>SUM(T171:T179)</f>
        <v>#N/A</v>
      </c>
    </row>
    <row r="181" spans="1:20" x14ac:dyDescent="0.3">
      <c r="A181" t="s">
        <v>702</v>
      </c>
      <c r="B181">
        <v>1820</v>
      </c>
      <c r="C181" t="s">
        <v>43</v>
      </c>
      <c r="D181">
        <f>B181*0.85</f>
        <v>1547</v>
      </c>
      <c r="E181" s="154">
        <f>D181/$D$185*100</f>
        <v>82.471737460212935</v>
      </c>
      <c r="F181" s="110">
        <f>E181/100*1468</f>
        <v>1210.685105915926</v>
      </c>
    </row>
    <row r="182" spans="1:20" x14ac:dyDescent="0.3">
      <c r="A182" t="s">
        <v>703</v>
      </c>
      <c r="B182">
        <v>110</v>
      </c>
      <c r="C182" t="s">
        <v>43</v>
      </c>
      <c r="D182">
        <f t="shared" ref="D182" si="49">B182*0.85</f>
        <v>93.5</v>
      </c>
      <c r="E182" s="154">
        <f t="shared" ref="E182:E183" si="50">D182/$D$185*100</f>
        <v>4.9845555607821002</v>
      </c>
      <c r="F182" s="110">
        <f t="shared" ref="F182:F183" si="51">E182/100*1468</f>
        <v>73.173275632281232</v>
      </c>
    </row>
    <row r="183" spans="1:20" x14ac:dyDescent="0.3">
      <c r="A183" t="s">
        <v>704</v>
      </c>
      <c r="B183">
        <v>200</v>
      </c>
      <c r="C183" t="s">
        <v>701</v>
      </c>
      <c r="D183" s="154">
        <f>B183/0.85</f>
        <v>235.29411764705884</v>
      </c>
      <c r="E183" s="154">
        <f t="shared" si="50"/>
        <v>12.54370697900497</v>
      </c>
      <c r="F183" s="110">
        <f t="shared" si="51"/>
        <v>184.14161845179297</v>
      </c>
    </row>
    <row r="185" spans="1:20" x14ac:dyDescent="0.3">
      <c r="A185" t="s">
        <v>678</v>
      </c>
      <c r="D185" s="154">
        <f>SUM(D181:D184)</f>
        <v>1875.7941176470588</v>
      </c>
      <c r="E185" s="154">
        <f t="shared" ref="E185:F185" si="52">SUM(E181:E184)</f>
        <v>100</v>
      </c>
      <c r="F185" s="154">
        <f t="shared" si="52"/>
        <v>1468.0000000000002</v>
      </c>
    </row>
    <row r="223" spans="1:1" x14ac:dyDescent="0.3">
      <c r="A223" t="s">
        <v>232</v>
      </c>
    </row>
  </sheetData>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09:B117 B84:B92 B68:B81" xr:uid="{A19F0FDB-1BEA-4895-8AA2-19BAADA35F78}">
      <formula1>$AF$3:$AF$51</formula1>
    </dataValidation>
    <dataValidation type="list" allowBlank="1" showInputMessage="1" showErrorMessage="1" sqref="B97:B105 B82 B144:B145" xr:uid="{32B0AD32-3841-4F1F-99DB-BF3445E8F256}">
      <formula1>$B$24:$B$30</formula1>
    </dataValidation>
    <dataValidation type="list" allowBlank="1" showInputMessage="1" showErrorMessage="1" sqref="B146:B149 B152:B155 B159:B167" xr:uid="{89174B14-22BD-4E85-850D-7277202E975B}">
      <formula1>$B$140:$B$143</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9CEB55AA-CFC4-4A4C-B302-5EC2E2190B7E}">
          <x14:formula1>
            <xm:f>'Imported products'!$B$5:$B$54</xm:f>
          </x14:formula1>
          <xm:sqref>F12:F18 B17:B18 G24:G30</xm:sqref>
        </x14:dataValidation>
        <x14:dataValidation type="list" allowBlank="1" showInputMessage="1" showErrorMessage="1" xr:uid="{8BDC310C-743B-43BE-ACBF-7714A9525868}">
          <x14:formula1>
            <xm:f>Converted_feedstuff!$C$5:$C$54</xm:f>
          </x14:formula1>
          <xm:sqref>B24:B30 E24:E30</xm:sqref>
        </x14:dataValidation>
        <x14:dataValidation type="list" allowBlank="1" showInputMessage="1" showErrorMessage="1" xr:uid="{A881F58C-FA8C-4EEE-9743-B1B26EF27C59}">
          <x14:formula1>
            <xm:f>Other_tables!$G$5:$G$12</xm:f>
          </x14:formula1>
          <xm:sqref>C54:C58 C172:C174</xm:sqref>
        </x14:dataValidation>
        <x14:dataValidation type="list" allowBlank="1" showInputMessage="1" showErrorMessage="1" xr:uid="{0040D389-5BEB-441D-87A4-69DDD774CD9E}">
          <x14:formula1>
            <xm:f>'Diesel consumption for field op'!$B$4:$B$78</xm:f>
          </x14:formula1>
          <xm:sqref>C109:C117 C159:C167</xm:sqref>
        </x14:dataValidation>
        <x14:dataValidation type="list" allowBlank="1" showInputMessage="1" showErrorMessage="1" xr:uid="{638857E8-ECB4-408C-B792-97A529EFE219}">
          <x14:formula1>
            <xm:f>Other_tables!$S$5:$S$22</xm:f>
          </x14:formula1>
          <xm:sqref>C84:C92</xm:sqref>
        </x14:dataValidation>
        <x14:dataValidation type="list" allowBlank="1" showInputMessage="1" showErrorMessage="1" xr:uid="{21CAFC0D-2A48-4A80-AA3D-E508DF326A58}">
          <x14:formula1>
            <xm:f>'Processed products'!$B$5:$B$104</xm:f>
          </x14:formula1>
          <xm:sqref>B35:B42 L35:M37</xm:sqref>
        </x14:dataValidation>
        <x14:dataValidation type="list" allowBlank="1" showInputMessage="1" showErrorMessage="1" xr:uid="{58AF0888-CC31-4B9B-AF31-8A6EE33FAB8A}">
          <x14:formula1>
            <xm:f>Other_tables!$A$5:$A$50</xm:f>
          </x14:formula1>
          <xm:sqref>C19 C33</xm:sqref>
        </x14:dataValidation>
        <x14:dataValidation type="list" allowBlank="1" showInputMessage="1" showErrorMessage="1" xr:uid="{B6245B54-29C8-44AC-A9A2-C65956388463}">
          <x14:formula1>
            <xm:f>Biomass_pool_output_Tech1_modul!$A$3:$A$100</xm:f>
          </x14:formula1>
          <xm:sqref>B12:B16 B140:B143 D122:D135 E12:E18 F24:F30</xm:sqref>
        </x14:dataValidation>
        <x14:dataValidation type="list" allowBlank="1" showInputMessage="1" showErrorMessage="1" xr:uid="{16FE2675-D2F8-499E-B53E-3998DD4F4D17}">
          <x14:formula1>
            <xm:f>Other_tables!$L$5:$L$13</xm:f>
          </x14:formula1>
          <xm:sqref>D146:D149 D68:D82</xm:sqref>
        </x14:dataValidation>
        <x14:dataValidation type="list" allowBlank="1" showInputMessage="1" showErrorMessage="1" xr:uid="{BAE05CD0-1574-4B7E-ADE5-525B96606FC4}">
          <x14:formula1>
            <xm:f>Other_tables!$Q$5:$Q$6</xm:f>
          </x14:formula1>
          <xm:sqref>E146:E149 E68:E82</xm:sqref>
        </x14:dataValidation>
        <x14:dataValidation type="list" allowBlank="1" showInputMessage="1" showErrorMessage="1" xr:uid="{947F0A37-1C67-4EC5-9385-EB1D07886153}">
          <x14:formula1>
            <xm:f>'Respiration and enteric gas los'!$A$4:$A$35</xm:f>
          </x14:formula1>
          <xm:sqref>B54</xm:sqref>
        </x14:dataValidation>
        <x14:dataValidation type="list" allowBlank="1" showInputMessage="1" showErrorMessage="1" xr:uid="{E0B71A69-751B-49B6-9CE4-311BDD7DA2C3}">
          <x14:formula1>
            <xm:f>'Respiration and enteric gas los'!$M$4:$M$35</xm:f>
          </x14:formula1>
          <xm:sqref>B55</xm:sqref>
        </x14:dataValidation>
        <x14:dataValidation type="list" allowBlank="1" showInputMessage="1" showErrorMessage="1" xr:uid="{091E9334-19EE-4073-99DA-A13406D13860}">
          <x14:formula1>
            <xm:f>'Processed products'!$C$5:$C$104</xm:f>
          </x14:formula1>
          <xm:sqref>D4</xm:sqref>
        </x14:dataValidation>
        <x14:dataValidation type="list" allowBlank="1" showInputMessage="1" showErrorMessage="1" xr:uid="{0EFE1D46-9858-44D6-9312-849D5EF4B32A}">
          <x14:formula1>
            <xm:f>'Processed products'!$AJ$5:$AJ$104</xm:f>
          </x14:formula1>
          <xm:sqref>A136</xm:sqref>
        </x14:dataValidation>
        <x14:dataValidation type="list" allowBlank="1" showInputMessage="1" showErrorMessage="1" xr:uid="{C7434FC7-A787-4DC4-948D-43B58A947919}">
          <x14:formula1>
            <xm:f>'Processed products'!$AJ$5:$AJ$250</xm:f>
          </x14:formula1>
          <xm:sqref>B45:B49</xm:sqref>
        </x14:dataValidation>
        <x14:dataValidation type="list" allowBlank="1" showInputMessage="1" showErrorMessage="1" xr:uid="{1A6FD8C5-9B67-49EA-A302-096C8A1C0C5F}">
          <x14:formula1>
            <xm:f>'Stable systems'!$A$4:$A$105</xm:f>
          </x14:formula1>
          <xm:sqref>A122:A134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538C-63DF-451D-AAB0-5ADD9D776B6C}">
  <sheetPr>
    <tabColor theme="9" tint="0.59999389629810485"/>
  </sheetPr>
  <dimension ref="A1:BO223"/>
  <sheetViews>
    <sheetView topLeftCell="A5" workbookViewId="0">
      <selection activeCell="P15" sqref="P15"/>
    </sheetView>
  </sheetViews>
  <sheetFormatPr defaultRowHeight="14.4" x14ac:dyDescent="0.3"/>
  <cols>
    <col min="1" max="1" width="57.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Protein_1_org</v>
      </c>
    </row>
    <row r="4" spans="1:36" x14ac:dyDescent="0.3">
      <c r="A4" s="15" t="s">
        <v>31</v>
      </c>
      <c r="B4" s="299">
        <v>132</v>
      </c>
      <c r="C4" s="299"/>
      <c r="D4" s="5" t="s">
        <v>753</v>
      </c>
      <c r="F4" s="150" t="s">
        <v>223</v>
      </c>
      <c r="G4" s="149">
        <v>17.399999999999999</v>
      </c>
      <c r="I4" s="302" t="s">
        <v>158</v>
      </c>
      <c r="J4" s="303"/>
      <c r="K4" s="128"/>
      <c r="L4" s="134" t="s">
        <v>207</v>
      </c>
      <c r="AF4" s="144" t="str">
        <f t="shared" ref="AF4:AF9" si="0">IF(B13="","",B13)</f>
        <v>Protein_2_org</v>
      </c>
    </row>
    <row r="5" spans="1:36" x14ac:dyDescent="0.3">
      <c r="A5" s="15" t="s">
        <v>32</v>
      </c>
      <c r="B5" s="299" t="s">
        <v>751</v>
      </c>
      <c r="C5" s="299"/>
      <c r="D5" s="17" t="s">
        <v>627</v>
      </c>
      <c r="E5" t="s">
        <v>186</v>
      </c>
      <c r="F5" s="150" t="s">
        <v>224</v>
      </c>
      <c r="G5" s="149">
        <v>18.399999999999999</v>
      </c>
      <c r="I5" s="86" t="s">
        <v>159</v>
      </c>
      <c r="J5" s="5"/>
      <c r="L5" s="90">
        <v>3.14</v>
      </c>
      <c r="AF5" s="144" t="str">
        <f t="shared" si="0"/>
        <v/>
      </c>
    </row>
    <row r="6" spans="1:36" x14ac:dyDescent="0.3">
      <c r="A6" s="15" t="s">
        <v>3</v>
      </c>
      <c r="B6" s="299" t="s">
        <v>752</v>
      </c>
      <c r="C6" s="299"/>
      <c r="D6" s="5">
        <v>1.0349999999999999</v>
      </c>
      <c r="F6" s="151" t="s">
        <v>147</v>
      </c>
      <c r="G6" s="88">
        <f>(Y32/D32)*100</f>
        <v>26.22093303792748</v>
      </c>
      <c r="I6" s="86" t="s">
        <v>160</v>
      </c>
      <c r="J6" s="5"/>
      <c r="L6" s="129"/>
      <c r="AF6" s="144" t="str">
        <f t="shared" si="0"/>
        <v>Grain_org</v>
      </c>
    </row>
    <row r="7" spans="1:36" ht="14.7" customHeight="1" x14ac:dyDescent="0.3">
      <c r="A7" s="295" t="s">
        <v>55</v>
      </c>
      <c r="B7" s="296" t="s">
        <v>773</v>
      </c>
      <c r="C7" s="296"/>
      <c r="D7" s="42"/>
      <c r="F7" s="152" t="s">
        <v>187</v>
      </c>
      <c r="G7" s="257">
        <v>170</v>
      </c>
      <c r="I7" s="86" t="s">
        <v>161</v>
      </c>
      <c r="J7" s="5"/>
      <c r="L7" s="131" t="s">
        <v>198</v>
      </c>
      <c r="AF7" s="144" t="str">
        <f t="shared" si="0"/>
        <v/>
      </c>
    </row>
    <row r="8" spans="1:36" ht="15" thickBot="1" x14ac:dyDescent="0.35">
      <c r="A8" s="295"/>
      <c r="B8" s="296"/>
      <c r="C8" s="296"/>
      <c r="D8" s="47"/>
      <c r="F8" s="153" t="s">
        <v>197</v>
      </c>
      <c r="G8" s="102">
        <v>196</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Mineral_Type_2_grann_imp_org</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707</v>
      </c>
      <c r="C12" s="217" t="s">
        <v>43</v>
      </c>
      <c r="D12" s="254">
        <v>68</v>
      </c>
      <c r="E12" s="218"/>
      <c r="F12" s="218" t="s">
        <v>709</v>
      </c>
      <c r="G12" s="219"/>
      <c r="I12" s="87" t="s">
        <v>201</v>
      </c>
      <c r="J12" s="107">
        <v>1.54</v>
      </c>
      <c r="K12" s="107">
        <v>1.58</v>
      </c>
      <c r="L12" s="102"/>
      <c r="R12" s="51">
        <f>(IF($T12=0,"0",VLOOKUP($B12,Biomass_pool_output_Tech1_modul!$A$3:$G$100,7,FALSE)))</f>
        <v>900.60591062877404</v>
      </c>
      <c r="S12" s="44"/>
      <c r="T12" s="34">
        <f>IF($B12="","0",(VLOOKUP($B12,Biomass_pool_output_Tech1_modul!$A$3:$F$100,2,FALSE)*($D12)/1000))</f>
        <v>38.544477087695512</v>
      </c>
      <c r="U12" s="34">
        <f>IF($B12="","0",(VLOOKUP($B12,Biomass_pool_output_Tech1_modul!$A$3:$F$100,3,FALSE)*($D12)/1000))</f>
        <v>5.9108003496802084</v>
      </c>
      <c r="V12" s="34">
        <f>IF($B12="","0",(VLOOKUP($B12,Biomass_pool_output_Tech1_modul!$A$3:$F$100,4,FALSE)*($D12)/1000))</f>
        <v>0.37630271528613018</v>
      </c>
      <c r="W12" s="34">
        <f>IF($B12="","0",(VLOOKUP($B12,Biomass_pool_output_Tech1_modul!$A$3:$F$100,5,FALSE)*($D12)/1000))</f>
        <v>1.7946223631843892</v>
      </c>
      <c r="X12" s="34">
        <f>IF($B12="","0",(VLOOKUP($B12,Biomass_pool_output_Tech1_modul!$A$3:$F$100,6,FALSE)*$D12))</f>
        <v>1240.5668790216912</v>
      </c>
      <c r="Y12" s="34">
        <f>U12*6.25</f>
        <v>36.942502185501304</v>
      </c>
      <c r="AA12" s="53"/>
      <c r="AB12" s="53"/>
      <c r="AC12" s="53"/>
      <c r="AD12" s="53"/>
      <c r="AF12" s="144" t="str">
        <f t="shared" si="1"/>
        <v/>
      </c>
      <c r="AG12" s="53"/>
      <c r="AH12" s="53"/>
      <c r="AI12" s="53"/>
      <c r="AJ12" s="53"/>
    </row>
    <row r="13" spans="1:36" x14ac:dyDescent="0.3">
      <c r="A13" s="211" t="s">
        <v>318</v>
      </c>
      <c r="B13" s="212" t="s">
        <v>442</v>
      </c>
      <c r="C13" s="213" t="s">
        <v>43</v>
      </c>
      <c r="D13" s="255">
        <v>4</v>
      </c>
      <c r="E13" s="214"/>
      <c r="F13" s="214" t="s">
        <v>443</v>
      </c>
      <c r="R13" s="51">
        <f>(IF($T13=0,"0",VLOOKUP($B13,Biomass_pool_output_Tech1_modul!$A$3:$G$100,7,FALSE)))</f>
        <v>854.36833436743996</v>
      </c>
      <c r="S13" s="44"/>
      <c r="T13" s="34">
        <f>IF($B13="","0",(VLOOKUP($B13,Biomass_pool_output_Tech1_modul!$A$3:$F$100,2,FALSE)*($D13)/1000))</f>
        <v>1.8</v>
      </c>
      <c r="U13" s="34">
        <f>IF($B13="","0",(VLOOKUP($B13,Biomass_pool_output_Tech1_modul!$A$3:$F$100,3,FALSE)*($D13)/1000))</f>
        <v>0.17511175205848761</v>
      </c>
      <c r="V13" s="34">
        <f>IF($B13="","0",(VLOOKUP($B13,Biomass_pool_output_Tech1_modul!$A$3:$F$100,4,FALSE)*($D13)/1000))</f>
        <v>2.56578247672966E-2</v>
      </c>
      <c r="W13" s="34">
        <f>IF($B13="","0",(VLOOKUP($B13,Biomass_pool_output_Tech1_modul!$A$3:$F$100,5,FALSE)*($D13)/1000))</f>
        <v>5.0909782533074793E-2</v>
      </c>
      <c r="X13" s="34">
        <f>IF($B13="","0",(VLOOKUP($B13,Biomass_pool_output_Tech1_modul!$A$3:$F$100,6,FALSE)*$D13))</f>
        <v>80.072147187628403</v>
      </c>
      <c r="Y13" s="34">
        <f t="shared" ref="Y13:Y16" si="2">U13*6.25</f>
        <v>1.0944484503655476</v>
      </c>
      <c r="AA13" s="53"/>
      <c r="AB13" s="53"/>
      <c r="AC13" s="53"/>
      <c r="AD13" s="53"/>
      <c r="AF13" s="144" t="str">
        <f t="shared" si="1"/>
        <v/>
      </c>
      <c r="AG13" s="53"/>
      <c r="AH13" s="53"/>
      <c r="AI13" s="53"/>
      <c r="AJ13" s="53"/>
    </row>
    <row r="14" spans="1:36" ht="15" thickBot="1" x14ac:dyDescent="0.35">
      <c r="A14" s="220" t="s">
        <v>319</v>
      </c>
      <c r="B14" s="221"/>
      <c r="C14" s="222" t="s">
        <v>43</v>
      </c>
      <c r="D14" s="253"/>
      <c r="E14" s="223"/>
      <c r="F14" s="224"/>
      <c r="G14" s="154"/>
      <c r="I14" s="203"/>
      <c r="J14" s="203"/>
      <c r="K14" s="203"/>
      <c r="L14">
        <v>178</v>
      </c>
      <c r="M14">
        <v>65</v>
      </c>
      <c r="N14" s="110">
        <f>L14*(M14/100)</f>
        <v>115.7</v>
      </c>
      <c r="O14" t="s">
        <v>769</v>
      </c>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54">
        <v>100</v>
      </c>
      <c r="E15" s="218"/>
      <c r="F15" s="226" t="s">
        <v>538</v>
      </c>
      <c r="G15" s="219"/>
      <c r="M15">
        <v>29</v>
      </c>
      <c r="N15" s="110">
        <f>L14*(M15/100)</f>
        <v>51.62</v>
      </c>
      <c r="O15" t="s">
        <v>770</v>
      </c>
      <c r="R15" s="51">
        <f>(IF($T15=0,"0",VLOOKUP($B15,Biomass_pool_output_Tech1_modul!$A$3:$G$100,7,FALSE)))</f>
        <v>850.11622419383002</v>
      </c>
      <c r="S15" s="44"/>
      <c r="T15" s="34">
        <f>IF($B15="","0",(VLOOKUP($B15,Biomass_pool_output_Tech1_modul!$A$3:$F$100,2,FALSE)*($D15)/1000))</f>
        <v>45</v>
      </c>
      <c r="U15" s="34">
        <f>IF($B15="","0",(VLOOKUP($B15,Biomass_pool_output_Tech1_modul!$A$3:$F$100,3,FALSE)*($D15)/1000))</f>
        <v>1.5965584763251099</v>
      </c>
      <c r="V15" s="34">
        <f>IF($B15="","0",(VLOOKUP($B15,Biomass_pool_output_Tech1_modul!$A$3:$F$100,4,FALSE)*($D15)/1000))</f>
        <v>0.31979005598371502</v>
      </c>
      <c r="W15" s="34">
        <f>IF($B15="","0",(VLOOKUP($B15,Biomass_pool_output_Tech1_modul!$A$3:$F$100,5,FALSE)*($D15)/1000))</f>
        <v>0.46680109868804698</v>
      </c>
      <c r="X15" s="34">
        <f>IF($B15="","0",(VLOOKUP($B15,Biomass_pool_output_Tech1_modul!$A$3:$F$100,6,FALSE)*$D15))</f>
        <v>1928.8866454834099</v>
      </c>
      <c r="Y15" s="34">
        <f t="shared" si="2"/>
        <v>9.9784904770319365</v>
      </c>
      <c r="AA15" s="53"/>
      <c r="AB15" s="53"/>
      <c r="AC15" s="53"/>
      <c r="AD15" s="53"/>
      <c r="AF15" s="144" t="str">
        <f t="shared" si="1"/>
        <v/>
      </c>
      <c r="AG15" s="53"/>
      <c r="AH15" s="53"/>
      <c r="AI15" s="53"/>
      <c r="AJ15" s="53"/>
    </row>
    <row r="16" spans="1:36" x14ac:dyDescent="0.3">
      <c r="A16" s="211" t="s">
        <v>107</v>
      </c>
      <c r="B16" s="212"/>
      <c r="C16" s="213" t="s">
        <v>43</v>
      </c>
      <c r="D16" s="255"/>
      <c r="E16" s="214"/>
      <c r="F16" s="225"/>
      <c r="M16">
        <v>2.5</v>
      </c>
      <c r="N16" s="110">
        <f>L14*(M16/100)</f>
        <v>4.45</v>
      </c>
      <c r="O16" t="s">
        <v>771</v>
      </c>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56"/>
      <c r="E17" s="5"/>
      <c r="F17" s="126"/>
      <c r="M17">
        <v>3.5</v>
      </c>
      <c r="N17" s="110">
        <f>L14*(M17/100)</f>
        <v>6.23</v>
      </c>
      <c r="O17" t="s">
        <v>772</v>
      </c>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Soyakage_imp_org</v>
      </c>
      <c r="AH17" s="110"/>
    </row>
    <row r="18" spans="1:65" x14ac:dyDescent="0.3">
      <c r="A18" s="18" t="s">
        <v>414</v>
      </c>
      <c r="B18" s="19" t="s">
        <v>708</v>
      </c>
      <c r="C18" s="28" t="s">
        <v>43</v>
      </c>
      <c r="D18" s="256">
        <v>6</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0.3</v>
      </c>
      <c r="W18" s="34">
        <f>IF($B18="","0",(VLOOKUP($B18,'Imported products'!$B$5:$O$54,12,FALSE)*($D18)/1000))</f>
        <v>8.9999999999999993E-3</v>
      </c>
      <c r="X18" s="34">
        <f>IF($B18="","0",(VLOOKUP($B18,'Imported products'!$B$5:$O$54,13,FALSE)*($D18)/1000))</f>
        <v>0</v>
      </c>
      <c r="Y18" s="34">
        <f>IF($B18="","0",(VLOOKUP($B18,'Imported products'!$B$5:$O$54,14,FALSE)*($D18)/1000))</f>
        <v>0</v>
      </c>
      <c r="AA18" s="110"/>
      <c r="AF18" s="144" t="str">
        <f t="shared" ref="AF18:AF23" si="3">IF(F13="","",F13)</f>
        <v>Rapskage_imp_org</v>
      </c>
      <c r="AH18" s="110"/>
    </row>
    <row r="19" spans="1:65" x14ac:dyDescent="0.3">
      <c r="A19" s="25"/>
      <c r="B19" s="25"/>
      <c r="C19" s="24"/>
      <c r="D19" s="24"/>
      <c r="R19" s="52"/>
      <c r="AA19" s="110"/>
      <c r="AF19" s="144" t="str">
        <f t="shared" si="3"/>
        <v/>
      </c>
    </row>
    <row r="20" spans="1:65" x14ac:dyDescent="0.3">
      <c r="A20" s="18" t="s">
        <v>113</v>
      </c>
      <c r="B20" s="40"/>
      <c r="C20" s="28" t="s">
        <v>43</v>
      </c>
      <c r="D20" s="28">
        <f>SUM(D12:D18)</f>
        <v>178</v>
      </c>
      <c r="R20" s="82">
        <f>(D12*R12+D13*R13+D14*R14+D15*R15+D16*R16+D17*R17+D18*R18)/D20</f>
        <v>874.55223415510886</v>
      </c>
      <c r="S20" s="45"/>
      <c r="T20" s="116">
        <f t="shared" ref="T20:X20" si="4">SUM(T12:T18)</f>
        <v>85.344477087695509</v>
      </c>
      <c r="U20" s="116">
        <f t="shared" si="4"/>
        <v>7.6824705780638061</v>
      </c>
      <c r="V20" s="116">
        <f t="shared" si="4"/>
        <v>1.0217505960371418</v>
      </c>
      <c r="W20" s="116">
        <f t="shared" si="4"/>
        <v>2.321333244405511</v>
      </c>
      <c r="X20" s="116">
        <f t="shared" si="4"/>
        <v>3249.5256716927297</v>
      </c>
      <c r="Y20" s="116">
        <f>SUM(Y12:Y18)</f>
        <v>48.015441112898785</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t="s">
        <v>430</v>
      </c>
      <c r="C26" s="28" t="s">
        <v>43</v>
      </c>
      <c r="D26" s="6">
        <v>18</v>
      </c>
      <c r="E26" s="126"/>
      <c r="F26" s="5"/>
      <c r="G26" s="126"/>
      <c r="H26" s="30" t="str">
        <f>IF(B26="","",VLOOKUP(B26,Converted_feedstuff!$C$5:$E$54,3,FALSE))</f>
        <v>Grass_and_grass_clover_org</v>
      </c>
      <c r="I26" s="80">
        <f>D26/((100-VLOOKUP(B26,Converted_feedstuff!$C$5:$F$54,4,FALSE))/100)</f>
        <v>21.201413427561835</v>
      </c>
      <c r="K26" s="30">
        <f>IF(B26="",0,VLOOKUP(B26,Converted_feedstuff!$C$5:$D$54,2,FALSE))</f>
        <v>359</v>
      </c>
      <c r="L26" s="80">
        <f>IF($B26="","",((VLOOKUP($B26,Converted_feedstuff!$C$5:$AM$54,33,FALSE))*((100-VLOOKUP($B26,Converted_feedstuff!$C$5:$K$54,5,FALSE))/100))/((100-VLOOKUP($B26,Converted_feedstuff!$C$5:$K$54,4,FALSE))/100))</f>
        <v>450.00007165681598</v>
      </c>
      <c r="M26" s="81">
        <f>IF($B26="","",((VLOOKUP($B26,Converted_feedstuff!$C$5:$AM$54,34,FALSE))*((100-VLOOKUP($B26,Converted_feedstuff!$C$5:$K$54,6,FALSE))/100))/((100-VLOOKUP($B26,Converted_feedstuff!$C$5:$K$54,4,FALSE))/100))</f>
        <v>30.023001257236196</v>
      </c>
      <c r="N26" s="81">
        <f>IF($B26="","",((VLOOKUP($B26,Converted_feedstuff!$C$5:$AM$54,35,FALSE))*((100-VLOOKUP($B26,Converted_feedstuff!$C$5:$K$54,7,FALSE))/100))/((100-VLOOKUP($B26,Converted_feedstuff!$C$5:$K$54,4,FALSE))/100))</f>
        <v>4.2468530767221555</v>
      </c>
      <c r="O26" s="81">
        <f>IF($B26="","",((VLOOKUP($B26,Converted_feedstuff!$C$5:$AM$54,36,FALSE))*((100-VLOOKUP($B26,Converted_feedstuff!$C$5:$K$54,8,FALSE))/100))/((100-VLOOKUP($B26,Converted_feedstuff!$C$5:$K$54,4,FALSE))/100))</f>
        <v>32.463125680328147</v>
      </c>
      <c r="P26" s="81">
        <f>IF($B26="","",((VLOOKUP($B26,Converted_feedstuff!$C$5:$AM$49,37,FALSE))*((100-VLOOKUP($B26,Converted_feedstuff!$C$5:$K$54,9,FALSE))/100))/((100-VLOOKUP($B26,Converted_feedstuff!$C$5:$K$54,4,FALSE))/100))</f>
        <v>16.528960088099701</v>
      </c>
      <c r="R26" s="51">
        <f t="shared" si="6"/>
        <v>359</v>
      </c>
      <c r="S26" s="44"/>
      <c r="T26" s="34">
        <f t="shared" si="5"/>
        <v>8.1000012898226874</v>
      </c>
      <c r="U26" s="34">
        <f t="shared" si="5"/>
        <v>0.54041402263025151</v>
      </c>
      <c r="V26" s="34">
        <f t="shared" si="5"/>
        <v>7.6443355380998806E-2</v>
      </c>
      <c r="W26" s="34">
        <f t="shared" si="5"/>
        <v>0.58433626224590673</v>
      </c>
      <c r="X26" s="34">
        <f>IF($D26="",0,$D26*P26)</f>
        <v>297.52128158579461</v>
      </c>
      <c r="Y26" s="81">
        <f t="shared" si="8"/>
        <v>3.3775876414390718</v>
      </c>
      <c r="AB26" s="114">
        <f>IF(B26="",0,(VLOOKUP(B26,Converted_feedstuff!$C$5:$BH$54,58,FALSE)*$I26))</f>
        <v>0.17553981741770205</v>
      </c>
      <c r="AC26" s="30"/>
      <c r="AD26" s="30"/>
      <c r="AF26" s="144" t="str">
        <f t="shared" si="9"/>
        <v>Ensilage_graes_org</v>
      </c>
      <c r="AO26" s="80" t="e">
        <f>IF($B26="","",(((((Converted_feedstuff!#REF!/100)*Converted_feedstuff!F7)/100)*1000)*$I26)/1000)</f>
        <v>#REF!</v>
      </c>
      <c r="AP26" s="80" t="e">
        <f>IF($B26="","",(((((Converted_feedstuff!#REF!/100)*Converted_feedstuff!F7)/100)*1000)*$I26)/1000)</f>
        <v>#REF!</v>
      </c>
      <c r="AQ26" s="80" t="e">
        <f>IF($B26="","",(((((Converted_feedstuff!#REF!/100)*Converted_feedstuff!G7)/100)*Converted_feedstuff!AI7)*$I26)/1000)</f>
        <v>#REF!</v>
      </c>
      <c r="AR26" s="80">
        <f>IF($B26="","",(((((Converted_feedstuff!U7/100)*Converted_feedstuff!G7)/100)*Converted_feedstuff!AI7)*$I26)/1000)</f>
        <v>1.4406360424028266</v>
      </c>
      <c r="AS26" s="80">
        <f>IF($B26="","",(((((Converted_feedstuff!V7/100)*Converted_feedstuff!G7)/100)*Converted_feedstuff!AI7)*$I26)/1000)</f>
        <v>0</v>
      </c>
      <c r="AT26" s="80">
        <f>IF($B26="","",(((((Converted_feedstuff!W7/100)*Converted_feedstuff!G7)/100)*Converted_feedstuff!AI7)*$I26)/1000)</f>
        <v>0</v>
      </c>
      <c r="AU26" s="80" t="e">
        <f>IF($B26="","",(((((Converted_feedstuff!#REF!/100)*Converted_feedstuff!H7)/100)*Converted_feedstuff!AJ7)*$I26)/1000)</f>
        <v>#REF!</v>
      </c>
      <c r="AV26" s="80">
        <f>IF($B26="","",(((((Converted_feedstuff!X7/100)*Converted_feedstuff!H7)/100)*Converted_feedstuff!AJ7)*$I26)/1000)</f>
        <v>9.6576678445229672E-3</v>
      </c>
      <c r="AW26" s="80">
        <f>IF($B26="","",(((((Converted_feedstuff!Y7/100)*Converted_feedstuff!H7)/100)*Converted_feedstuff!AJ7)*$I26)/1000)</f>
        <v>0</v>
      </c>
      <c r="AX26" s="80">
        <f>IF($B26="","",(((((Converted_feedstuff!Z7/100)*Converted_feedstuff!H7)/100)*Converted_feedstuff!AJ7)*$I26)/1000)</f>
        <v>0</v>
      </c>
      <c r="AY26" s="80">
        <f>IF($B26="","",(((((Converted_feedstuff!AA7/100)*Converted_feedstuff!H7)/100)*Converted_feedstuff!AJ7)*$I26)/1000)</f>
        <v>0</v>
      </c>
      <c r="AZ26" s="80">
        <f>IF($B26="","",(((((Converted_feedstuff!AB7/100)*Converted_feedstuff!H7)/100)*Converted_feedstuff!AJ7)*$I26)/1000)</f>
        <v>0</v>
      </c>
      <c r="BA26" s="80" t="e">
        <f>IF($B26="","",(((((Converted_feedstuff!#REF!/100)*Converted_feedstuff!I7)/100)*Converted_feedstuff!AK7)*$I26)/1000)</f>
        <v>#REF!</v>
      </c>
      <c r="BB26" s="80">
        <f>IF($B26="","",(((((Converted_feedstuff!AC7/100)*Converted_feedstuff!I7)/100)*Converted_feedstuff!AK7)*$I26)/1000)</f>
        <v>0</v>
      </c>
      <c r="BC26" s="80">
        <f>IF($B26="","",(((((Converted_feedstuff!AD7/100)*Converted_feedstuff!I7)/100)*Converted_feedstuff!AK7)*$I26)/1000)</f>
        <v>0</v>
      </c>
      <c r="BD26" s="80" t="e">
        <f>IF($B26="","",(((((Converted_feedstuff!#REF!/100)*Converted_feedstuff!J7)/100)*Converted_feedstuff!AL7)*$I26)/1000)</f>
        <v>#REF!</v>
      </c>
      <c r="BE26" s="80">
        <f>IF($B26="","",(((((Converted_feedstuff!AE7/100)*Converted_feedstuff!J7)/100)*Converted_feedstuff!AL7)*$I26)/1000)</f>
        <v>0</v>
      </c>
      <c r="BF26" s="80">
        <f>IF($B26="","",(((((Converted_feedstuff!AF7/100)*Converted_feedstuff!J7)/100)*Converted_feedstuff!AL7)*$I26)/1000)</f>
        <v>0</v>
      </c>
      <c r="BG26" s="80" t="e">
        <f>IF($B26="","",((((Converted_feedstuff!#REF!/100)*Converted_feedstuff!K7)/100)*Converted_feedstuff!AM7)*$I26)</f>
        <v>#REF!</v>
      </c>
      <c r="BH26" s="80" t="e">
        <f>IF($B26="","",((((Converted_feedstuff!#REF!/100)*Converted_feedstuff!K7)/100)*Converted_feedstuff!AM7)*$I26)</f>
        <v>#REF!</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IF($D27="",0,$D27*P27)</f>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IF(B28="","",B28)</f>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IF(B29="","",B29)</f>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18</v>
      </c>
      <c r="E31" s="24"/>
      <c r="K31" t="s">
        <v>629</v>
      </c>
      <c r="L31" s="24"/>
      <c r="M31" s="24"/>
      <c r="N31" s="24"/>
      <c r="O31" s="24"/>
      <c r="P31" s="24"/>
      <c r="Q31" s="25"/>
      <c r="R31" s="82">
        <f>(D24*R24+D25*R25+D26*R26+D27*R27+D28*R28+D29*R29+D30*R30)/D31</f>
        <v>359</v>
      </c>
      <c r="S31" s="45"/>
      <c r="T31" s="116">
        <f t="shared" ref="T31:Y31" si="10">SUM(T24:T30)</f>
        <v>8.1000012898226874</v>
      </c>
      <c r="U31" s="116">
        <f t="shared" si="10"/>
        <v>0.54041402263025151</v>
      </c>
      <c r="V31" s="116">
        <f t="shared" si="10"/>
        <v>7.6443355380998806E-2</v>
      </c>
      <c r="W31" s="116">
        <f t="shared" si="10"/>
        <v>0.58433626224590673</v>
      </c>
      <c r="X31" s="116">
        <f>SUM(X24:X30)</f>
        <v>297.52128158579461</v>
      </c>
      <c r="Y31" s="116">
        <f t="shared" si="10"/>
        <v>3.3775876414390718</v>
      </c>
      <c r="AA31" s="113" t="s">
        <v>61</v>
      </c>
      <c r="AB31" s="115">
        <f>SUM(AB24:AB30)</f>
        <v>0.17553981741770205</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1.4406360424028266</v>
      </c>
      <c r="AS31" s="92">
        <f t="shared" si="11"/>
        <v>0</v>
      </c>
      <c r="AT31" s="92">
        <f t="shared" si="11"/>
        <v>0</v>
      </c>
      <c r="AU31" s="92" t="e">
        <f t="shared" si="11"/>
        <v>#REF!</v>
      </c>
      <c r="AV31" s="92">
        <f t="shared" si="11"/>
        <v>9.6576678445229672E-3</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196</v>
      </c>
      <c r="E32" s="24"/>
      <c r="I32" s="24"/>
      <c r="J32" s="24"/>
      <c r="K32" s="24"/>
      <c r="L32" s="24"/>
      <c r="M32" s="24"/>
      <c r="N32" s="24"/>
      <c r="P32" s="25"/>
      <c r="Q32" s="25"/>
      <c r="R32" s="84">
        <f>(D20*R20+D31*R31)/D32</f>
        <v>827.20560040617033</v>
      </c>
      <c r="S32" s="85"/>
      <c r="T32" s="117">
        <f>T20+T31</f>
        <v>93.444478377518195</v>
      </c>
      <c r="U32" s="117">
        <f t="shared" ref="U32:Y32" si="12">U20+U31</f>
        <v>8.2228846006940568</v>
      </c>
      <c r="V32" s="117">
        <f t="shared" si="12"/>
        <v>1.0981939514181407</v>
      </c>
      <c r="W32" s="117">
        <f t="shared" si="12"/>
        <v>2.9056695066514178</v>
      </c>
      <c r="X32" s="117">
        <f t="shared" si="12"/>
        <v>3547.0469532785241</v>
      </c>
      <c r="Y32" s="117">
        <f t="shared" si="12"/>
        <v>51.393028754337855</v>
      </c>
      <c r="AF32" s="144" t="str">
        <f t="shared" ref="AF32:AF37" si="13">IF(E25="","",E25)</f>
        <v/>
      </c>
      <c r="BL32" t="str">
        <f>A4</f>
        <v>ID-nummer</v>
      </c>
      <c r="BM32">
        <f>B4</f>
        <v>132</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Slpig1_org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132</v>
      </c>
      <c r="BK34" t="str">
        <f t="shared" ref="BJ34:BK62" si="15">$BM$33</f>
        <v>Slpig1_org</v>
      </c>
      <c r="BL34" t="s">
        <v>69</v>
      </c>
      <c r="BM34">
        <f>$B$24</f>
        <v>0</v>
      </c>
      <c r="BN34" t="str">
        <f t="shared" ref="BN34:BO40" si="16">C24</f>
        <v>Kg</v>
      </c>
      <c r="BO34">
        <f t="shared" si="16"/>
        <v>0</v>
      </c>
    </row>
    <row r="35" spans="1:67" ht="15.6" x14ac:dyDescent="0.3">
      <c r="A35" s="18" t="s">
        <v>631</v>
      </c>
      <c r="B35" s="19"/>
      <c r="C35" s="28" t="s">
        <v>43</v>
      </c>
      <c r="D35" s="34">
        <f>H35*(R35/1000)</f>
        <v>0</v>
      </c>
      <c r="E35" s="30" t="str">
        <f>IF(B35="","",VLOOKUP(B35,'Processed products'!$B$5:$E$104,2,FALSE))</f>
        <v/>
      </c>
      <c r="F35" s="30" t="str">
        <f>IF(B35="","",VLOOKUP(B35,'Processed products'!$B$5:$E$104,3,FALSE))</f>
        <v/>
      </c>
      <c r="G35" s="30" t="str">
        <f>IF(B35="","",VLOOKUP(B35,'Processed products'!$B$5:$E$104,4,FALSE))</f>
        <v/>
      </c>
      <c r="H35" s="5"/>
      <c r="I35" s="4"/>
      <c r="K35" s="97" t="s">
        <v>654</v>
      </c>
      <c r="L35" s="132" t="s">
        <v>713</v>
      </c>
      <c r="M35" s="132" t="s">
        <v>714</v>
      </c>
      <c r="N35" s="272">
        <v>0.53</v>
      </c>
      <c r="R35" s="51">
        <f>(IF($B35="",0,VLOOKUP($B35,'Processed products'!$B$5:$O$104,5,FALSE)))</f>
        <v>0</v>
      </c>
      <c r="S35" s="44"/>
      <c r="T35" s="28" t="str">
        <f>(IF($B35="","",VLOOKUP($B35,'Processed products'!$B$5:$O$104,9,FALSE)))</f>
        <v/>
      </c>
      <c r="U35" s="34" t="str">
        <f>(IF($B35="","",VLOOKUP($B35,'Processed products'!$B$5:$O$104,10,FALSE)))</f>
        <v/>
      </c>
      <c r="V35" s="28" t="str">
        <f>(IF($B35="","",VLOOKUP($B35,'Processed products'!$B$5:$O$104,11,FALSE)))</f>
        <v/>
      </c>
      <c r="W35" s="28" t="str">
        <f>(IF($B35="","",VLOOKUP($B35,'Processed products'!$B$5:$O$104,12,FALSE)))</f>
        <v/>
      </c>
      <c r="X35" s="28" t="str">
        <f>(IF($B35="","",VLOOKUP($B35,'Processed products'!$B$5:$O$104,13,FALSE)))</f>
        <v/>
      </c>
      <c r="Z35" s="53"/>
      <c r="AA35" s="53"/>
      <c r="AB35" s="53"/>
      <c r="AC35" s="53"/>
      <c r="AD35" s="53"/>
      <c r="AF35" s="144" t="str">
        <f t="shared" si="13"/>
        <v/>
      </c>
      <c r="AJ35" s="32"/>
      <c r="BJ35">
        <f t="shared" si="14"/>
        <v>132</v>
      </c>
      <c r="BK35" t="str">
        <f t="shared" si="15"/>
        <v>Slpig1_org</v>
      </c>
      <c r="BL35" t="s">
        <v>69</v>
      </c>
      <c r="BM35">
        <f>$B$25</f>
        <v>0</v>
      </c>
      <c r="BN35" t="str">
        <f t="shared" si="16"/>
        <v>Kg</v>
      </c>
      <c r="BO35">
        <f t="shared" si="16"/>
        <v>0</v>
      </c>
    </row>
    <row r="36" spans="1:67" ht="15.6" x14ac:dyDescent="0.3">
      <c r="A36" s="18" t="s">
        <v>632</v>
      </c>
      <c r="B36" s="19" t="s">
        <v>712</v>
      </c>
      <c r="C36" s="28" t="s">
        <v>43</v>
      </c>
      <c r="D36" s="34">
        <f t="shared" ref="D36" si="17">H36*(R36/1000)</f>
        <v>0.53279999999999994</v>
      </c>
      <c r="E36" s="30" t="str">
        <f>IF(B36="","",VLOOKUP(B36,'Processed products'!$B$5:$E$104,2,FALSE))</f>
        <v>Dead_meat_org</v>
      </c>
      <c r="F36" s="30" t="str">
        <f>IF(B36="","",VLOOKUP(B36,'Processed products'!$B$5:$E$104,3,FALSE))</f>
        <v>Dead_meat</v>
      </c>
      <c r="G36" s="30" t="str">
        <f>IF(B36="","",VLOOKUP(B36,'Processed products'!$B$5:$E$104,4,FALSE))</f>
        <v>Exit_model</v>
      </c>
      <c r="H36" s="5">
        <v>1.44</v>
      </c>
      <c r="I36" s="4"/>
      <c r="K36" s="97" t="s">
        <v>655</v>
      </c>
      <c r="L36" s="132" t="s">
        <v>715</v>
      </c>
      <c r="M36" s="132" t="s">
        <v>637</v>
      </c>
      <c r="N36" s="272">
        <v>0.56000000000000005</v>
      </c>
      <c r="P36" s="93"/>
      <c r="Q36" s="262"/>
      <c r="R36" s="51">
        <f>(IF($B36="",0,VLOOKUP($B36,'Processed products'!$B$5:$O$104,5,FALSE)))</f>
        <v>370</v>
      </c>
      <c r="S36" s="44"/>
      <c r="T36" s="28">
        <f>(IF($B36="","",VLOOKUP($B36,'Processed products'!$B$5:$O$104,9,FALSE)))</f>
        <v>640</v>
      </c>
      <c r="U36" s="34">
        <f>(IF($B36="","",VLOOKUP($B36,'Processed products'!$B$5:$O$104,10,FALSE)))</f>
        <v>69.459199999999996</v>
      </c>
      <c r="V36" s="28">
        <f>(IF($B36="","",VLOOKUP($B36,'Processed products'!$B$5:$O$104,11,FALSE)))</f>
        <v>16.22</v>
      </c>
      <c r="W36" s="28">
        <f>(IF($B36="","",VLOOKUP($B36,'Processed products'!$B$5:$O$104,12,FALSE)))</f>
        <v>5.95</v>
      </c>
      <c r="X36" s="28">
        <f>(IF($B36="","",VLOOKUP($B36,'Processed products'!$B$5:$O$104,13,FALSE)))</f>
        <v>27.17</v>
      </c>
      <c r="Z36" s="53"/>
      <c r="AA36" s="53"/>
      <c r="AB36" s="53"/>
      <c r="AC36" s="53"/>
      <c r="AD36" s="53"/>
      <c r="AF36" s="144" t="str">
        <f t="shared" si="13"/>
        <v/>
      </c>
      <c r="BJ36">
        <f t="shared" si="14"/>
        <v>132</v>
      </c>
      <c r="BK36" t="str">
        <f t="shared" si="15"/>
        <v>Slpig1_org</v>
      </c>
      <c r="BL36" t="s">
        <v>69</v>
      </c>
      <c r="BM36" t="str">
        <f>$B$26</f>
        <v>Ensilage_graes_org</v>
      </c>
      <c r="BN36" t="str">
        <f t="shared" si="16"/>
        <v>Kg</v>
      </c>
      <c r="BO36">
        <f>D26</f>
        <v>18</v>
      </c>
    </row>
    <row r="37" spans="1:67" ht="16.2" thickBot="1" x14ac:dyDescent="0.35">
      <c r="A37" s="18" t="s">
        <v>647</v>
      </c>
      <c r="B37" s="19" t="s">
        <v>717</v>
      </c>
      <c r="C37" s="28" t="s">
        <v>43</v>
      </c>
      <c r="D37" s="34">
        <f>H37*(R37/1000)</f>
        <v>30.34</v>
      </c>
      <c r="E37" s="30" t="str">
        <f>IF(B37="","",VLOOKUP(B37,'Processed products'!$B$5:$E$104,2,FALSE))</f>
        <v>Pork_meat_org</v>
      </c>
      <c r="F37" s="30" t="str">
        <f>IF(B37="","",VLOOKUP(B37,'Processed products'!$B$5:$E$104,3,FALSE))</f>
        <v>Meat</v>
      </c>
      <c r="G37" s="30" t="str">
        <f>IF(B37="","",VLOOKUP(B37,'Processed products'!$B$5:$E$104,4,FALSE))</f>
        <v>Exit_model</v>
      </c>
      <c r="H37" s="5">
        <v>82</v>
      </c>
      <c r="I37" s="5">
        <v>1</v>
      </c>
      <c r="K37" s="273" t="s">
        <v>656</v>
      </c>
      <c r="L37" s="132"/>
      <c r="M37" s="132"/>
      <c r="N37" s="272"/>
      <c r="Q37" s="25"/>
      <c r="R37" s="51">
        <f>(IF($B37="",0,VLOOKUP($B37,'Processed products'!$B$5:$O$104,5,FALSE)))</f>
        <v>370</v>
      </c>
      <c r="S37" s="44"/>
      <c r="T37" s="28">
        <f>(IF($B37="","",VLOOKUP($B37,'Processed products'!$B$5:$O$104,9,FALSE)))</f>
        <v>680</v>
      </c>
      <c r="U37" s="34">
        <f>(IF($B37="","",VLOOKUP($B37,'Processed products'!$B$5:$O$104,10,FALSE)))</f>
        <v>78.7</v>
      </c>
      <c r="V37" s="28">
        <f>(IF($B37="","",VLOOKUP($B37,'Processed products'!$B$5:$O$104,11,FALSE)))</f>
        <v>14.86</v>
      </c>
      <c r="W37" s="28">
        <f>(IF($B37="","",VLOOKUP($B37,'Processed products'!$B$5:$O$104,12,FALSE)))</f>
        <v>5.95</v>
      </c>
      <c r="X37" s="28">
        <f>(IF($B37="","",VLOOKUP($B37,'Processed products'!$B$5:$O$104,13,FALSE)))</f>
        <v>27.17</v>
      </c>
      <c r="Z37" s="53"/>
      <c r="AA37" s="53"/>
      <c r="AB37" s="53"/>
      <c r="AC37" s="53"/>
      <c r="AD37" s="53"/>
      <c r="AF37" s="144" t="str">
        <f t="shared" si="13"/>
        <v/>
      </c>
      <c r="BJ37">
        <f t="shared" si="14"/>
        <v>132</v>
      </c>
      <c r="BK37" t="str">
        <f t="shared" si="15"/>
        <v>Slpig1_org</v>
      </c>
      <c r="BL37" t="s">
        <v>69</v>
      </c>
      <c r="BM37">
        <f>$B$27</f>
        <v>0</v>
      </c>
      <c r="BN37" t="str">
        <f t="shared" si="16"/>
        <v>Kg</v>
      </c>
      <c r="BO37">
        <f>D27</f>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132</v>
      </c>
      <c r="BK38" t="str">
        <f t="shared" si="15"/>
        <v>Slpig1_org</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24"/>
      <c r="K39" s="136">
        <f>15*0.034*1.035</f>
        <v>0.52784999999999993</v>
      </c>
      <c r="L39" s="123"/>
      <c r="M39" s="123"/>
      <c r="N39" s="136"/>
      <c r="P39" s="93"/>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132</v>
      </c>
      <c r="BK39" t="str">
        <f t="shared" si="15"/>
        <v>Slpig1_org</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36">
        <f>16*0.034*1.035</f>
        <v>0.56303999999999998</v>
      </c>
      <c r="L40" s="123"/>
      <c r="M40" s="123"/>
      <c r="N40" s="136"/>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132</v>
      </c>
      <c r="BK40" t="str">
        <f t="shared" si="15"/>
        <v>Slpig1_org</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O41" s="110"/>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132</v>
      </c>
      <c r="BK41" t="str">
        <f t="shared" si="15"/>
        <v>Slpig1_org</v>
      </c>
      <c r="BL41" t="s">
        <v>126</v>
      </c>
      <c r="BM41">
        <f>$B$35</f>
        <v>0</v>
      </c>
      <c r="BN41" t="str">
        <f>C35</f>
        <v>Kg</v>
      </c>
      <c r="BO41" s="64">
        <f>P35</f>
        <v>0</v>
      </c>
    </row>
    <row r="42" spans="1:67" x14ac:dyDescent="0.3">
      <c r="A42" s="33" t="s">
        <v>61</v>
      </c>
      <c r="B42" s="39"/>
      <c r="C42" s="28" t="s">
        <v>43</v>
      </c>
      <c r="D42" s="34">
        <f>SUM(D35:D41)</f>
        <v>30.872799999999998</v>
      </c>
      <c r="E42" s="24"/>
      <c r="I42" s="124"/>
      <c r="J42" s="136">
        <f>(82/2)*0.034*1.035</f>
        <v>1.44279</v>
      </c>
      <c r="K42" s="123"/>
      <c r="L42" s="123"/>
      <c r="M42" s="123"/>
      <c r="N42" s="123"/>
      <c r="P42" s="93"/>
      <c r="Q42" s="25"/>
      <c r="Z42" s="53"/>
      <c r="AA42" s="53"/>
      <c r="AB42" s="53"/>
      <c r="AC42" s="53"/>
      <c r="AD42" s="53"/>
      <c r="AF42" s="144" t="str">
        <f t="shared" si="18"/>
        <v/>
      </c>
      <c r="BJ42">
        <f t="shared" si="14"/>
        <v>132</v>
      </c>
      <c r="BK42" t="str">
        <f t="shared" si="15"/>
        <v>Slpig1_org</v>
      </c>
      <c r="BL42" t="s">
        <v>126</v>
      </c>
      <c r="BM42" t="str">
        <f>$B$36</f>
        <v>Svinekoed_affald_org</v>
      </c>
      <c r="BN42" t="str">
        <f t="shared" ref="BN42:BN47" si="19">C35</f>
        <v>Kg</v>
      </c>
      <c r="BO42" s="64">
        <f t="shared" ref="BO42" si="20">P35</f>
        <v>0</v>
      </c>
    </row>
    <row r="43" spans="1:67" x14ac:dyDescent="0.3">
      <c r="Z43" s="53"/>
      <c r="AA43" s="53"/>
      <c r="AB43" s="53"/>
      <c r="AC43" s="53"/>
      <c r="AD43" s="53"/>
      <c r="AF43" s="144" t="str">
        <f t="shared" si="18"/>
        <v/>
      </c>
      <c r="BJ43">
        <f t="shared" si="14"/>
        <v>132</v>
      </c>
      <c r="BK43" t="str">
        <f t="shared" si="15"/>
        <v>Slpig1_org</v>
      </c>
      <c r="BL43" t="s">
        <v>126</v>
      </c>
      <c r="BM43" t="str">
        <f>$B$37</f>
        <v>Svinekoed_slaugther_pig_org</v>
      </c>
      <c r="BN43" t="str">
        <f t="shared" si="19"/>
        <v>Kg</v>
      </c>
      <c r="BO43" s="64">
        <f>P39</f>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132</v>
      </c>
      <c r="BK44" t="str">
        <f t="shared" si="15"/>
        <v>Slpig1_org</v>
      </c>
      <c r="BL44" t="s">
        <v>126</v>
      </c>
      <c r="BM44">
        <f>$B$38</f>
        <v>0</v>
      </c>
      <c r="BN44" t="str">
        <f t="shared" si="19"/>
        <v>Kg</v>
      </c>
      <c r="BO44" s="64">
        <f>P40</f>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132</v>
      </c>
      <c r="BK45" t="str">
        <f t="shared" si="15"/>
        <v>Slpig1_org</v>
      </c>
      <c r="BL45" t="s">
        <v>126</v>
      </c>
      <c r="BM45">
        <f>$B$39</f>
        <v>0</v>
      </c>
      <c r="BN45" t="str">
        <f t="shared" si="19"/>
        <v>Kg</v>
      </c>
      <c r="BO45" s="64">
        <f>P41</f>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132</v>
      </c>
      <c r="BK46" t="str">
        <f t="shared" si="15"/>
        <v>Slpig1_org</v>
      </c>
      <c r="BL46" t="s">
        <v>126</v>
      </c>
      <c r="BM46">
        <f>$B$40</f>
        <v>0</v>
      </c>
      <c r="BN46" t="str">
        <f t="shared" si="19"/>
        <v>Kg</v>
      </c>
      <c r="BO46" s="64">
        <f>P42</f>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132</v>
      </c>
      <c r="BK47" t="str">
        <f t="shared" si="15"/>
        <v>Slpig1_org</v>
      </c>
      <c r="BL47" t="s">
        <v>126</v>
      </c>
      <c r="BM47">
        <f>$B$41</f>
        <v>0</v>
      </c>
      <c r="BN47" t="str">
        <f t="shared" si="19"/>
        <v>Kg</v>
      </c>
      <c r="BO47" s="64" t="e">
        <f>#REF!</f>
        <v>#REF!</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132</v>
      </c>
      <c r="BK48" t="str">
        <f t="shared" si="15"/>
        <v>Slpig1_org</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132</v>
      </c>
      <c r="BK49" t="str">
        <f t="shared" si="15"/>
        <v>Slpig1_org</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132</v>
      </c>
      <c r="BK50" t="str">
        <f t="shared" si="15"/>
        <v>Slpig1_org</v>
      </c>
      <c r="BL50" t="s">
        <v>127</v>
      </c>
      <c r="BM50">
        <f t="shared" si="22"/>
        <v>0</v>
      </c>
      <c r="BN50" s="32">
        <f>$AH$34</f>
        <v>0</v>
      </c>
      <c r="BO50" s="32">
        <f>AH45</f>
        <v>0</v>
      </c>
    </row>
    <row r="51" spans="1:67" ht="15" thickBot="1" x14ac:dyDescent="0.35">
      <c r="A51" s="18" t="s">
        <v>56</v>
      </c>
      <c r="B51" s="9"/>
      <c r="C51" s="28" t="s">
        <v>43</v>
      </c>
      <c r="D51" s="34">
        <f>SUM(D42,D45:D50)</f>
        <v>30.872799999999998</v>
      </c>
      <c r="I51" s="93"/>
      <c r="J51" s="93"/>
      <c r="K51" s="93"/>
      <c r="L51" s="93"/>
      <c r="M51" s="93"/>
      <c r="N51" s="93"/>
      <c r="O51" s="135"/>
      <c r="P51" s="93"/>
      <c r="Q51" s="47"/>
      <c r="Z51" s="53"/>
      <c r="AA51" s="53"/>
      <c r="AB51" s="53"/>
      <c r="AC51" s="53"/>
      <c r="AD51" s="53"/>
      <c r="AF51" s="145" t="str">
        <f t="shared" si="21"/>
        <v/>
      </c>
      <c r="BJ51">
        <f t="shared" si="14"/>
        <v>132</v>
      </c>
      <c r="BK51" t="str">
        <f t="shared" si="15"/>
        <v>Slpig1_org</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132</v>
      </c>
      <c r="BK52" t="str">
        <f t="shared" si="15"/>
        <v>Slpig1_org</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132</v>
      </c>
      <c r="BK53" t="str">
        <f t="shared" si="15"/>
        <v>Slpig1_org</v>
      </c>
      <c r="BL53" t="s">
        <v>127</v>
      </c>
      <c r="BM53">
        <f t="shared" ref="BM53:BM58" si="23">$B$46</f>
        <v>0</v>
      </c>
      <c r="BN53" t="str">
        <f>C46</f>
        <v>Kg</v>
      </c>
      <c r="BO53" s="64">
        <f>P46</f>
        <v>0</v>
      </c>
    </row>
    <row r="54" spans="1:67" x14ac:dyDescent="0.3">
      <c r="A54" s="18" t="s">
        <v>220</v>
      </c>
      <c r="B54" s="50" t="s">
        <v>415</v>
      </c>
      <c r="C54" s="50" t="s">
        <v>43</v>
      </c>
      <c r="D54" s="138"/>
      <c r="E54" s="53"/>
      <c r="F54" s="138"/>
      <c r="G54" s="53"/>
      <c r="H54" s="138"/>
      <c r="I54" s="138"/>
      <c r="AF54" s="32"/>
      <c r="BJ54">
        <f t="shared" si="14"/>
        <v>132</v>
      </c>
      <c r="BK54" t="str">
        <f t="shared" si="15"/>
        <v>Slpig1_org</v>
      </c>
      <c r="BL54" t="s">
        <v>127</v>
      </c>
      <c r="BM54">
        <f t="shared" si="23"/>
        <v>0</v>
      </c>
      <c r="BN54" t="str">
        <f>$AF$34</f>
        <v/>
      </c>
      <c r="BO54" s="32" t="str">
        <f>AF$46</f>
        <v/>
      </c>
    </row>
    <row r="55" spans="1:67" x14ac:dyDescent="0.3">
      <c r="A55" s="18" t="s">
        <v>254</v>
      </c>
      <c r="B55" s="50" t="s">
        <v>757</v>
      </c>
      <c r="C55" s="50" t="s">
        <v>43</v>
      </c>
      <c r="D55" s="138"/>
      <c r="E55" s="53"/>
      <c r="F55" s="138"/>
      <c r="G55" s="53"/>
      <c r="H55" s="138"/>
      <c r="I55" s="138"/>
      <c r="BJ55">
        <f t="shared" si="14"/>
        <v>132</v>
      </c>
      <c r="BK55" t="str">
        <f t="shared" si="15"/>
        <v>Slpig1_org</v>
      </c>
      <c r="BL55" t="s">
        <v>127</v>
      </c>
      <c r="BM55">
        <f t="shared" si="23"/>
        <v>0</v>
      </c>
      <c r="BN55">
        <f>$AG$34</f>
        <v>0</v>
      </c>
      <c r="BO55" s="32">
        <f>AG$46</f>
        <v>0</v>
      </c>
    </row>
    <row r="56" spans="1:67" x14ac:dyDescent="0.3">
      <c r="A56" s="18" t="s">
        <v>35</v>
      </c>
      <c r="B56" s="50"/>
      <c r="C56" s="50"/>
      <c r="D56" s="138"/>
      <c r="E56" s="53"/>
      <c r="F56" s="138"/>
      <c r="G56" s="53"/>
      <c r="H56" s="138"/>
      <c r="I56" s="138"/>
      <c r="BJ56">
        <f t="shared" si="14"/>
        <v>132</v>
      </c>
      <c r="BK56" t="str">
        <f t="shared" si="15"/>
        <v>Slpig1_org</v>
      </c>
      <c r="BL56" t="s">
        <v>127</v>
      </c>
      <c r="BM56">
        <f t="shared" si="23"/>
        <v>0</v>
      </c>
      <c r="BN56" s="32">
        <f>$AH$34</f>
        <v>0</v>
      </c>
      <c r="BO56" s="32">
        <f>AH$46</f>
        <v>0</v>
      </c>
    </row>
    <row r="57" spans="1:67" x14ac:dyDescent="0.3">
      <c r="A57" s="18" t="s">
        <v>36</v>
      </c>
      <c r="B57" s="50"/>
      <c r="C57" s="50"/>
      <c r="D57" s="138"/>
      <c r="E57" s="53"/>
      <c r="F57" s="138"/>
      <c r="G57" s="53"/>
      <c r="H57" s="138"/>
      <c r="I57" s="138"/>
      <c r="BJ57">
        <f t="shared" si="14"/>
        <v>132</v>
      </c>
      <c r="BK57" t="str">
        <f t="shared" si="15"/>
        <v>Slpig1_org</v>
      </c>
      <c r="BL57" t="s">
        <v>127</v>
      </c>
      <c r="BM57">
        <f t="shared" si="23"/>
        <v>0</v>
      </c>
      <c r="BN57">
        <f>$AI$34</f>
        <v>0</v>
      </c>
      <c r="BO57" s="32">
        <f>AI$46</f>
        <v>0</v>
      </c>
    </row>
    <row r="58" spans="1:67" x14ac:dyDescent="0.3">
      <c r="A58" s="18" t="s">
        <v>37</v>
      </c>
      <c r="B58" s="50"/>
      <c r="C58" s="50"/>
      <c r="D58" s="138"/>
      <c r="E58" s="53"/>
      <c r="F58" s="138"/>
      <c r="G58" s="53"/>
      <c r="H58" s="138"/>
      <c r="I58" s="138"/>
      <c r="BJ58">
        <f t="shared" si="14"/>
        <v>132</v>
      </c>
      <c r="BK58" t="str">
        <f t="shared" si="15"/>
        <v>Slpig1_org</v>
      </c>
      <c r="BL58" t="s">
        <v>127</v>
      </c>
      <c r="BM58">
        <f t="shared" si="23"/>
        <v>0</v>
      </c>
      <c r="BN58">
        <f>$AJ$34</f>
        <v>0</v>
      </c>
      <c r="BO58" s="32">
        <f>AJ$46</f>
        <v>0</v>
      </c>
    </row>
    <row r="59" spans="1:67" x14ac:dyDescent="0.3">
      <c r="A59" s="18" t="s">
        <v>56</v>
      </c>
      <c r="B59" s="24"/>
      <c r="D59" s="32"/>
      <c r="F59" s="32"/>
      <c r="H59" s="138"/>
      <c r="I59" s="138"/>
      <c r="BJ59">
        <f t="shared" si="14"/>
        <v>132</v>
      </c>
      <c r="BK59" t="str">
        <f t="shared" si="15"/>
        <v>Slpig1_org</v>
      </c>
      <c r="BL59" t="s">
        <v>127</v>
      </c>
      <c r="BM59">
        <f t="shared" ref="BL59:BM62" si="24">$B$47</f>
        <v>0</v>
      </c>
      <c r="BN59">
        <f>$AG$34</f>
        <v>0</v>
      </c>
      <c r="BO59" s="32">
        <f>AG$47</f>
        <v>0</v>
      </c>
    </row>
    <row r="60" spans="1:67" x14ac:dyDescent="0.3">
      <c r="BJ60">
        <f t="shared" si="14"/>
        <v>132</v>
      </c>
      <c r="BK60" t="str">
        <f t="shared" si="15"/>
        <v>Slpig1_org</v>
      </c>
      <c r="BL60" t="s">
        <v>127</v>
      </c>
      <c r="BM60">
        <f t="shared" si="24"/>
        <v>0</v>
      </c>
      <c r="BN60" s="32">
        <f>$AH$34</f>
        <v>0</v>
      </c>
      <c r="BO60" s="32">
        <f>AH$47</f>
        <v>0</v>
      </c>
    </row>
    <row r="61" spans="1:67" ht="17.399999999999999" x14ac:dyDescent="0.3">
      <c r="A61" s="31" t="s">
        <v>104</v>
      </c>
      <c r="BJ61">
        <f t="shared" si="14"/>
        <v>132</v>
      </c>
      <c r="BK61" t="str">
        <f t="shared" si="15"/>
        <v>Slpig1_org</v>
      </c>
      <c r="BL61" t="s">
        <v>127</v>
      </c>
      <c r="BM61">
        <f t="shared" si="24"/>
        <v>0</v>
      </c>
      <c r="BN61">
        <f>$AI$34</f>
        <v>0</v>
      </c>
      <c r="BO61" s="32">
        <f>AI$47</f>
        <v>0</v>
      </c>
    </row>
    <row r="62" spans="1:67" x14ac:dyDescent="0.3">
      <c r="A62" s="21" t="s">
        <v>280</v>
      </c>
      <c r="B62" s="10" t="s">
        <v>101</v>
      </c>
      <c r="C62" s="10" t="s">
        <v>102</v>
      </c>
      <c r="D62" s="10" t="s">
        <v>103</v>
      </c>
      <c r="BI62">
        <f t="shared" si="14"/>
        <v>132</v>
      </c>
      <c r="BJ62" t="str">
        <f t="shared" si="15"/>
        <v>Slpig1_org</v>
      </c>
      <c r="BK62" t="s">
        <v>127</v>
      </c>
      <c r="BL62">
        <f t="shared" si="24"/>
        <v>0</v>
      </c>
      <c r="BM62">
        <f>$AJ$34</f>
        <v>0</v>
      </c>
      <c r="BN62" s="32">
        <f>AJ$47</f>
        <v>0</v>
      </c>
    </row>
    <row r="63" spans="1:67" x14ac:dyDescent="0.3">
      <c r="A63" s="18" t="s">
        <v>86</v>
      </c>
      <c r="B63" s="19"/>
      <c r="C63" s="11">
        <v>11</v>
      </c>
      <c r="D63" s="11"/>
      <c r="E63" t="s">
        <v>774</v>
      </c>
      <c r="BI63">
        <f t="shared" ref="BI63:BJ91" si="25">$BM$32</f>
        <v>132</v>
      </c>
      <c r="BJ63" t="str">
        <f t="shared" ref="BJ63:BK91" si="26">$BM$33</f>
        <v>Slpig1_org</v>
      </c>
      <c r="BK63" t="s">
        <v>127</v>
      </c>
      <c r="BL63">
        <f t="shared" ref="BL63:BM68" si="27">$B$48</f>
        <v>0</v>
      </c>
      <c r="BM63" s="64" t="str">
        <f>C48</f>
        <v>Kg</v>
      </c>
      <c r="BN63" s="32">
        <f>P48</f>
        <v>0</v>
      </c>
    </row>
    <row r="64" spans="1:67" x14ac:dyDescent="0.3">
      <c r="A64" s="18" t="s">
        <v>87</v>
      </c>
      <c r="B64" s="19"/>
      <c r="C64" s="11"/>
      <c r="D64" s="11"/>
      <c r="BI64">
        <f t="shared" si="25"/>
        <v>132</v>
      </c>
      <c r="BJ64" t="str">
        <f t="shared" si="26"/>
        <v>Slpig1_org</v>
      </c>
      <c r="BK64" t="s">
        <v>127</v>
      </c>
      <c r="BL64">
        <f t="shared" si="27"/>
        <v>0</v>
      </c>
      <c r="BM64" t="str">
        <f>$AF$34</f>
        <v/>
      </c>
      <c r="BN64" s="32" t="str">
        <f>AF$48</f>
        <v/>
      </c>
    </row>
    <row r="65" spans="1:67" x14ac:dyDescent="0.3">
      <c r="A65" s="156" t="s">
        <v>56</v>
      </c>
      <c r="B65" s="159">
        <f>SUM(B63:B64)</f>
        <v>0</v>
      </c>
      <c r="C65" s="159">
        <f>SUM(C63:C64)</f>
        <v>11</v>
      </c>
      <c r="D65" s="159">
        <f>SUM(D63:D64)</f>
        <v>0</v>
      </c>
      <c r="BJ65">
        <f t="shared" si="25"/>
        <v>132</v>
      </c>
      <c r="BK65" t="str">
        <f t="shared" si="26"/>
        <v>Slpig1_org</v>
      </c>
      <c r="BL65" t="s">
        <v>127</v>
      </c>
      <c r="BM65">
        <f t="shared" si="27"/>
        <v>0</v>
      </c>
      <c r="BN65">
        <f>$AG$34</f>
        <v>0</v>
      </c>
      <c r="BO65" s="32">
        <f>AG$48</f>
        <v>0</v>
      </c>
    </row>
    <row r="66" spans="1:67" ht="17.399999999999999" x14ac:dyDescent="0.3">
      <c r="P66" s="31" t="s">
        <v>266</v>
      </c>
      <c r="Q66" s="31"/>
      <c r="BJ66">
        <f t="shared" si="25"/>
        <v>132</v>
      </c>
      <c r="BK66" t="str">
        <f t="shared" si="26"/>
        <v>Slpig1_org</v>
      </c>
      <c r="BL66" t="s">
        <v>127</v>
      </c>
      <c r="BM66">
        <f t="shared" si="27"/>
        <v>0</v>
      </c>
      <c r="BN66" s="32">
        <f>$AH$34</f>
        <v>0</v>
      </c>
      <c r="BO66" s="32">
        <f>AH$48</f>
        <v>0</v>
      </c>
    </row>
    <row r="67" spans="1:67" x14ac:dyDescent="0.3">
      <c r="A67" s="21" t="s">
        <v>18</v>
      </c>
      <c r="B67" s="37" t="s">
        <v>69</v>
      </c>
      <c r="C67" s="17" t="s">
        <v>70</v>
      </c>
      <c r="D67" s="17" t="s">
        <v>74</v>
      </c>
      <c r="E67" s="17" t="s">
        <v>80</v>
      </c>
      <c r="F67" s="17" t="s">
        <v>227</v>
      </c>
      <c r="I67" s="42"/>
      <c r="K67" s="17" t="s">
        <v>82</v>
      </c>
      <c r="L67" s="17" t="s">
        <v>17</v>
      </c>
      <c r="P67" s="17" t="str">
        <f>Other_tables!L4</f>
        <v>Transportmiddel</v>
      </c>
      <c r="Q67" s="54"/>
      <c r="R67" s="17" t="s">
        <v>119</v>
      </c>
      <c r="S67" s="17" t="s">
        <v>83</v>
      </c>
      <c r="T67" s="17" t="s">
        <v>97</v>
      </c>
      <c r="BJ67">
        <f t="shared" si="25"/>
        <v>132</v>
      </c>
      <c r="BK67" t="str">
        <f t="shared" si="26"/>
        <v>Slpig1_org</v>
      </c>
      <c r="BL67" t="s">
        <v>127</v>
      </c>
      <c r="BM67">
        <f t="shared" si="27"/>
        <v>0</v>
      </c>
      <c r="BN67">
        <f>$AI$34</f>
        <v>0</v>
      </c>
      <c r="BO67" s="32">
        <f>AI$48</f>
        <v>0</v>
      </c>
    </row>
    <row r="68" spans="1:67" x14ac:dyDescent="0.3">
      <c r="A68" s="18" t="s">
        <v>44</v>
      </c>
      <c r="B68" s="38" t="s">
        <v>707</v>
      </c>
      <c r="C68" s="19">
        <v>168</v>
      </c>
      <c r="D68" s="11" t="s">
        <v>225</v>
      </c>
      <c r="E68" s="11" t="s">
        <v>81</v>
      </c>
      <c r="F68" s="5">
        <v>100</v>
      </c>
      <c r="G68" t="s">
        <v>686</v>
      </c>
      <c r="K68" s="49">
        <f t="shared" ref="K68:K72" si="28">IF(B68="",0,((((VLOOKUP(B68,$B$12:$D$18,3,FALSE))/1000)*C68)/(VLOOKUP(B68,$B$12:$R$18,17,FALSE)/1000))*(F68/100))</f>
        <v>12.684793498661509</v>
      </c>
      <c r="L68" s="49">
        <f>IF(E68="Diesel",VLOOKUP(D68,Other_tables!$L$5:$O$13,2,FALSE)*K68,0)</f>
        <v>0</v>
      </c>
      <c r="P68" s="30" t="str">
        <f>Other_tables!L5</f>
        <v>Traktor</v>
      </c>
      <c r="Q68" s="44"/>
      <c r="R68" s="159">
        <f t="shared" ref="R68:R76" si="29">SUMPRODUCT(($D$68:$D$81=P68)*$L$68:$L$81)</f>
        <v>5.8815487314590756E-2</v>
      </c>
      <c r="S68" s="49">
        <f t="shared" ref="S68:S76" si="30">IF(P68="","0",SUMPRODUCT(($D$68:$D$81=P68)*$K$68:$K$81))</f>
        <v>0.29407743657295377</v>
      </c>
      <c r="T68" s="49">
        <f>IF(R68&gt;0,0,(S68*VLOOKUP(P68,Other_tables!$L$5:$O$13,2,FALSE))/1000)</f>
        <v>0</v>
      </c>
      <c r="U68" s="95"/>
      <c r="BJ68">
        <f t="shared" si="25"/>
        <v>132</v>
      </c>
      <c r="BK68" t="str">
        <f t="shared" si="26"/>
        <v>Slpig1_org</v>
      </c>
      <c r="BL68" t="s">
        <v>127</v>
      </c>
      <c r="BM68">
        <f t="shared" si="27"/>
        <v>0</v>
      </c>
      <c r="BN68">
        <f>$AJ$34</f>
        <v>0</v>
      </c>
      <c r="BO68" s="32">
        <f>AJ$48</f>
        <v>0</v>
      </c>
    </row>
    <row r="69" spans="1:67" x14ac:dyDescent="0.3">
      <c r="A69" s="18" t="s">
        <v>45</v>
      </c>
      <c r="B69" s="38"/>
      <c r="C69" s="19"/>
      <c r="D69" s="11"/>
      <c r="E69" s="11"/>
      <c r="F69" s="5"/>
      <c r="K69" s="49">
        <f t="shared" si="28"/>
        <v>0</v>
      </c>
      <c r="L69" s="49">
        <f>IF(E69="Diesel",VLOOKUP(D69,Other_tables!$L$5:$O$13,2,FALSE)*K69,0)</f>
        <v>0</v>
      </c>
      <c r="P69" s="30" t="str">
        <f>Other_tables!L6</f>
        <v>Lastbil &gt; 20 T</v>
      </c>
      <c r="Q69" s="44"/>
      <c r="R69" s="159">
        <f t="shared" si="29"/>
        <v>0</v>
      </c>
      <c r="S69" s="49">
        <f t="shared" si="30"/>
        <v>13.47133950343302</v>
      </c>
      <c r="T69" s="49">
        <f>IF(R69&gt;0,0,(S69*VLOOKUP(P69,Other_tables!$L$5:$O$13,2,FALSE))/1000)</f>
        <v>1.3471339503433022</v>
      </c>
      <c r="U69" s="95"/>
      <c r="BJ69">
        <f t="shared" si="25"/>
        <v>132</v>
      </c>
      <c r="BK69" t="str">
        <f t="shared" si="26"/>
        <v>Slpig1_org</v>
      </c>
      <c r="BL69" t="s">
        <v>127</v>
      </c>
      <c r="BM69">
        <f t="shared" ref="BM69:BM74" si="31">$B$49</f>
        <v>0</v>
      </c>
      <c r="BN69" s="64" t="str">
        <f>C49</f>
        <v>Kg</v>
      </c>
      <c r="BO69" s="32">
        <f>P49</f>
        <v>0</v>
      </c>
    </row>
    <row r="70" spans="1:67" x14ac:dyDescent="0.3">
      <c r="A70" s="18" t="s">
        <v>46</v>
      </c>
      <c r="B70" s="38" t="s">
        <v>442</v>
      </c>
      <c r="C70" s="19">
        <v>168</v>
      </c>
      <c r="D70" s="11" t="s">
        <v>225</v>
      </c>
      <c r="E70" s="11" t="s">
        <v>81</v>
      </c>
      <c r="F70" s="5">
        <v>100</v>
      </c>
      <c r="G70" t="s">
        <v>230</v>
      </c>
      <c r="K70" s="49">
        <f t="shared" si="28"/>
        <v>0.7865460047715106</v>
      </c>
      <c r="L70" s="49">
        <f>IF(E70="Diesel",VLOOKUP(D70,Other_tables!$L$5:$O$13,2,FALSE)*K70,0)</f>
        <v>0</v>
      </c>
      <c r="P70" s="30" t="str">
        <f>Other_tables!L7</f>
        <v>Lastbil 10-20 T</v>
      </c>
      <c r="Q70" s="44"/>
      <c r="R70" s="159">
        <f t="shared" si="29"/>
        <v>0</v>
      </c>
      <c r="S70" s="49">
        <f t="shared" si="30"/>
        <v>7.8224598128405711</v>
      </c>
      <c r="T70" s="49">
        <f>IF(R70&gt;0,0,(S70*VLOOKUP(P70,Other_tables!$L$5:$O$13,2,FALSE))/1000)</f>
        <v>1.9869047924615051</v>
      </c>
      <c r="BJ70">
        <f t="shared" si="25"/>
        <v>132</v>
      </c>
      <c r="BK70" t="str">
        <f t="shared" si="26"/>
        <v>Slpig1_org</v>
      </c>
      <c r="BL70" t="s">
        <v>127</v>
      </c>
      <c r="BM70">
        <f t="shared" si="31"/>
        <v>0</v>
      </c>
      <c r="BN70" t="str">
        <f>$AF$34</f>
        <v/>
      </c>
      <c r="BO70" s="32" t="str">
        <f>AF$49</f>
        <v/>
      </c>
    </row>
    <row r="71" spans="1:67" x14ac:dyDescent="0.3">
      <c r="A71" s="18" t="s">
        <v>47</v>
      </c>
      <c r="B71" s="38" t="s">
        <v>444</v>
      </c>
      <c r="C71" s="19">
        <v>133</v>
      </c>
      <c r="D71" s="11" t="s">
        <v>226</v>
      </c>
      <c r="E71" s="11" t="s">
        <v>81</v>
      </c>
      <c r="F71" s="5">
        <v>50</v>
      </c>
      <c r="G71" t="s">
        <v>685</v>
      </c>
      <c r="K71" s="49">
        <f t="shared" si="28"/>
        <v>7.8224598128405711</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132</v>
      </c>
      <c r="BK71" t="str">
        <f t="shared" si="26"/>
        <v>Slpig1_org</v>
      </c>
      <c r="BL71" t="s">
        <v>127</v>
      </c>
      <c r="BM71">
        <f t="shared" si="31"/>
        <v>0</v>
      </c>
      <c r="BN71">
        <f>$AG$34</f>
        <v>0</v>
      </c>
      <c r="BO71" s="32">
        <f>AG$49</f>
        <v>0</v>
      </c>
    </row>
    <row r="72" spans="1:67" x14ac:dyDescent="0.3">
      <c r="A72" s="18" t="s">
        <v>67</v>
      </c>
      <c r="B72" s="38" t="s">
        <v>444</v>
      </c>
      <c r="C72" s="19">
        <v>5</v>
      </c>
      <c r="D72" s="11" t="s">
        <v>229</v>
      </c>
      <c r="E72" s="11" t="s">
        <v>17</v>
      </c>
      <c r="F72" s="5">
        <v>50</v>
      </c>
      <c r="K72" s="49">
        <f t="shared" si="28"/>
        <v>0.29407743657295377</v>
      </c>
      <c r="L72" s="49">
        <f>IF(E72="Diesel",VLOOKUP(D72,Other_tables!$L$5:$O$13,2,FALSE)*K72,0)</f>
        <v>5.8815487314590756E-2</v>
      </c>
      <c r="P72" s="30" t="str">
        <f>Other_tables!L9</f>
        <v>Fragttog Europa</v>
      </c>
      <c r="Q72" s="44"/>
      <c r="R72" s="159">
        <f t="shared" si="29"/>
        <v>0</v>
      </c>
      <c r="S72" s="49">
        <f t="shared" si="30"/>
        <v>0</v>
      </c>
      <c r="T72" s="49">
        <f>IF(R72&gt;0,0,(S72*VLOOKUP(P72,Other_tables!$L$5:$O$13,2,FALSE))/1000)</f>
        <v>0</v>
      </c>
      <c r="BJ72">
        <f t="shared" si="25"/>
        <v>132</v>
      </c>
      <c r="BK72" t="str">
        <f t="shared" si="26"/>
        <v>Slpig1_org</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132</v>
      </c>
      <c r="BK73" t="str">
        <f t="shared" si="26"/>
        <v>Slpig1_org</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132</v>
      </c>
      <c r="BK74" t="str">
        <f t="shared" si="26"/>
        <v>Slpig1_org</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132</v>
      </c>
      <c r="BK75" t="str">
        <f t="shared" si="26"/>
        <v>Slpig1_org</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132</v>
      </c>
      <c r="BK76" t="str">
        <f t="shared" si="26"/>
        <v>Slpig1_org</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5.8815487314590756E-2</v>
      </c>
      <c r="S77" s="57"/>
      <c r="T77" s="58">
        <f>SUM(T68:T76)</f>
        <v>3.3340387428048075</v>
      </c>
      <c r="BJ77">
        <f t="shared" si="25"/>
        <v>132</v>
      </c>
      <c r="BK77" t="str">
        <f t="shared" si="26"/>
        <v>Slpig1_org</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132</v>
      </c>
      <c r="BK78" t="str">
        <f t="shared" si="26"/>
        <v>Slpig1_org</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132</v>
      </c>
      <c r="BK79" t="str">
        <f t="shared" si="26"/>
        <v>Slpig1_org</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132</v>
      </c>
      <c r="BK80" t="str">
        <f t="shared" si="26"/>
        <v>Slpig1_org</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132</v>
      </c>
      <c r="BK81" t="str">
        <f t="shared" si="26"/>
        <v>Slpig1_org</v>
      </c>
      <c r="BL81" t="s">
        <v>118</v>
      </c>
      <c r="BM81" t="s">
        <v>118</v>
      </c>
      <c r="BN81">
        <f>I53</f>
        <v>0</v>
      </c>
      <c r="BO81" s="47">
        <f>I59</f>
        <v>0</v>
      </c>
    </row>
    <row r="82" spans="1:67" ht="17.399999999999999" x14ac:dyDescent="0.3">
      <c r="A82" s="25"/>
      <c r="B82" s="25"/>
      <c r="C82" s="24"/>
      <c r="D82" s="24"/>
      <c r="P82" s="31" t="s">
        <v>95</v>
      </c>
      <c r="Q82" s="55"/>
      <c r="BJ82">
        <f t="shared" si="25"/>
        <v>132</v>
      </c>
      <c r="BK82" t="str">
        <f t="shared" si="26"/>
        <v>Slpig1_org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132</v>
      </c>
      <c r="BK83" t="str">
        <f t="shared" si="26"/>
        <v>Slpig1_org</v>
      </c>
      <c r="BL83" t="str">
        <f>$A$67</f>
        <v>Transport</v>
      </c>
      <c r="BM83" t="str">
        <f>BL83</f>
        <v>Transport</v>
      </c>
      <c r="BN83" t="str">
        <f>R67</f>
        <v>Diesel (L)</v>
      </c>
      <c r="BO83" s="47">
        <f>R77</f>
        <v>5.8815487314590756E-2</v>
      </c>
    </row>
    <row r="84" spans="1:67" x14ac:dyDescent="0.3">
      <c r="A84" s="18" t="s">
        <v>33</v>
      </c>
      <c r="B84" s="38" t="s">
        <v>444</v>
      </c>
      <c r="C84" s="19" t="s">
        <v>217</v>
      </c>
      <c r="D84" s="28">
        <f>IF(B84="","",VLOOKUP(C84,Other_tables!$S$5:$AA$22,7,FALSE))</f>
        <v>2.148148148148148E-2</v>
      </c>
      <c r="E84" s="28">
        <f>IF(B84="","",VLOOKUP(C84,Other_tables!$S$5:$AA$22,3,FALSE))</f>
        <v>2.839506172839506E-3</v>
      </c>
      <c r="F84" s="5">
        <v>100</v>
      </c>
      <c r="P84" s="30" t="str">
        <f t="shared" ref="P84:P92" si="34">B84</f>
        <v>Grain_org</v>
      </c>
      <c r="Q84" s="44"/>
      <c r="R84" s="49">
        <f>IF(D84="",0,VLOOKUP(P84,$B$12:$D$18,3,FALSE)*D84)</f>
        <v>2.1481481481481479</v>
      </c>
      <c r="S84" s="49">
        <f>IF(E84="",0,VLOOKUP(P84,$B$12:$D$18,3,FALSE)*E84)</f>
        <v>0.2839506172839506</v>
      </c>
      <c r="BJ84">
        <f t="shared" si="25"/>
        <v>132</v>
      </c>
      <c r="BK84" t="str">
        <f t="shared" si="26"/>
        <v>Slpig1_org</v>
      </c>
      <c r="BL84" t="str">
        <f>$A$67</f>
        <v>Transport</v>
      </c>
      <c r="BM84" t="str">
        <f>BL84</f>
        <v>Transport</v>
      </c>
      <c r="BN84" t="str">
        <f>T67</f>
        <v>kg CO₂eq for T/km</v>
      </c>
      <c r="BO84" s="47">
        <f>T77</f>
        <v>3.3340387428048075</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132</v>
      </c>
      <c r="BK85" t="str">
        <f t="shared" si="26"/>
        <v>Slpig1_org</v>
      </c>
      <c r="BL85" t="s">
        <v>120</v>
      </c>
      <c r="BM85" t="s">
        <v>120</v>
      </c>
      <c r="BN85" t="str">
        <f>R83</f>
        <v>EL (KWh)</v>
      </c>
      <c r="BO85" s="47">
        <f>R93</f>
        <v>2.1481481481481479</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132</v>
      </c>
      <c r="BK86" t="str">
        <f t="shared" si="26"/>
        <v>Slpig1_org</v>
      </c>
      <c r="BL86" t="s">
        <v>120</v>
      </c>
      <c r="BM86" t="s">
        <v>120</v>
      </c>
      <c r="BN86" t="str">
        <f>S83</f>
        <v>Diesel (L)</v>
      </c>
      <c r="BO86" s="47">
        <f>S93</f>
        <v>0.2839506172839506</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132</v>
      </c>
      <c r="BK87" t="str">
        <f t="shared" si="26"/>
        <v>Slpig1_org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132</v>
      </c>
      <c r="BK88" t="str">
        <f t="shared" si="26"/>
        <v>Slpig1_org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132</v>
      </c>
      <c r="BK89" t="str">
        <f t="shared" si="26"/>
        <v>Slpig1_org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132</v>
      </c>
      <c r="BK90" t="str">
        <f t="shared" si="26"/>
        <v>Slpig1_org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132</v>
      </c>
      <c r="BK91" t="str">
        <f t="shared" si="26"/>
        <v>Slpig1_org</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2.1481481481481479</v>
      </c>
      <c r="S93" s="58">
        <f>SUM(S84:S92)</f>
        <v>0.2839506172839506</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764</v>
      </c>
      <c r="B122" s="158"/>
      <c r="C122" s="248">
        <v>5.3772872282041337</v>
      </c>
      <c r="D122" s="6"/>
      <c r="E122" s="165">
        <v>0</v>
      </c>
      <c r="F122" s="164">
        <f>VLOOKUP(A122,'Stable systems'!$A$4:$AK$105,35,FALSE)</f>
        <v>0</v>
      </c>
      <c r="G122" s="164">
        <f>VLOOKUP(A122,'Stable systems'!$A$4:$AK$105,36,FALSE)</f>
        <v>0</v>
      </c>
      <c r="H122" s="164">
        <f>VLOOKUP(A122,'Stable systems'!$A$4:$AK$105,37,FALSE)</f>
        <v>0</v>
      </c>
      <c r="M122" s="173">
        <f>(C122/100)*E122</f>
        <v>0</v>
      </c>
    </row>
    <row r="123" spans="1:13" x14ac:dyDescent="0.3">
      <c r="A123" s="158" t="s">
        <v>763</v>
      </c>
      <c r="B123" s="158"/>
      <c r="C123" s="248">
        <v>43.039340773210974</v>
      </c>
      <c r="D123" s="6" t="s">
        <v>432</v>
      </c>
      <c r="E123" s="165">
        <v>8.5</v>
      </c>
      <c r="F123" s="164">
        <f>VLOOKUP(A123,'Stable systems'!$A$4:$AK$105,35,FALSE)</f>
        <v>0</v>
      </c>
      <c r="G123" s="164">
        <f>VLOOKUP(A123,'Stable systems'!$A$4:$AK$105,36,FALSE)</f>
        <v>0</v>
      </c>
      <c r="H123" s="164">
        <f>VLOOKUP(A123,'Stable systems'!$A$4:$AK$105,37,FALSE)</f>
        <v>8.5</v>
      </c>
      <c r="M123" s="173">
        <f t="shared" ref="M123:M131" si="41">(C123/100)*E123</f>
        <v>3.6583439657229326</v>
      </c>
    </row>
    <row r="124" spans="1:13" x14ac:dyDescent="0.3">
      <c r="A124" s="158" t="s">
        <v>762</v>
      </c>
      <c r="B124" s="158"/>
      <c r="C124" s="248">
        <v>51.583371998584894</v>
      </c>
      <c r="D124" s="6" t="s">
        <v>432</v>
      </c>
      <c r="E124" s="165">
        <v>25.5</v>
      </c>
      <c r="F124" s="164">
        <f>VLOOKUP(A124,'Stable systems'!$A$4:$AK$105,35,FALSE)</f>
        <v>0</v>
      </c>
      <c r="G124" s="164">
        <f>VLOOKUP(A124,'Stable systems'!$A$4:$AK$105,36,FALSE)</f>
        <v>0</v>
      </c>
      <c r="H124" s="164">
        <f>VLOOKUP(A124,'Stable systems'!$A$4:$AK$105,37,FALSE)</f>
        <v>25.5</v>
      </c>
      <c r="M124" s="173">
        <f t="shared" si="41"/>
        <v>13.153759859639148</v>
      </c>
    </row>
    <row r="125" spans="1:13" x14ac:dyDescent="0.3">
      <c r="A125" s="158"/>
      <c r="B125" s="158"/>
      <c r="C125" s="248"/>
      <c r="D125" s="6"/>
      <c r="E125" s="165"/>
      <c r="F125" s="164" t="e">
        <f>VLOOKUP(A125,'Stable systems'!$A$4:$AK$105,35,FALSE)</f>
        <v>#N/A</v>
      </c>
      <c r="G125" s="164" t="e">
        <f>VLOOKUP(A125,'Stable systems'!$A$4:$AK$105,36,FALSE)</f>
        <v>#N/A</v>
      </c>
      <c r="H125" s="164" t="e">
        <f>VLOOKUP(A125,'Stable systems'!$A$4:$AK$105,37,FALSE)</f>
        <v>#N/A</v>
      </c>
      <c r="M125" s="173">
        <f t="shared" si="41"/>
        <v>0</v>
      </c>
    </row>
    <row r="126" spans="1:13" x14ac:dyDescent="0.3">
      <c r="A126" s="158"/>
      <c r="B126" s="158"/>
      <c r="C126" s="248"/>
      <c r="D126" s="6"/>
      <c r="E126" s="165"/>
      <c r="F126" s="164" t="e">
        <f>VLOOKUP(A126,'Stable systems'!$A$4:$AK$105,35,FALSE)</f>
        <v>#N/A</v>
      </c>
      <c r="G126" s="164" t="e">
        <f>VLOOKUP(A126,'Stable systems'!$A$4:$AK$105,36,FALSE)</f>
        <v>#N/A</v>
      </c>
      <c r="H126" s="164" t="e">
        <f>VLOOKUP(A126,'Stable systems'!$A$4:$AK$105,37,FALSE)</f>
        <v>#N/A</v>
      </c>
      <c r="M126" s="173">
        <f t="shared" si="41"/>
        <v>0</v>
      </c>
    </row>
    <row r="127" spans="1:13" x14ac:dyDescent="0.3">
      <c r="A127" s="158"/>
      <c r="B127" s="158"/>
      <c r="C127" s="248"/>
      <c r="D127" s="6"/>
      <c r="E127" s="165"/>
      <c r="F127" s="164" t="e">
        <f>VLOOKUP(A127,'Stable systems'!$A$4:$AK$105,35,FALSE)</f>
        <v>#N/A</v>
      </c>
      <c r="G127" s="164" t="e">
        <f>VLOOKUP(A127,'Stable systems'!$A$4:$AK$105,36,FALSE)</f>
        <v>#N/A</v>
      </c>
      <c r="H127" s="164" t="e">
        <f>VLOOKUP(A127,'Stable systems'!$A$4:$AK$105,37,FALSE)</f>
        <v>#N/A</v>
      </c>
      <c r="M127" s="173">
        <f t="shared" si="41"/>
        <v>0</v>
      </c>
    </row>
    <row r="128" spans="1:13" x14ac:dyDescent="0.3">
      <c r="A128" s="158"/>
      <c r="B128" s="158"/>
      <c r="C128" s="248"/>
      <c r="D128" s="6"/>
      <c r="E128" s="165"/>
      <c r="F128" s="164" t="e">
        <f>VLOOKUP(A128,'Stable systems'!$A$4:$AK$105,35,FALSE)</f>
        <v>#N/A</v>
      </c>
      <c r="G128" s="164" t="e">
        <f>VLOOKUP(A128,'Stable systems'!$A$4:$AK$105,36,FALSE)</f>
        <v>#N/A</v>
      </c>
      <c r="H128" s="164" t="e">
        <f>VLOOKUP(A128,'Stable systems'!$A$4:$AK$105,37,FALSE)</f>
        <v>#N/A</v>
      </c>
      <c r="M128" s="173">
        <f t="shared" si="41"/>
        <v>0</v>
      </c>
    </row>
    <row r="129" spans="1:16" x14ac:dyDescent="0.3">
      <c r="A129" s="158"/>
      <c r="B129" s="158"/>
      <c r="C129" s="248"/>
      <c r="D129" s="6"/>
      <c r="E129" s="165"/>
      <c r="F129" s="164" t="e">
        <f>VLOOKUP(A129,'Stable systems'!$A$4:$AK$105,35,FALSE)</f>
        <v>#N/A</v>
      </c>
      <c r="G129" s="164" t="e">
        <f>VLOOKUP(A129,'Stable systems'!$A$4:$AK$105,36,FALSE)</f>
        <v>#N/A</v>
      </c>
      <c r="H129" s="164" t="e">
        <f>VLOOKUP(A129,'Stable systems'!$A$4:$AK$105,37,FALSE)</f>
        <v>#N/A</v>
      </c>
      <c r="M129" s="173">
        <f t="shared" si="41"/>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16.81210382536208</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9.8782237219931568E-2</v>
      </c>
      <c r="L146" s="49">
        <f>IF(E146="Diesel",VLOOKUP(D146,Other_tables!$L$5:$O$13,2,FALSE)*K146,0)</f>
        <v>1.9756447443986316E-2</v>
      </c>
      <c r="P146" s="30" t="str">
        <f>Other_tables!L5</f>
        <v>Traktor</v>
      </c>
      <c r="Q146" s="44"/>
      <c r="R146" s="103">
        <f t="shared" ref="R146:R154" si="44">SUMPRODUCT(($D$146:$D$149=P146)*$L$146:$L$149)</f>
        <v>1.9756447443986316E-2</v>
      </c>
      <c r="S146" s="114">
        <f t="shared" ref="S146:S154" si="45">IF(P146="","0",SUMPRODUCT(($D$146:$D$149=P146)*$K$146:$K$149))</f>
        <v>9.8782237219931568E-2</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1.9756447443986316E-2</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9.9473712880471087E-3</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3.9789485152188435E-2</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9.9473712880471087E-3</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5.9684227728282656E-2</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cm="1">
        <f t="array" ref="R171">SUMPRODUCT(($P$68:$P$76=P171)*$R$68:$R$76)+SUMPRODUCT(($P$146:$P$154=P171)*$R$146:$R$154)</f>
        <v>7.8571934758577072E-2</v>
      </c>
      <c r="S171" s="179"/>
      <c r="T171" s="103">
        <f t="shared" ref="T171:T179" si="46">SUMPRODUCT(($P$68:$P$76=P171)*$T$68:$T$76)+SUMPRODUCT(($P$146:$P$154=P171)*$T$146:$T$154)</f>
        <v>0</v>
      </c>
    </row>
    <row r="172" spans="1:20" x14ac:dyDescent="0.3">
      <c r="A172" s="25"/>
      <c r="B172" s="138"/>
      <c r="C172" s="138"/>
      <c r="P172" s="30" t="s">
        <v>225</v>
      </c>
      <c r="Q172" s="44"/>
      <c r="R172" s="103">
        <f t="shared" ref="R172:R179" si="47">SUMPRODUCT(($P$68:$P$76=P172)*$R$68:$R$76)+SUMPRODUCT(($P$146:$P$154=P172)*$R$146:$R$154)</f>
        <v>0</v>
      </c>
      <c r="S172" s="179"/>
      <c r="T172" s="103">
        <f t="shared" si="46"/>
        <v>1.3471339503433022</v>
      </c>
    </row>
    <row r="173" spans="1:20" x14ac:dyDescent="0.3">
      <c r="A173" s="25"/>
      <c r="B173" s="138"/>
      <c r="C173" s="138"/>
      <c r="P173" s="30" t="s">
        <v>226</v>
      </c>
      <c r="Q173" s="44"/>
      <c r="R173" s="103">
        <f t="shared" si="47"/>
        <v>0</v>
      </c>
      <c r="S173" s="179"/>
      <c r="T173" s="103">
        <f t="shared" si="46"/>
        <v>1.9869047924615051</v>
      </c>
    </row>
    <row r="174" spans="1:20" x14ac:dyDescent="0.3">
      <c r="A174" s="25"/>
      <c r="B174" s="138"/>
      <c r="C174" s="138"/>
      <c r="P174" s="30" t="s">
        <v>267</v>
      </c>
      <c r="Q174" s="44"/>
      <c r="R174" s="103">
        <f t="shared" si="47"/>
        <v>0</v>
      </c>
      <c r="S174" s="179"/>
      <c r="T174" s="103">
        <f t="shared" si="46"/>
        <v>0</v>
      </c>
    </row>
    <row r="175" spans="1:20" x14ac:dyDescent="0.3">
      <c r="A175" s="25"/>
      <c r="B175" s="24"/>
      <c r="P175" s="30" t="s">
        <v>268</v>
      </c>
      <c r="Q175" s="44"/>
      <c r="R175" s="103">
        <f t="shared" si="47"/>
        <v>0</v>
      </c>
      <c r="S175" s="179"/>
      <c r="T175" s="103">
        <f t="shared" si="46"/>
        <v>0</v>
      </c>
    </row>
    <row r="176" spans="1:20" x14ac:dyDescent="0.3">
      <c r="G176" s="181" t="s">
        <v>101</v>
      </c>
      <c r="H176" s="181" t="s">
        <v>102</v>
      </c>
      <c r="I176" s="181" t="s">
        <v>103</v>
      </c>
      <c r="J176" s="182" t="s">
        <v>129</v>
      </c>
      <c r="P176" s="30" t="s">
        <v>269</v>
      </c>
      <c r="Q176" s="44"/>
      <c r="R176" s="103">
        <f t="shared" si="47"/>
        <v>0</v>
      </c>
      <c r="S176" s="179"/>
      <c r="T176" s="103">
        <f t="shared" si="46"/>
        <v>0</v>
      </c>
    </row>
    <row r="177" spans="1:20" x14ac:dyDescent="0.3">
      <c r="F177" s="183" t="s">
        <v>279</v>
      </c>
      <c r="G177" s="81">
        <f>B65+R106+C156</f>
        <v>0</v>
      </c>
      <c r="H177" s="81">
        <f>AC31+C65+R93+S106+D118+D156+D168</f>
        <v>13.148148148148149</v>
      </c>
      <c r="I177" s="81">
        <f>AB31+R77+D65+S93+T106+E118+R155+E156+E168</f>
        <v>0.59774659718851231</v>
      </c>
      <c r="J177" s="114">
        <f>AD31+T77+T155</f>
        <v>3.3340387428048075</v>
      </c>
      <c r="P177" s="30" t="s">
        <v>270</v>
      </c>
      <c r="Q177" s="44"/>
      <c r="R177" s="103">
        <f t="shared" si="47"/>
        <v>0</v>
      </c>
      <c r="S177" s="179"/>
      <c r="T177" s="103">
        <f t="shared" si="46"/>
        <v>0</v>
      </c>
    </row>
    <row r="178" spans="1:20" x14ac:dyDescent="0.3">
      <c r="P178" s="30" t="s">
        <v>271</v>
      </c>
      <c r="Q178" s="44"/>
      <c r="R178" s="103">
        <f t="shared" si="47"/>
        <v>0</v>
      </c>
      <c r="S178" s="179"/>
      <c r="T178" s="103">
        <f t="shared" si="46"/>
        <v>0</v>
      </c>
    </row>
    <row r="179" spans="1:20" x14ac:dyDescent="0.3">
      <c r="P179" s="30">
        <v>0</v>
      </c>
      <c r="Q179" s="44"/>
      <c r="R179" s="103">
        <f t="shared" si="47"/>
        <v>0</v>
      </c>
      <c r="S179" s="179"/>
      <c r="T179" s="103">
        <f t="shared" si="46"/>
        <v>0</v>
      </c>
    </row>
    <row r="180" spans="1:20" x14ac:dyDescent="0.3">
      <c r="E180" t="s">
        <v>705</v>
      </c>
      <c r="F180" t="s">
        <v>755</v>
      </c>
      <c r="P180" s="59" t="s">
        <v>56</v>
      </c>
      <c r="R180" s="178">
        <f>SUM(R171:R179)</f>
        <v>7.8571934758577072E-2</v>
      </c>
      <c r="S180" s="47"/>
      <c r="T180" s="178">
        <f>SUM(T171:T179)</f>
        <v>3.3340387428048075</v>
      </c>
    </row>
    <row r="181" spans="1:20" x14ac:dyDescent="0.3">
      <c r="A181" t="s">
        <v>754</v>
      </c>
      <c r="B181">
        <v>241</v>
      </c>
      <c r="C181" t="s">
        <v>43</v>
      </c>
      <c r="D181">
        <f>B181*0.85</f>
        <v>204.85</v>
      </c>
      <c r="E181" s="154">
        <f>D181/$D$185*100</f>
        <v>90.630977631459089</v>
      </c>
      <c r="F181" s="110">
        <f>E181/100*196</f>
        <v>177.63671615765981</v>
      </c>
    </row>
    <row r="182" spans="1:20" x14ac:dyDescent="0.3">
      <c r="D182">
        <f t="shared" ref="D182" si="48">B182*0.85</f>
        <v>0</v>
      </c>
      <c r="E182" s="154">
        <f t="shared" ref="E182:E183" si="49">D182/$D$185*100</f>
        <v>0</v>
      </c>
      <c r="F182" s="110">
        <f t="shared" ref="F182" si="50">E182/100*1468</f>
        <v>0</v>
      </c>
    </row>
    <row r="183" spans="1:20" x14ac:dyDescent="0.3">
      <c r="A183" t="s">
        <v>704</v>
      </c>
      <c r="B183">
        <v>18</v>
      </c>
      <c r="C183" t="s">
        <v>701</v>
      </c>
      <c r="D183" s="154">
        <f>B183/0.85</f>
        <v>21.176470588235293</v>
      </c>
      <c r="E183" s="154">
        <f t="shared" si="49"/>
        <v>9.3690223685409038</v>
      </c>
      <c r="F183" s="110">
        <f>E183/100*196</f>
        <v>18.36328384234017</v>
      </c>
    </row>
    <row r="185" spans="1:20" x14ac:dyDescent="0.3">
      <c r="A185" t="s">
        <v>678</v>
      </c>
      <c r="D185" s="154">
        <f>SUM(D181:D184)</f>
        <v>226.0264705882353</v>
      </c>
      <c r="E185" s="154">
        <f t="shared" ref="E185:F185" si="51">SUM(E181:E184)</f>
        <v>100</v>
      </c>
      <c r="F185" s="154">
        <f t="shared" si="51"/>
        <v>195.99999999999997</v>
      </c>
    </row>
    <row r="223" spans="1:1" x14ac:dyDescent="0.3">
      <c r="A223" t="s">
        <v>232</v>
      </c>
    </row>
  </sheetData>
  <mergeCells count="23">
    <mergeCell ref="T34:X34"/>
    <mergeCell ref="AO22:AP22"/>
    <mergeCell ref="AQ22:AT22"/>
    <mergeCell ref="AU22:AZ22"/>
    <mergeCell ref="BA22:BC22"/>
    <mergeCell ref="BD22:BF22"/>
    <mergeCell ref="BG22:BH22"/>
    <mergeCell ref="A7:A9"/>
    <mergeCell ref="B7:C9"/>
    <mergeCell ref="E10:F10"/>
    <mergeCell ref="S10:Y10"/>
    <mergeCell ref="AO21:BH21"/>
    <mergeCell ref="E22:G22"/>
    <mergeCell ref="H22:I22"/>
    <mergeCell ref="K22:P22"/>
    <mergeCell ref="S22:Y22"/>
    <mergeCell ref="AB22:AD22"/>
    <mergeCell ref="B6:C6"/>
    <mergeCell ref="B3:C3"/>
    <mergeCell ref="F3:G3"/>
    <mergeCell ref="B4:C4"/>
    <mergeCell ref="I4:J4"/>
    <mergeCell ref="B5:C5"/>
  </mergeCells>
  <dataValidations count="3">
    <dataValidation type="list" allowBlank="1" showInputMessage="1" showErrorMessage="1" sqref="B146:B149 B152:B155 B159:B167" xr:uid="{AF56F606-6606-4EED-9B04-ADB65C72E6A3}">
      <formula1>$B$140:$B$143</formula1>
    </dataValidation>
    <dataValidation type="list" allowBlank="1" showInputMessage="1" showErrorMessage="1" sqref="B97:B105 B82 B144:B145" xr:uid="{57261518-0316-4FC6-B6EA-EC7BD23F0329}">
      <formula1>$B$24:$B$30</formula1>
    </dataValidation>
    <dataValidation type="list" allowBlank="1" showInputMessage="1" showErrorMessage="1" sqref="B109:B117 B84:B92 B68:B81" xr:uid="{5463C37A-7372-4F8D-8514-B0C619818E7D}">
      <formula1>$AF$3:$AF$51</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E1BC81A7-5E5E-4DC3-9615-5F15F785072E}">
          <x14:formula1>
            <xm:f>'Processed products'!$AJ$5:$AJ$250</xm:f>
          </x14:formula1>
          <xm:sqref>B45:B49</xm:sqref>
        </x14:dataValidation>
        <x14:dataValidation type="list" allowBlank="1" showInputMessage="1" showErrorMessage="1" xr:uid="{B0C5B0D1-BE32-49AC-9972-A260BA10E230}">
          <x14:formula1>
            <xm:f>'Processed products'!$AJ$5:$AJ$104</xm:f>
          </x14:formula1>
          <xm:sqref>A136</xm:sqref>
        </x14:dataValidation>
        <x14:dataValidation type="list" allowBlank="1" showInputMessage="1" showErrorMessage="1" xr:uid="{641ECFD1-636C-4113-AAC8-31A4B1FE541E}">
          <x14:formula1>
            <xm:f>'Processed products'!$C$5:$C$104</xm:f>
          </x14:formula1>
          <xm:sqref>D4</xm:sqref>
        </x14:dataValidation>
        <x14:dataValidation type="list" allowBlank="1" showInputMessage="1" showErrorMessage="1" xr:uid="{2841A317-EC22-4434-BCAE-8BA0994DB4C2}">
          <x14:formula1>
            <xm:f>'Respiration and enteric gas los'!$M$4:$M$35</xm:f>
          </x14:formula1>
          <xm:sqref>B55</xm:sqref>
        </x14:dataValidation>
        <x14:dataValidation type="list" allowBlank="1" showInputMessage="1" showErrorMessage="1" xr:uid="{9FED9039-5422-4985-BD99-1D389A504397}">
          <x14:formula1>
            <xm:f>'Respiration and enteric gas los'!$A$4:$A$35</xm:f>
          </x14:formula1>
          <xm:sqref>B54</xm:sqref>
        </x14:dataValidation>
        <x14:dataValidation type="list" allowBlank="1" showInputMessage="1" showErrorMessage="1" xr:uid="{266EA9A8-51F0-400D-A5F2-FF65FF4E1C7B}">
          <x14:formula1>
            <xm:f>Other_tables!$Q$5:$Q$6</xm:f>
          </x14:formula1>
          <xm:sqref>E146:E149 E68:E82</xm:sqref>
        </x14:dataValidation>
        <x14:dataValidation type="list" allowBlank="1" showInputMessage="1" showErrorMessage="1" xr:uid="{162C45D0-5CFE-49FD-B39C-1677A167955C}">
          <x14:formula1>
            <xm:f>Other_tables!$L$5:$L$13</xm:f>
          </x14:formula1>
          <xm:sqref>D146:D149 D68:D82</xm:sqref>
        </x14:dataValidation>
        <x14:dataValidation type="list" allowBlank="1" showInputMessage="1" showErrorMessage="1" xr:uid="{DF6609D3-3C52-4ECA-BFF9-EE826412C311}">
          <x14:formula1>
            <xm:f>Biomass_pool_output_Tech1_modul!$A$3:$A$100</xm:f>
          </x14:formula1>
          <xm:sqref>B12:B16 B140:B143 D122:D135 E12:E18 F24:F30</xm:sqref>
        </x14:dataValidation>
        <x14:dataValidation type="list" allowBlank="1" showInputMessage="1" showErrorMessage="1" xr:uid="{C7BFE320-C2B6-419C-AAF9-F22536D0C133}">
          <x14:formula1>
            <xm:f>Other_tables!$A$5:$A$50</xm:f>
          </x14:formula1>
          <xm:sqref>C19 C33</xm:sqref>
        </x14:dataValidation>
        <x14:dataValidation type="list" allowBlank="1" showInputMessage="1" showErrorMessage="1" xr:uid="{394DBAA4-1F8E-42EF-9687-48B17974FC84}">
          <x14:formula1>
            <xm:f>'Processed products'!$B$5:$B$104</xm:f>
          </x14:formula1>
          <xm:sqref>B35:B42 L35:M37</xm:sqref>
        </x14:dataValidation>
        <x14:dataValidation type="list" allowBlank="1" showInputMessage="1" showErrorMessage="1" xr:uid="{CDE969DD-D547-4C1D-AAA5-8495C0E3C261}">
          <x14:formula1>
            <xm:f>Other_tables!$S$5:$S$22</xm:f>
          </x14:formula1>
          <xm:sqref>C84:C92</xm:sqref>
        </x14:dataValidation>
        <x14:dataValidation type="list" allowBlank="1" showInputMessage="1" showErrorMessage="1" xr:uid="{33F55030-ED10-4023-84C9-3CD3F8A2050F}">
          <x14:formula1>
            <xm:f>'Diesel consumption for field op'!$B$4:$B$78</xm:f>
          </x14:formula1>
          <xm:sqref>C109:C117 C159:C167</xm:sqref>
        </x14:dataValidation>
        <x14:dataValidation type="list" allowBlank="1" showInputMessage="1" showErrorMessage="1" xr:uid="{ABE847B4-95B5-4FE2-BFD8-AB17C9222047}">
          <x14:formula1>
            <xm:f>Other_tables!$G$5:$G$12</xm:f>
          </x14:formula1>
          <xm:sqref>C54:C58 C172:C174</xm:sqref>
        </x14:dataValidation>
        <x14:dataValidation type="list" allowBlank="1" showInputMessage="1" showErrorMessage="1" xr:uid="{AD4B56C5-D50A-459B-962E-875C0D3DE6CA}">
          <x14:formula1>
            <xm:f>Converted_feedstuff!$C$5:$C$54</xm:f>
          </x14:formula1>
          <xm:sqref>B24:B30 E24:E30</xm:sqref>
        </x14:dataValidation>
        <x14:dataValidation type="list" allowBlank="1" showInputMessage="1" showErrorMessage="1" xr:uid="{3114DDD7-6E53-4C88-9E9B-341EFB45E704}">
          <x14:formula1>
            <xm:f>'Imported products'!$B$5:$B$54</xm:f>
          </x14:formula1>
          <xm:sqref>F12:F18 B17:B18 G24:G30</xm:sqref>
        </x14:dataValidation>
        <x14:dataValidation type="list" allowBlank="1" showInputMessage="1" showErrorMessage="1" xr:uid="{3EBBFE8E-5CF1-4EA4-90CD-E8D7CD88ECE5}">
          <x14:formula1>
            <xm:f>'Stable systems'!$A$4:$A$105</xm:f>
          </x14:formula1>
          <xm:sqref>A122:A134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A8F69-640E-4CA7-A244-A92B8DB8CBEA}">
  <sheetPr>
    <tabColor theme="9" tint="0.59999389629810485"/>
  </sheetPr>
  <dimension ref="A1:BO223"/>
  <sheetViews>
    <sheetView topLeftCell="A13" workbookViewId="0">
      <selection activeCell="E1" sqref="E1"/>
    </sheetView>
  </sheetViews>
  <sheetFormatPr defaultRowHeight="14.4" x14ac:dyDescent="0.3"/>
  <cols>
    <col min="1" max="1" width="5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0.5546875"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Protein_1_org</v>
      </c>
    </row>
    <row r="4" spans="1:36" x14ac:dyDescent="0.3">
      <c r="A4" s="15" t="s">
        <v>31</v>
      </c>
      <c r="B4" s="299">
        <v>130</v>
      </c>
      <c r="C4" s="299"/>
      <c r="D4" s="5" t="s">
        <v>710</v>
      </c>
      <c r="F4" s="150" t="s">
        <v>223</v>
      </c>
      <c r="G4" s="149">
        <v>13.1</v>
      </c>
      <c r="I4" s="302" t="s">
        <v>158</v>
      </c>
      <c r="J4" s="303"/>
      <c r="K4" s="128"/>
      <c r="L4" s="134" t="s">
        <v>207</v>
      </c>
      <c r="AF4" s="144" t="str">
        <f t="shared" ref="AF4:AF9" si="0">IF(B13="","",B13)</f>
        <v>Protein_2_org</v>
      </c>
    </row>
    <row r="5" spans="1:36" x14ac:dyDescent="0.3">
      <c r="A5" s="15" t="s">
        <v>32</v>
      </c>
      <c r="B5" s="299" t="s">
        <v>700</v>
      </c>
      <c r="C5" s="299"/>
      <c r="D5" s="17" t="s">
        <v>627</v>
      </c>
      <c r="E5" t="s">
        <v>186</v>
      </c>
      <c r="F5" s="150" t="s">
        <v>224</v>
      </c>
      <c r="G5" s="149">
        <v>14.1</v>
      </c>
      <c r="I5" s="86" t="s">
        <v>159</v>
      </c>
      <c r="J5" s="5"/>
      <c r="L5" s="90">
        <v>3.14</v>
      </c>
      <c r="AF5" s="144" t="str">
        <f t="shared" si="0"/>
        <v/>
      </c>
    </row>
    <row r="6" spans="1:36" x14ac:dyDescent="0.3">
      <c r="A6" s="15" t="s">
        <v>3</v>
      </c>
      <c r="B6" s="299" t="s">
        <v>699</v>
      </c>
      <c r="C6" s="299"/>
      <c r="D6" s="5">
        <v>0.54</v>
      </c>
      <c r="F6" s="151" t="s">
        <v>147</v>
      </c>
      <c r="G6" s="88">
        <f>(Y32/D32)*100</f>
        <v>14.861949414812806</v>
      </c>
      <c r="I6" s="86" t="s">
        <v>160</v>
      </c>
      <c r="J6" s="5"/>
      <c r="L6" s="129"/>
      <c r="AF6" s="144" t="str">
        <f t="shared" si="0"/>
        <v>Grain_org</v>
      </c>
    </row>
    <row r="7" spans="1:36" ht="14.7" customHeight="1" x14ac:dyDescent="0.3">
      <c r="A7" s="295" t="s">
        <v>55</v>
      </c>
      <c r="B7" s="296" t="s">
        <v>768</v>
      </c>
      <c r="C7" s="296"/>
      <c r="D7" s="42"/>
      <c r="F7" s="152" t="s">
        <v>187</v>
      </c>
      <c r="G7" s="209">
        <v>1214</v>
      </c>
      <c r="I7" s="86" t="s">
        <v>161</v>
      </c>
      <c r="J7" s="5"/>
      <c r="L7" s="131" t="s">
        <v>198</v>
      </c>
      <c r="AF7" s="144" t="str">
        <f t="shared" si="0"/>
        <v/>
      </c>
    </row>
    <row r="8" spans="1:36" ht="15" thickBot="1" x14ac:dyDescent="0.35">
      <c r="A8" s="295"/>
      <c r="B8" s="296"/>
      <c r="C8" s="296"/>
      <c r="D8" s="47"/>
      <c r="F8" s="153" t="s">
        <v>197</v>
      </c>
      <c r="G8" s="102">
        <v>1468</v>
      </c>
      <c r="I8" s="86" t="s">
        <v>162</v>
      </c>
      <c r="J8" s="80">
        <f>(383 *J6 + 242 *J7 + 783.2) *J5 / 3140</f>
        <v>0</v>
      </c>
      <c r="L8" s="90">
        <v>6.38</v>
      </c>
      <c r="AF8" s="144" t="str">
        <f t="shared" si="0"/>
        <v/>
      </c>
    </row>
    <row r="9" spans="1:36" ht="30" customHeight="1" x14ac:dyDescent="0.3">
      <c r="A9" s="295"/>
      <c r="B9" s="296"/>
      <c r="C9" s="296"/>
      <c r="I9" s="130"/>
      <c r="L9" s="129"/>
      <c r="AF9" s="144" t="str">
        <f t="shared" si="0"/>
        <v>Mineral_Type_2_grann_imp_org</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16" t="s">
        <v>53</v>
      </c>
      <c r="B11" s="17" t="s">
        <v>29</v>
      </c>
      <c r="C11" s="17" t="s">
        <v>28</v>
      </c>
      <c r="D11" s="17" t="s">
        <v>138</v>
      </c>
      <c r="E11" s="17" t="s">
        <v>190</v>
      </c>
      <c r="F11" s="17" t="s">
        <v>189</v>
      </c>
      <c r="G11" s="17" t="s">
        <v>314</v>
      </c>
      <c r="I11" s="86" t="s">
        <v>200</v>
      </c>
      <c r="J11" s="30">
        <v>1.08</v>
      </c>
      <c r="K11" s="30">
        <v>0.96</v>
      </c>
      <c r="L11" s="90"/>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707</v>
      </c>
      <c r="C12" s="217" t="s">
        <v>43</v>
      </c>
      <c r="D12" s="227">
        <v>116</v>
      </c>
      <c r="E12" s="218"/>
      <c r="F12" s="218" t="s">
        <v>709</v>
      </c>
      <c r="G12" s="219"/>
      <c r="I12" s="87" t="s">
        <v>201</v>
      </c>
      <c r="J12" s="107">
        <v>1.54</v>
      </c>
      <c r="K12" s="107">
        <v>1.58</v>
      </c>
      <c r="L12" s="102"/>
      <c r="R12" s="51">
        <f>(IF($T12=0,"0",VLOOKUP($B12,Biomass_pool_output_Tech1_modul!$A$3:$G$100,7,FALSE)))</f>
        <v>900.60591062877404</v>
      </c>
      <c r="S12" s="44"/>
      <c r="T12" s="34">
        <f>IF($B12="","0",(VLOOKUP($B12,Biomass_pool_output_Tech1_modul!$A$3:$F$100,2,FALSE)*($D12)/1000))</f>
        <v>65.752343267245294</v>
      </c>
      <c r="U12" s="34">
        <f>IF($B12="","0",(VLOOKUP($B12,Biomass_pool_output_Tech1_modul!$A$3:$F$100,3,FALSE)*($D12)/1000))</f>
        <v>10.083130008278001</v>
      </c>
      <c r="V12" s="34">
        <f>IF($B12="","0",(VLOOKUP($B12,Biomass_pool_output_Tech1_modul!$A$3:$F$100,4,FALSE)*($D12)/1000))</f>
        <v>0.6419281613704575</v>
      </c>
      <c r="W12" s="34">
        <f>IF($B12="","0",(VLOOKUP($B12,Biomass_pool_output_Tech1_modul!$A$3:$F$100,5,FALSE)*($D12)/1000))</f>
        <v>3.06141461954984</v>
      </c>
      <c r="X12" s="34">
        <f>IF($B12="","0",(VLOOKUP($B12,Biomass_pool_output_Tech1_modul!$A$3:$F$100,6,FALSE)*$D12))</f>
        <v>2116.2611465664145</v>
      </c>
      <c r="Y12" s="34">
        <f>U12*6.25</f>
        <v>63.019562551737508</v>
      </c>
      <c r="AA12" s="53"/>
      <c r="AB12" s="53"/>
      <c r="AC12" s="53"/>
      <c r="AD12" s="53"/>
      <c r="AF12" s="144" t="str">
        <f t="shared" si="1"/>
        <v/>
      </c>
      <c r="AG12" s="53"/>
      <c r="AH12" s="53"/>
      <c r="AI12" s="53"/>
      <c r="AJ12" s="53"/>
    </row>
    <row r="13" spans="1:36" x14ac:dyDescent="0.3">
      <c r="A13" s="211" t="s">
        <v>318</v>
      </c>
      <c r="B13" s="212" t="s">
        <v>442</v>
      </c>
      <c r="C13" s="213" t="s">
        <v>43</v>
      </c>
      <c r="D13" s="228">
        <v>58</v>
      </c>
      <c r="E13" s="214"/>
      <c r="F13" s="214" t="s">
        <v>443</v>
      </c>
      <c r="R13" s="51">
        <f>(IF($T13=0,"0",VLOOKUP($B13,Biomass_pool_output_Tech1_modul!$A$3:$G$100,7,FALSE)))</f>
        <v>854.36833436743996</v>
      </c>
      <c r="S13" s="44"/>
      <c r="T13" s="34">
        <f>IF($B13="","0",(VLOOKUP($B13,Biomass_pool_output_Tech1_modul!$A$3:$F$100,2,FALSE)*($D13)/1000))</f>
        <v>26.1</v>
      </c>
      <c r="U13" s="34">
        <f>IF($B13="","0",(VLOOKUP($B13,Biomass_pool_output_Tech1_modul!$A$3:$F$100,3,FALSE)*($D13)/1000))</f>
        <v>2.5391204048480702</v>
      </c>
      <c r="V13" s="34">
        <f>IF($B13="","0",(VLOOKUP($B13,Biomass_pool_output_Tech1_modul!$A$3:$F$100,4,FALSE)*($D13)/1000))</f>
        <v>0.37203845912580069</v>
      </c>
      <c r="W13" s="34">
        <f>IF($B13="","0",(VLOOKUP($B13,Biomass_pool_output_Tech1_modul!$A$3:$F$100,5,FALSE)*($D13)/1000))</f>
        <v>0.73819184672958449</v>
      </c>
      <c r="X13" s="34">
        <f>IF($B13="","0",(VLOOKUP($B13,Biomass_pool_output_Tech1_modul!$A$3:$F$100,6,FALSE)*$D13))</f>
        <v>1161.0461342206117</v>
      </c>
      <c r="Y13" s="34">
        <f t="shared" ref="Y13:Y16" si="2">U13*6.25</f>
        <v>15.869502530300439</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L14">
        <v>1284</v>
      </c>
      <c r="M14">
        <v>83.4</v>
      </c>
      <c r="N14" s="110">
        <f>L14*(M14/100)</f>
        <v>1070.856</v>
      </c>
      <c r="O14" t="s">
        <v>769</v>
      </c>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444</v>
      </c>
      <c r="C15" s="217" t="s">
        <v>43</v>
      </c>
      <c r="D15" s="227">
        <v>1070</v>
      </c>
      <c r="E15" s="218"/>
      <c r="F15" s="226" t="s">
        <v>538</v>
      </c>
      <c r="G15" s="219"/>
      <c r="M15">
        <v>9</v>
      </c>
      <c r="N15" s="110">
        <f>L14*(M15/100)</f>
        <v>115.56</v>
      </c>
      <c r="O15" t="s">
        <v>770</v>
      </c>
      <c r="R15" s="51">
        <f>(IF($T15=0,"0",VLOOKUP($B15,Biomass_pool_output_Tech1_modul!$A$3:$G$100,7,FALSE)))</f>
        <v>850.11622419383002</v>
      </c>
      <c r="S15" s="44"/>
      <c r="T15" s="34">
        <f>IF($B15="","0",(VLOOKUP($B15,Biomass_pool_output_Tech1_modul!$A$3:$F$100,2,FALSE)*($D15)/1000))</f>
        <v>481.5</v>
      </c>
      <c r="U15" s="34">
        <f>IF($B15="","0",(VLOOKUP($B15,Biomass_pool_output_Tech1_modul!$A$3:$F$100,3,FALSE)*($D15)/1000))</f>
        <v>17.083175696678676</v>
      </c>
      <c r="V15" s="34">
        <f>IF($B15="","0",(VLOOKUP($B15,Biomass_pool_output_Tech1_modul!$A$3:$F$100,4,FALSE)*($D15)/1000))</f>
        <v>3.4217535990257506</v>
      </c>
      <c r="W15" s="34">
        <f>IF($B15="","0",(VLOOKUP($B15,Biomass_pool_output_Tech1_modul!$A$3:$F$100,5,FALSE)*($D15)/1000))</f>
        <v>4.9947717559621028</v>
      </c>
      <c r="X15" s="34">
        <f>IF($B15="","0",(VLOOKUP($B15,Biomass_pool_output_Tech1_modul!$A$3:$F$100,6,FALSE)*$D15))</f>
        <v>20639.087106672487</v>
      </c>
      <c r="Y15" s="34">
        <f t="shared" si="2"/>
        <v>106.76984810424173</v>
      </c>
      <c r="AA15" s="53"/>
      <c r="AB15" s="53"/>
      <c r="AC15" s="53"/>
      <c r="AD15" s="53"/>
      <c r="AF15" s="144" t="str">
        <f t="shared" si="1"/>
        <v/>
      </c>
      <c r="AG15" s="53"/>
      <c r="AH15" s="53"/>
      <c r="AI15" s="53"/>
      <c r="AJ15" s="53"/>
    </row>
    <row r="16" spans="1:36" x14ac:dyDescent="0.3">
      <c r="A16" s="211" t="s">
        <v>107</v>
      </c>
      <c r="B16" s="212"/>
      <c r="C16" s="213" t="s">
        <v>43</v>
      </c>
      <c r="D16" s="228"/>
      <c r="E16" s="214"/>
      <c r="F16" s="225"/>
      <c r="M16">
        <v>4.5</v>
      </c>
      <c r="N16" s="110">
        <f>L14*(M16/100)</f>
        <v>57.78</v>
      </c>
      <c r="O16" t="s">
        <v>771</v>
      </c>
      <c r="R16" s="51">
        <f>(IF($T16=0,"0",VLOOKUP($B16,Biomass_pool_output_Tech1_modul!$A$3:$G$100,7,FALSE)))</f>
        <v>0</v>
      </c>
      <c r="S16" s="44"/>
      <c r="T16" s="34" t="str">
        <f>IF($B16="","0",(VLOOKUP($B16,Biomass_pool_output_Tech1_modul!$A$3:$F$100,2,FALSE)*($D16)/1000))</f>
        <v>0</v>
      </c>
      <c r="U16" s="34" t="str">
        <f>IF($B16="","0",(VLOOKUP($B16,Biomass_pool_output_Tech1_modul!$A$3:$F$100,3,FALSE)*($D16)/1000))</f>
        <v>0</v>
      </c>
      <c r="V16" s="34" t="str">
        <f>IF($B16="","0",(VLOOKUP($B16,Biomass_pool_output_Tech1_modul!$A$3:$F$100,4,FALSE)*($D16)/1000))</f>
        <v>0</v>
      </c>
      <c r="W16" s="34" t="str">
        <f>IF($B16="","0",(VLOOKUP($B16,Biomass_pool_output_Tech1_modul!$A$3:$F$100,5,FALSE)*($D16)/1000))</f>
        <v>0</v>
      </c>
      <c r="X16" s="34" t="str">
        <f>IF($B16="","0",(VLOOKUP($B16,Biomass_pool_output_Tech1_modul!$A$3:$F$100,6,FALSE)*$D16))</f>
        <v>0</v>
      </c>
      <c r="Y16" s="34">
        <f t="shared" si="2"/>
        <v>0</v>
      </c>
      <c r="AA16" s="120"/>
      <c r="AB16" s="120"/>
      <c r="AC16" s="120"/>
      <c r="AD16" s="120"/>
      <c r="AE16" s="120"/>
      <c r="AF16" s="144" t="str">
        <f t="shared" si="1"/>
        <v/>
      </c>
      <c r="AG16" s="120"/>
      <c r="AH16" s="120"/>
      <c r="AI16" s="121"/>
      <c r="AJ16" s="121"/>
    </row>
    <row r="17" spans="1:65" x14ac:dyDescent="0.3">
      <c r="A17" s="18" t="s">
        <v>420</v>
      </c>
      <c r="B17" s="19"/>
      <c r="C17" s="28" t="s">
        <v>43</v>
      </c>
      <c r="D17" s="230"/>
      <c r="E17" s="5"/>
      <c r="F17" s="126"/>
      <c r="M17">
        <v>3.1</v>
      </c>
      <c r="N17" s="110">
        <f>L14*(M17/100)</f>
        <v>39.804000000000002</v>
      </c>
      <c r="O17" t="s">
        <v>772</v>
      </c>
      <c r="R17" s="51">
        <f>(IF(B17="",0,VLOOKUP($B17,'Imported products'!$B$5:$O$54,5,FALSE)))</f>
        <v>0</v>
      </c>
      <c r="S17" s="44"/>
      <c r="T17" s="34" t="str">
        <f>IF($B17="","0",(VLOOKUP($B17,'Imported products'!$B$5:$O$54,9,FALSE)*($D17)/1000))</f>
        <v>0</v>
      </c>
      <c r="U17" s="34" t="str">
        <f>IF($B17="","0",(VLOOKUP($B17,'Imported products'!$B$5:$O$54,10,FALSE)*($D17)/1000))</f>
        <v>0</v>
      </c>
      <c r="V17" s="34" t="str">
        <f>IF($B17="","0",(VLOOKUP($B17,'Imported products'!$B$5:$O$54,11,FALSE)*($D17)/1000))</f>
        <v>0</v>
      </c>
      <c r="W17" s="34" t="str">
        <f>IF($B17="","0",(VLOOKUP($B17,'Imported products'!$B$5:$O$54,12,FALSE)*($D17)/1000))</f>
        <v>0</v>
      </c>
      <c r="X17" s="34" t="str">
        <f>IF($B17="","0",(VLOOKUP($B17,'Imported products'!$B$5:$O$54,13,FALSE)*($D17)/1000))</f>
        <v>0</v>
      </c>
      <c r="Y17" s="34" t="str">
        <f>IF($B17="","0",(VLOOKUP($B17,'Imported products'!$B$5:$O$54,14,FALSE)*($D17)/1000))</f>
        <v>0</v>
      </c>
      <c r="AA17" s="110"/>
      <c r="AF17" s="144" t="str">
        <f>IF(F12="","",F12)</f>
        <v>Soyakage_imp_org</v>
      </c>
      <c r="AH17" s="110"/>
    </row>
    <row r="18" spans="1:65" x14ac:dyDescent="0.3">
      <c r="A18" s="18" t="s">
        <v>414</v>
      </c>
      <c r="B18" s="19" t="s">
        <v>708</v>
      </c>
      <c r="C18" s="28" t="s">
        <v>43</v>
      </c>
      <c r="D18" s="230">
        <v>40</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2</v>
      </c>
      <c r="W18" s="34">
        <f>IF($B18="","0",(VLOOKUP($B18,'Imported products'!$B$5:$O$54,12,FALSE)*($D18)/1000))</f>
        <v>0.06</v>
      </c>
      <c r="X18" s="34">
        <f>IF($B18="","0",(VLOOKUP($B18,'Imported products'!$B$5:$O$54,13,FALSE)*($D18)/1000))</f>
        <v>0</v>
      </c>
      <c r="Y18" s="34">
        <f>IF($B18="","0",(VLOOKUP($B18,'Imported products'!$B$5:$O$54,14,FALSE)*($D18)/1000))</f>
        <v>0</v>
      </c>
      <c r="AA18" s="110"/>
      <c r="AF18" s="144" t="str">
        <f t="shared" ref="AF18:AF23" si="3">IF(F13="","",F13)</f>
        <v>Rapskage_imp_org</v>
      </c>
      <c r="AH18" s="110"/>
    </row>
    <row r="19" spans="1:65" x14ac:dyDescent="0.3">
      <c r="A19" s="25"/>
      <c r="B19" s="25"/>
      <c r="C19" s="24"/>
      <c r="D19" s="24"/>
      <c r="R19" s="52"/>
      <c r="AA19" s="110"/>
      <c r="AF19" s="144" t="str">
        <f t="shared" si="3"/>
        <v/>
      </c>
    </row>
    <row r="20" spans="1:65" x14ac:dyDescent="0.3">
      <c r="A20" s="18" t="s">
        <v>113</v>
      </c>
      <c r="B20" s="40"/>
      <c r="C20" s="28" t="s">
        <v>43</v>
      </c>
      <c r="D20" s="28">
        <f>SUM(D12:D18)</f>
        <v>1284</v>
      </c>
      <c r="R20" s="82">
        <f>(D12*R12+D13*R13+D14*R14+D15*R15+D16*R16+D17*R17+D18*R18)/D20</f>
        <v>859.53894775206186</v>
      </c>
      <c r="S20" s="45"/>
      <c r="T20" s="116">
        <f t="shared" ref="T20:X20" si="4">SUM(T12:T18)</f>
        <v>573.35234326724526</v>
      </c>
      <c r="U20" s="116">
        <f t="shared" si="4"/>
        <v>29.705426109804748</v>
      </c>
      <c r="V20" s="116">
        <f t="shared" si="4"/>
        <v>6.4357202195220093</v>
      </c>
      <c r="W20" s="116">
        <f t="shared" si="4"/>
        <v>8.854378222241527</v>
      </c>
      <c r="X20" s="116">
        <f t="shared" si="4"/>
        <v>23916.394387459513</v>
      </c>
      <c r="Y20" s="116">
        <f>SUM(Y12:Y18)</f>
        <v>185.65891318627968</v>
      </c>
      <c r="AF20" s="144" t="str">
        <f t="shared" si="3"/>
        <v>Korn_standard_imp_org</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t="s">
        <v>430</v>
      </c>
      <c r="C26" s="28" t="s">
        <v>43</v>
      </c>
      <c r="D26" s="6">
        <v>92</v>
      </c>
      <c r="E26" s="126"/>
      <c r="F26" s="5"/>
      <c r="G26" s="126"/>
      <c r="H26" s="30" t="str">
        <f>IF(B26="","",VLOOKUP(B26,Converted_feedstuff!$C$5:$E$54,3,FALSE))</f>
        <v>Grass_and_grass_clover_org</v>
      </c>
      <c r="I26" s="80">
        <f>D26/((100-VLOOKUP(B26,Converted_feedstuff!$C$5:$F$54,4,FALSE))/100)</f>
        <v>108.3627797408716</v>
      </c>
      <c r="K26" s="30">
        <f>IF(B26="",0,VLOOKUP(B26,Converted_feedstuff!$C$5:$D$54,2,FALSE))</f>
        <v>359</v>
      </c>
      <c r="L26" s="80">
        <f>IF($B26="","",((VLOOKUP($B26,Converted_feedstuff!$C$5:$AM$54,33,FALSE))*((100-VLOOKUP($B26,Converted_feedstuff!$C$5:$K$54,5,FALSE))/100))/((100-VLOOKUP($B26,Converted_feedstuff!$C$5:$K$54,4,FALSE))/100))</f>
        <v>450.00007165681598</v>
      </c>
      <c r="M26" s="81">
        <f>IF($B26="","",((VLOOKUP($B26,Converted_feedstuff!$C$5:$AM$54,34,FALSE))*((100-VLOOKUP($B26,Converted_feedstuff!$C$5:$K$54,6,FALSE))/100))/((100-VLOOKUP($B26,Converted_feedstuff!$C$5:$K$54,4,FALSE))/100))</f>
        <v>30.023001257236196</v>
      </c>
      <c r="N26" s="81">
        <f>IF($B26="","",((VLOOKUP($B26,Converted_feedstuff!$C$5:$AM$54,35,FALSE))*((100-VLOOKUP($B26,Converted_feedstuff!$C$5:$K$54,7,FALSE))/100))/((100-VLOOKUP($B26,Converted_feedstuff!$C$5:$K$54,4,FALSE))/100))</f>
        <v>4.2468530767221555</v>
      </c>
      <c r="O26" s="81">
        <f>IF($B26="","",((VLOOKUP($B26,Converted_feedstuff!$C$5:$AM$54,36,FALSE))*((100-VLOOKUP($B26,Converted_feedstuff!$C$5:$K$54,8,FALSE))/100))/((100-VLOOKUP($B26,Converted_feedstuff!$C$5:$K$54,4,FALSE))/100))</f>
        <v>32.463125680328147</v>
      </c>
      <c r="P26" s="81">
        <f>IF($B26="","",((VLOOKUP($B26,Converted_feedstuff!$C$5:$AM$49,37,FALSE))*((100-VLOOKUP($B26,Converted_feedstuff!$C$5:$K$54,9,FALSE))/100))/((100-VLOOKUP($B26,Converted_feedstuff!$C$5:$K$54,4,FALSE))/100))</f>
        <v>16.528960088099701</v>
      </c>
      <c r="R26" s="51">
        <f t="shared" si="6"/>
        <v>359</v>
      </c>
      <c r="S26" s="44"/>
      <c r="T26" s="34">
        <f t="shared" si="5"/>
        <v>41.400006592427069</v>
      </c>
      <c r="U26" s="34">
        <f t="shared" si="5"/>
        <v>2.7621161156657301</v>
      </c>
      <c r="V26" s="34">
        <f t="shared" si="5"/>
        <v>0.39071048305843831</v>
      </c>
      <c r="W26" s="34">
        <f t="shared" si="5"/>
        <v>2.9866075625901898</v>
      </c>
      <c r="X26" s="34">
        <f t="shared" si="7"/>
        <v>1520.6643281051724</v>
      </c>
      <c r="Y26" s="81">
        <f t="shared" si="8"/>
        <v>17.263225722910814</v>
      </c>
      <c r="AB26" s="114">
        <f>IF(B26="",0,(VLOOKUP(B26,Converted_feedstuff!$C$5:$BH$54,58,FALSE)*$I26))</f>
        <v>0.8972035112460327</v>
      </c>
      <c r="AC26" s="30"/>
      <c r="AD26" s="30"/>
      <c r="AF26" s="144" t="str">
        <f t="shared" si="9"/>
        <v>Ensilage_graes_org</v>
      </c>
      <c r="AO26" s="80" t="e">
        <f>IF($B26="","",(((((Converted_feedstuff!#REF!/100)*Converted_feedstuff!F7)/100)*1000)*$I26)/1000)</f>
        <v>#REF!</v>
      </c>
      <c r="AP26" s="80" t="e">
        <f>IF($B26="","",(((((Converted_feedstuff!#REF!/100)*Converted_feedstuff!F7)/100)*1000)*$I26)/1000)</f>
        <v>#REF!</v>
      </c>
      <c r="AQ26" s="80" t="e">
        <f>IF($B26="","",(((((Converted_feedstuff!#REF!/100)*Converted_feedstuff!G7)/100)*Converted_feedstuff!AI7)*$I26)/1000)</f>
        <v>#REF!</v>
      </c>
      <c r="AR26" s="80">
        <f>IF($B26="","",(((((Converted_feedstuff!U7/100)*Converted_feedstuff!G7)/100)*Converted_feedstuff!AI7)*$I26)/1000)</f>
        <v>7.3632508833922259</v>
      </c>
      <c r="AS26" s="80">
        <f>IF($B26="","",(((((Converted_feedstuff!V7/100)*Converted_feedstuff!G7)/100)*Converted_feedstuff!AI7)*$I26)/1000)</f>
        <v>0</v>
      </c>
      <c r="AT26" s="80">
        <f>IF($B26="","",(((((Converted_feedstuff!W7/100)*Converted_feedstuff!G7)/100)*Converted_feedstuff!AI7)*$I26)/1000)</f>
        <v>0</v>
      </c>
      <c r="AU26" s="80" t="e">
        <f>IF($B26="","",(((((Converted_feedstuff!#REF!/100)*Converted_feedstuff!H7)/100)*Converted_feedstuff!AJ7)*$I26)/1000)</f>
        <v>#REF!</v>
      </c>
      <c r="AV26" s="80">
        <f>IF($B26="","",(((((Converted_feedstuff!X7/100)*Converted_feedstuff!H7)/100)*Converted_feedstuff!AJ7)*$I26)/1000)</f>
        <v>4.9361413427561826E-2</v>
      </c>
      <c r="AW26" s="80">
        <f>IF($B26="","",(((((Converted_feedstuff!Y7/100)*Converted_feedstuff!H7)/100)*Converted_feedstuff!AJ7)*$I26)/1000)</f>
        <v>0</v>
      </c>
      <c r="AX26" s="80">
        <f>IF($B26="","",(((((Converted_feedstuff!Z7/100)*Converted_feedstuff!H7)/100)*Converted_feedstuff!AJ7)*$I26)/1000)</f>
        <v>0</v>
      </c>
      <c r="AY26" s="80">
        <f>IF($B26="","",(((((Converted_feedstuff!AA7/100)*Converted_feedstuff!H7)/100)*Converted_feedstuff!AJ7)*$I26)/1000)</f>
        <v>0</v>
      </c>
      <c r="AZ26" s="80">
        <f>IF($B26="","",(((((Converted_feedstuff!AB7/100)*Converted_feedstuff!H7)/100)*Converted_feedstuff!AJ7)*$I26)/1000)</f>
        <v>0</v>
      </c>
      <c r="BA26" s="80" t="e">
        <f>IF($B26="","",(((((Converted_feedstuff!#REF!/100)*Converted_feedstuff!I7)/100)*Converted_feedstuff!AK7)*$I26)/1000)</f>
        <v>#REF!</v>
      </c>
      <c r="BB26" s="80">
        <f>IF($B26="","",(((((Converted_feedstuff!AC7/100)*Converted_feedstuff!I7)/100)*Converted_feedstuff!AK7)*$I26)/1000)</f>
        <v>0</v>
      </c>
      <c r="BC26" s="80">
        <f>IF($B26="","",(((((Converted_feedstuff!AD7/100)*Converted_feedstuff!I7)/100)*Converted_feedstuff!AK7)*$I26)/1000)</f>
        <v>0</v>
      </c>
      <c r="BD26" s="80" t="e">
        <f>IF($B26="","",(((((Converted_feedstuff!#REF!/100)*Converted_feedstuff!J7)/100)*Converted_feedstuff!AL7)*$I26)/1000)</f>
        <v>#REF!</v>
      </c>
      <c r="BE26" s="80">
        <f>IF($B26="","",(((((Converted_feedstuff!AE7/100)*Converted_feedstuff!J7)/100)*Converted_feedstuff!AL7)*$I26)/1000)</f>
        <v>0</v>
      </c>
      <c r="BF26" s="80">
        <f>IF($B26="","",(((((Converted_feedstuff!AF7/100)*Converted_feedstuff!J7)/100)*Converted_feedstuff!AL7)*$I26)/1000)</f>
        <v>0</v>
      </c>
      <c r="BG26" s="80" t="e">
        <f>IF($B26="","",((((Converted_feedstuff!#REF!/100)*Converted_feedstuff!K7)/100)*Converted_feedstuff!AM7)*$I26)</f>
        <v>#REF!</v>
      </c>
      <c r="BH26" s="80" t="e">
        <f>IF($B26="","",((((Converted_feedstuff!#REF!/100)*Converted_feedstuff!K7)/100)*Converted_feedstuff!AM7)*$I26)</f>
        <v>#REF!</v>
      </c>
    </row>
    <row r="27" spans="1:65" x14ac:dyDescent="0.3">
      <c r="A27" s="18" t="s">
        <v>106</v>
      </c>
      <c r="B27" s="19" t="s">
        <v>734</v>
      </c>
      <c r="C27" s="28" t="s">
        <v>43</v>
      </c>
      <c r="D27" s="6">
        <v>92</v>
      </c>
      <c r="E27" s="126"/>
      <c r="F27" s="5"/>
      <c r="G27" s="126"/>
      <c r="H27" s="30" t="str">
        <f>IF(B27="","",VLOOKUP(B27,Converted_feedstuff!$C$5:$E$54,3,FALSE))</f>
        <v>Grass_and_grass_clover_org</v>
      </c>
      <c r="I27" s="80">
        <f>D27/((100-VLOOKUP(B27,Converted_feedstuff!$C$5:$F$54,4,FALSE))/100)</f>
        <v>102.22222222222221</v>
      </c>
      <c r="K27" s="30">
        <f>IF(B27="",0,VLOOKUP(B27,Converted_feedstuff!$C$5:$D$54,2,FALSE))</f>
        <v>180</v>
      </c>
      <c r="L27" s="80">
        <f>IF($B27="","",((VLOOKUP($B27,Converted_feedstuff!$C$5:$AM$54,33,FALSE))*((100-VLOOKUP($B27,Converted_feedstuff!$C$5:$K$54,5,FALSE))/100))/((100-VLOOKUP($B27,Converted_feedstuff!$C$5:$K$54,4,FALSE))/100))</f>
        <v>450.00007165681598</v>
      </c>
      <c r="M27" s="81">
        <f>IF($B27="","",((VLOOKUP($B27,Converted_feedstuff!$C$5:$AM$54,34,FALSE))*((100-VLOOKUP($B27,Converted_feedstuff!$C$5:$K$54,6,FALSE))/100))/((100-VLOOKUP($B27,Converted_feedstuff!$C$5:$K$54,4,FALSE))/100))</f>
        <v>26.523962609150399</v>
      </c>
      <c r="N27" s="81">
        <f>IF($B27="","",((VLOOKUP($B27,Converted_feedstuff!$C$5:$AM$54,35,FALSE))*((100-VLOOKUP($B27,Converted_feedstuff!$C$5:$K$54,7,FALSE))/100))/((100-VLOOKUP($B27,Converted_feedstuff!$C$5:$K$54,4,FALSE))/100))</f>
        <v>3.6055782621371102</v>
      </c>
      <c r="O27" s="81">
        <f>IF($B27="","",((VLOOKUP($B27,Converted_feedstuff!$C$5:$AM$54,36,FALSE))*((100-VLOOKUP($B27,Converted_feedstuff!$C$5:$K$54,8,FALSE))/100))/((100-VLOOKUP($B27,Converted_feedstuff!$C$5:$K$54,4,FALSE))/100))</f>
        <v>27.561193702598601</v>
      </c>
      <c r="P27" s="81">
        <f>IF($B27="","",((VLOOKUP($B27,Converted_feedstuff!$C$5:$AM$49,37,FALSE))*((100-VLOOKUP($B27,Converted_feedstuff!$C$5:$K$54,9,FALSE))/100))/((100-VLOOKUP($B27,Converted_feedstuff!$C$5:$K$54,4,FALSE))/100))</f>
        <v>16.528960088099701</v>
      </c>
      <c r="R27" s="51">
        <f t="shared" si="6"/>
        <v>180</v>
      </c>
      <c r="S27" s="44"/>
      <c r="T27" s="34">
        <f t="shared" si="5"/>
        <v>41.400006592427069</v>
      </c>
      <c r="U27" s="34">
        <f t="shared" si="5"/>
        <v>2.4402045600418365</v>
      </c>
      <c r="V27" s="34">
        <f t="shared" si="5"/>
        <v>0.33171320011661415</v>
      </c>
      <c r="W27" s="34">
        <f t="shared" si="5"/>
        <v>2.5356298206390715</v>
      </c>
      <c r="X27" s="34">
        <f t="shared" si="7"/>
        <v>1520.6643281051724</v>
      </c>
      <c r="Y27" s="81">
        <f t="shared" si="8"/>
        <v>15.251278500261478</v>
      </c>
      <c r="AB27" s="114">
        <f>IF(B27="",0,(VLOOKUP(B27,Converted_feedstuff!$C$5:$BH$54,58,FALSE)*$I27))</f>
        <v>-1.2413309024484001</v>
      </c>
      <c r="AC27" s="30"/>
      <c r="AD27" s="30"/>
      <c r="AF27" s="144" t="str">
        <f t="shared" si="9"/>
        <v>Fresh_grass_field_org</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c r="C28" s="28" t="s">
        <v>43</v>
      </c>
      <c r="D28" s="6"/>
      <c r="E28" s="5"/>
      <c r="F28" s="5"/>
      <c r="G28" s="126"/>
      <c r="H28" s="30" t="str">
        <f>IF(B28="","",VLOOKUP(B28,Converted_feedstuff!$C$5:$E$54,3,FALSE))</f>
        <v/>
      </c>
      <c r="I28" s="80" t="e">
        <f>D28/((100-VLOOKUP(B28,Converted_feedstuff!$C$5:$F$54,4,FALSE))/100)</f>
        <v>#N/A</v>
      </c>
      <c r="K28" s="30">
        <f>IF(B28="",0,VLOOKUP(B28,Converted_feedstuff!$C$5:$D$54,2,FALSE))</f>
        <v>0</v>
      </c>
      <c r="L28" s="80" t="str">
        <f>IF($B28="","",((VLOOKUP($B28,Converted_feedstuff!$C$5:$AM$54,33,FALSE))*((100-VLOOKUP($B28,Converted_feedstuff!$C$5:$K$54,5,FALSE))/100))/((100-VLOOKUP($B28,Converted_feedstuff!$C$5:$K$54,4,FALSE))/100))</f>
        <v/>
      </c>
      <c r="M28" s="81" t="str">
        <f>IF($B28="","",((VLOOKUP($B28,Converted_feedstuff!$C$5:$AM$54,34,FALSE))*((100-VLOOKUP($B28,Converted_feedstuff!$C$5:$K$54,6,FALSE))/100))/((100-VLOOKUP($B28,Converted_feedstuff!$C$5:$K$54,4,FALSE))/100))</f>
        <v/>
      </c>
      <c r="N28" s="81" t="str">
        <f>IF($B28="","",((VLOOKUP($B28,Converted_feedstuff!$C$5:$AM$54,35,FALSE))*((100-VLOOKUP($B28,Converted_feedstuff!$C$5:$K$54,7,FALSE))/100))/((100-VLOOKUP($B28,Converted_feedstuff!$C$5:$K$54,4,FALSE))/100))</f>
        <v/>
      </c>
      <c r="O28" s="81" t="str">
        <f>IF($B28="","",((VLOOKUP($B28,Converted_feedstuff!$C$5:$AM$54,36,FALSE))*((100-VLOOKUP($B28,Converted_feedstuff!$C$5:$K$54,8,FALSE))/100))/((100-VLOOKUP($B28,Converted_feedstuff!$C$5:$K$54,4,FALSE))/100))</f>
        <v/>
      </c>
      <c r="P28" s="81" t="str">
        <f>IF($B28="","",((VLOOKUP($B28,Converted_feedstuff!$C$5:$AM$49,37,FALSE))*((100-VLOOKUP($B28,Converted_feedstuff!$C$5:$K$54,9,FALSE))/100))/((100-VLOOKUP($B28,Converted_feedstuff!$C$5:$K$54,4,FALSE))/100))</f>
        <v/>
      </c>
      <c r="R28" s="51">
        <f t="shared" si="6"/>
        <v>0</v>
      </c>
      <c r="S28" s="44"/>
      <c r="T28" s="34">
        <f t="shared" si="5"/>
        <v>0</v>
      </c>
      <c r="U28" s="34">
        <f t="shared" si="5"/>
        <v>0</v>
      </c>
      <c r="V28" s="34">
        <f t="shared" si="5"/>
        <v>0</v>
      </c>
      <c r="W28" s="34">
        <f t="shared" si="5"/>
        <v>0</v>
      </c>
      <c r="X28" s="34">
        <f t="shared" si="7"/>
        <v>0</v>
      </c>
      <c r="Y28" s="81">
        <f t="shared" si="8"/>
        <v>0</v>
      </c>
      <c r="AB28" s="114">
        <f>IF(B28="",0,(VLOOKUP(B28,Converted_feedstuff!$C$5:$BH$54,58,FALSE)*$I28))</f>
        <v>0</v>
      </c>
      <c r="AC28" s="30"/>
      <c r="AD28" s="30"/>
      <c r="AF28" s="144" t="str">
        <f>IF(B28="","",B28)</f>
        <v/>
      </c>
      <c r="AO28" s="80" t="str">
        <f>IF($B28="","",(((((Converted_feedstuff!#REF!/100)*Converted_feedstuff!F9)/100)*1000)*$I28)/1000)</f>
        <v/>
      </c>
      <c r="AP28" s="80" t="str">
        <f>IF($B28="","",(((((Converted_feedstuff!#REF!/100)*Converted_feedstuff!F9)/100)*1000)*$I28)/1000)</f>
        <v/>
      </c>
      <c r="AQ28" s="80" t="str">
        <f>IF($B28="","",(((((Converted_feedstuff!#REF!/100)*Converted_feedstuff!G9)/100)*Converted_feedstuff!AI9)*$I28)/1000)</f>
        <v/>
      </c>
      <c r="AR28" s="80" t="str">
        <f>IF($B28="","",(((((Converted_feedstuff!U9/100)*Converted_feedstuff!G9)/100)*Converted_feedstuff!AI9)*$I28)/1000)</f>
        <v/>
      </c>
      <c r="AS28" s="80" t="str">
        <f>IF($B28="","",(((((Converted_feedstuff!V9/100)*Converted_feedstuff!G9)/100)*Converted_feedstuff!AI9)*$I28)/1000)</f>
        <v/>
      </c>
      <c r="AT28" s="80" t="str">
        <f>IF($B28="","",(((((Converted_feedstuff!W9/100)*Converted_feedstuff!G9)/100)*Converted_feedstuff!AI9)*$I28)/1000)</f>
        <v/>
      </c>
      <c r="AU28" s="80" t="str">
        <f>IF($B28="","",(((((Converted_feedstuff!#REF!/100)*Converted_feedstuff!H9)/100)*Converted_feedstuff!AJ9)*$I28)/1000)</f>
        <v/>
      </c>
      <c r="AV28" s="80" t="str">
        <f>IF($B28="","",(((((Converted_feedstuff!X9/100)*Converted_feedstuff!H9)/100)*Converted_feedstuff!AJ9)*$I28)/1000)</f>
        <v/>
      </c>
      <c r="AW28" s="80" t="str">
        <f>IF($B28="","",(((((Converted_feedstuff!Y9/100)*Converted_feedstuff!H9)/100)*Converted_feedstuff!AJ9)*$I28)/1000)</f>
        <v/>
      </c>
      <c r="AX28" s="80" t="str">
        <f>IF($B28="","",(((((Converted_feedstuff!Z9/100)*Converted_feedstuff!H9)/100)*Converted_feedstuff!AJ9)*$I28)/1000)</f>
        <v/>
      </c>
      <c r="AY28" s="80" t="str">
        <f>IF($B28="","",(((((Converted_feedstuff!AA9/100)*Converted_feedstuff!H9)/100)*Converted_feedstuff!AJ9)*$I28)/1000)</f>
        <v/>
      </c>
      <c r="AZ28" s="80" t="str">
        <f>IF($B28="","",(((((Converted_feedstuff!AB9/100)*Converted_feedstuff!H9)/100)*Converted_feedstuff!AJ9)*$I28)/1000)</f>
        <v/>
      </c>
      <c r="BA28" s="80" t="str">
        <f>IF($B28="","",(((((Converted_feedstuff!#REF!/100)*Converted_feedstuff!I9)/100)*Converted_feedstuff!AK9)*$I28)/1000)</f>
        <v/>
      </c>
      <c r="BB28" s="80" t="str">
        <f>IF($B28="","",(((((Converted_feedstuff!AC9/100)*Converted_feedstuff!I9)/100)*Converted_feedstuff!AK9)*$I28)/1000)</f>
        <v/>
      </c>
      <c r="BC28" s="80" t="str">
        <f>IF($B28="","",(((((Converted_feedstuff!AD9/100)*Converted_feedstuff!I9)/100)*Converted_feedstuff!AK9)*$I28)/1000)</f>
        <v/>
      </c>
      <c r="BD28" s="80" t="str">
        <f>IF($B28="","",(((((Converted_feedstuff!#REF!/100)*Converted_feedstuff!J9)/100)*Converted_feedstuff!AL9)*$I28)/1000)</f>
        <v/>
      </c>
      <c r="BE28" s="80" t="str">
        <f>IF($B28="","",(((((Converted_feedstuff!AE9/100)*Converted_feedstuff!J9)/100)*Converted_feedstuff!AL9)*$I28)/1000)</f>
        <v/>
      </c>
      <c r="BF28" s="80" t="str">
        <f>IF($B28="","",(((((Converted_feedstuff!AF9/100)*Converted_feedstuff!J9)/100)*Converted_feedstuff!AL9)*$I28)/1000)</f>
        <v/>
      </c>
      <c r="BG28" s="80" t="str">
        <f>IF($B28="","",((((Converted_feedstuff!#REF!/100)*Converted_feedstuff!K9)/100)*Converted_feedstuff!AM9)*$I28)</f>
        <v/>
      </c>
      <c r="BH28" s="80" t="str">
        <f>IF($B28="","",((((Converted_feedstuff!#REF!/100)*Converted_feedstuff!K9)/100)*Converted_feedstuff!AM9)*$I28)</f>
        <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IF(B29="","",B29)</f>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184</v>
      </c>
      <c r="E31" s="24"/>
      <c r="K31" t="s">
        <v>629</v>
      </c>
      <c r="L31" s="24"/>
      <c r="M31" s="24"/>
      <c r="N31" s="24"/>
      <c r="O31" s="24"/>
      <c r="P31" s="24"/>
      <c r="Q31" s="25"/>
      <c r="R31" s="82">
        <f>(D24*R24+D25*R25+D26*R26+D27*R27+D28*R28+D29*R29+D30*R30)/D31</f>
        <v>269.5</v>
      </c>
      <c r="S31" s="45"/>
      <c r="T31" s="116">
        <f t="shared" ref="T31:Y31" si="10">SUM(T24:T30)</f>
        <v>82.800013184854137</v>
      </c>
      <c r="U31" s="116">
        <f t="shared" si="10"/>
        <v>5.2023206757075666</v>
      </c>
      <c r="V31" s="116">
        <f t="shared" si="10"/>
        <v>0.72242368317505246</v>
      </c>
      <c r="W31" s="116">
        <f t="shared" si="10"/>
        <v>5.5222373832292613</v>
      </c>
      <c r="X31" s="116">
        <f>SUM(X24:X30)</f>
        <v>3041.3286562103449</v>
      </c>
      <c r="Y31" s="116">
        <f t="shared" si="10"/>
        <v>32.514504223172295</v>
      </c>
      <c r="AA31" s="113" t="s">
        <v>61</v>
      </c>
      <c r="AB31" s="115">
        <f>SUM(AB24:AB30)</f>
        <v>-0.34412739120236735</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7.3632508833922259</v>
      </c>
      <c r="AS31" s="92">
        <f t="shared" si="11"/>
        <v>0</v>
      </c>
      <c r="AT31" s="92">
        <f t="shared" si="11"/>
        <v>0</v>
      </c>
      <c r="AU31" s="92" t="e">
        <f t="shared" si="11"/>
        <v>#REF!</v>
      </c>
      <c r="AV31" s="92">
        <f t="shared" si="11"/>
        <v>4.9361413427561826E-2</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1468</v>
      </c>
      <c r="E32" s="24"/>
      <c r="I32" s="24"/>
      <c r="J32" s="24"/>
      <c r="K32" s="24"/>
      <c r="L32" s="24"/>
      <c r="M32" s="24"/>
      <c r="N32" s="24"/>
      <c r="P32" s="25"/>
      <c r="Q32" s="25"/>
      <c r="R32" s="84">
        <f>(D20*R20+D31*R31)/D32</f>
        <v>785.5831123389969</v>
      </c>
      <c r="S32" s="85"/>
      <c r="T32" s="117">
        <f>T20+T31</f>
        <v>656.15235645209941</v>
      </c>
      <c r="U32" s="117">
        <f t="shared" ref="U32:Y32" si="12">U20+U31</f>
        <v>34.907746785512316</v>
      </c>
      <c r="V32" s="117">
        <f t="shared" si="12"/>
        <v>7.1581439026970619</v>
      </c>
      <c r="W32" s="117">
        <f t="shared" si="12"/>
        <v>14.376615605470789</v>
      </c>
      <c r="X32" s="117">
        <f t="shared" si="12"/>
        <v>26957.723043669859</v>
      </c>
      <c r="Y32" s="117">
        <f t="shared" si="12"/>
        <v>218.17341740945199</v>
      </c>
      <c r="AF32" s="144" t="str">
        <f t="shared" ref="AF32:AF37" si="13">IF(E25="","",E25)</f>
        <v/>
      </c>
      <c r="BL32" t="str">
        <f>A4</f>
        <v>ID-nummer</v>
      </c>
      <c r="BM32">
        <f>B4</f>
        <v>130</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Sow1_org</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130</v>
      </c>
      <c r="BK34" t="str">
        <f t="shared" ref="BJ34:BK62" si="15">$BM$33</f>
        <v>Sow1_org</v>
      </c>
      <c r="BL34" t="s">
        <v>69</v>
      </c>
      <c r="BM34">
        <f>$B$24</f>
        <v>0</v>
      </c>
      <c r="BN34" t="str">
        <f t="shared" ref="BN34:BO40" si="16">C24</f>
        <v>Kg</v>
      </c>
      <c r="BO34">
        <f t="shared" si="16"/>
        <v>0</v>
      </c>
    </row>
    <row r="35" spans="1:67" ht="15.6" x14ac:dyDescent="0.3">
      <c r="A35" s="18" t="s">
        <v>631</v>
      </c>
      <c r="B35" s="19" t="s">
        <v>711</v>
      </c>
      <c r="C35" s="28" t="s">
        <v>43</v>
      </c>
      <c r="D35" s="34">
        <f>H35*(R35/1000)</f>
        <v>29.6</v>
      </c>
      <c r="E35" s="30" t="str">
        <f>IF(B35="","",VLOOKUP(B35,'Processed products'!$B$5:$E$104,2,FALSE))</f>
        <v>Pork_meat_org</v>
      </c>
      <c r="F35" s="30" t="str">
        <f>IF(B35="","",VLOOKUP(B35,'Processed products'!$B$5:$E$104,3,FALSE))</f>
        <v>Meat</v>
      </c>
      <c r="G35" s="30" t="str">
        <f>IF(B35="","",VLOOKUP(B35,'Processed products'!$B$5:$E$104,4,FALSE))</f>
        <v>Exit_model</v>
      </c>
      <c r="H35" s="5">
        <v>80</v>
      </c>
      <c r="I35" s="4"/>
      <c r="K35" s="97" t="s">
        <v>654</v>
      </c>
      <c r="L35" s="132" t="s">
        <v>713</v>
      </c>
      <c r="M35" s="132" t="s">
        <v>714</v>
      </c>
      <c r="N35" s="272">
        <v>1.95</v>
      </c>
      <c r="R35" s="51">
        <f>(IF($B35="",0,VLOOKUP($B35,'Processed products'!$B$5:$O$104,5,FALSE)))</f>
        <v>370</v>
      </c>
      <c r="S35" s="44"/>
      <c r="T35" s="28">
        <f>(IF($B35="","",VLOOKUP($B35,'Processed products'!$B$5:$O$104,9,FALSE)))</f>
        <v>680</v>
      </c>
      <c r="U35" s="34">
        <f>(IF($B35="","",VLOOKUP($B35,'Processed products'!$B$5:$O$104,10,FALSE)))</f>
        <v>59.459200000000003</v>
      </c>
      <c r="V35" s="28">
        <f>(IF($B35="","",VLOOKUP($B35,'Processed products'!$B$5:$O$104,11,FALSE)))</f>
        <v>17.3</v>
      </c>
      <c r="W35" s="28">
        <f>(IF($B35="","",VLOOKUP($B35,'Processed products'!$B$5:$O$104,12,FALSE)))</f>
        <v>5.41</v>
      </c>
      <c r="X35" s="28">
        <f>(IF($B35="","",VLOOKUP($B35,'Processed products'!$B$5:$O$104,13,FALSE)))</f>
        <v>27.17</v>
      </c>
      <c r="Z35" s="53"/>
      <c r="AA35" s="53"/>
      <c r="AB35" s="53"/>
      <c r="AC35" s="53"/>
      <c r="AD35" s="53"/>
      <c r="AF35" s="144" t="str">
        <f t="shared" si="13"/>
        <v/>
      </c>
      <c r="AJ35" s="32"/>
      <c r="BJ35">
        <f t="shared" si="14"/>
        <v>130</v>
      </c>
      <c r="BK35" t="str">
        <f t="shared" si="15"/>
        <v>Sow1_org</v>
      </c>
      <c r="BL35" t="s">
        <v>69</v>
      </c>
      <c r="BM35">
        <f>$B$25</f>
        <v>0</v>
      </c>
      <c r="BN35" t="str">
        <f t="shared" si="16"/>
        <v>Kg</v>
      </c>
      <c r="BO35">
        <f t="shared" si="16"/>
        <v>0</v>
      </c>
    </row>
    <row r="36" spans="1:67" ht="15.6" x14ac:dyDescent="0.3">
      <c r="A36" s="18" t="s">
        <v>632</v>
      </c>
      <c r="B36" s="19" t="s">
        <v>712</v>
      </c>
      <c r="C36" s="28" t="s">
        <v>43</v>
      </c>
      <c r="D36" s="34">
        <f t="shared" ref="D36" si="17">H36*(R36/1000)</f>
        <v>8.1732999999999993</v>
      </c>
      <c r="E36" s="30" t="str">
        <f>IF(B36="","",VLOOKUP(B36,'Processed products'!$B$5:$E$104,2,FALSE))</f>
        <v>Dead_meat_org</v>
      </c>
      <c r="F36" s="30" t="str">
        <f>IF(B36="","",VLOOKUP(B36,'Processed products'!$B$5:$E$104,3,FALSE))</f>
        <v>Dead_meat</v>
      </c>
      <c r="G36" s="30" t="str">
        <f>IF(B36="","",VLOOKUP(B36,'Processed products'!$B$5:$E$104,4,FALSE))</f>
        <v>Exit_model</v>
      </c>
      <c r="H36" s="5">
        <v>22.09</v>
      </c>
      <c r="I36" s="4"/>
      <c r="K36" s="97" t="s">
        <v>655</v>
      </c>
      <c r="L36" s="132" t="s">
        <v>715</v>
      </c>
      <c r="M36" s="132" t="s">
        <v>716</v>
      </c>
      <c r="N36" s="272">
        <v>2.08</v>
      </c>
      <c r="P36" s="93"/>
      <c r="Q36" s="262"/>
      <c r="R36" s="51">
        <f>(IF($B36="",0,VLOOKUP($B36,'Processed products'!$B$5:$O$104,5,FALSE)))</f>
        <v>370</v>
      </c>
      <c r="S36" s="44"/>
      <c r="T36" s="28">
        <f>(IF($B36="","",VLOOKUP($B36,'Processed products'!$B$5:$O$104,9,FALSE)))</f>
        <v>640</v>
      </c>
      <c r="U36" s="34">
        <f>(IF($B36="","",VLOOKUP($B36,'Processed products'!$B$5:$O$104,10,FALSE)))</f>
        <v>69.459199999999996</v>
      </c>
      <c r="V36" s="28">
        <f>(IF($B36="","",VLOOKUP($B36,'Processed products'!$B$5:$O$104,11,FALSE)))</f>
        <v>16.22</v>
      </c>
      <c r="W36" s="28">
        <f>(IF($B36="","",VLOOKUP($B36,'Processed products'!$B$5:$O$104,12,FALSE)))</f>
        <v>5.95</v>
      </c>
      <c r="X36" s="28">
        <f>(IF($B36="","",VLOOKUP($B36,'Processed products'!$B$5:$O$104,13,FALSE)))</f>
        <v>27.17</v>
      </c>
      <c r="Z36" s="53"/>
      <c r="AA36" s="53"/>
      <c r="AB36" s="53"/>
      <c r="AC36" s="53"/>
      <c r="AD36" s="53"/>
      <c r="AF36" s="144" t="str">
        <f t="shared" si="13"/>
        <v/>
      </c>
      <c r="BJ36">
        <f t="shared" si="14"/>
        <v>130</v>
      </c>
      <c r="BK36" t="str">
        <f t="shared" si="15"/>
        <v>Sow1_org</v>
      </c>
      <c r="BL36" t="s">
        <v>69</v>
      </c>
      <c r="BM36" t="str">
        <f>$B$26</f>
        <v>Ensilage_graes_org</v>
      </c>
      <c r="BN36" t="str">
        <f t="shared" si="16"/>
        <v>Kg</v>
      </c>
      <c r="BO36">
        <f t="shared" si="16"/>
        <v>92</v>
      </c>
    </row>
    <row r="37" spans="1:67" ht="16.2" thickBot="1" x14ac:dyDescent="0.35">
      <c r="A37" s="18" t="s">
        <v>647</v>
      </c>
      <c r="B37" s="19" t="s">
        <v>713</v>
      </c>
      <c r="C37" s="28" t="s">
        <v>43</v>
      </c>
      <c r="D37" s="34">
        <f>H37*(R37/1000)</f>
        <v>129.87</v>
      </c>
      <c r="E37" s="30" t="str">
        <f>IF(B37="","",VLOOKUP(B37,'Processed products'!$B$5:$E$104,2,FALSE))</f>
        <v>Piglet_15_live_org</v>
      </c>
      <c r="F37" s="30" t="str">
        <f>IF(B37="","",VLOOKUP(B37,'Processed products'!$B$5:$E$104,3,FALSE))</f>
        <v>Pig_live_org</v>
      </c>
      <c r="G37" s="30" t="str">
        <f>IF(B37="","",VLOOKUP(B37,'Processed products'!$B$5:$E$104,4,FALSE))</f>
        <v>Livestock_balance</v>
      </c>
      <c r="H37" s="5">
        <v>351</v>
      </c>
      <c r="I37" s="5">
        <v>23.4</v>
      </c>
      <c r="K37" s="273" t="s">
        <v>656</v>
      </c>
      <c r="L37" s="132" t="s">
        <v>717</v>
      </c>
      <c r="M37" s="132" t="s">
        <v>718</v>
      </c>
      <c r="N37" s="272">
        <v>10.66</v>
      </c>
      <c r="Q37" s="25"/>
      <c r="R37" s="51">
        <f>(IF($B37="",0,VLOOKUP($B37,'Processed products'!$B$5:$O$104,5,FALSE)))</f>
        <v>370</v>
      </c>
      <c r="S37" s="44"/>
      <c r="T37" s="28">
        <f>(IF($B37="","",VLOOKUP($B37,'Processed products'!$B$5:$O$104,9,FALSE)))</f>
        <v>640</v>
      </c>
      <c r="U37" s="34">
        <f>(IF($B37="","",VLOOKUP($B37,'Processed products'!$B$5:$O$104,10,FALSE)))</f>
        <v>69.459199999999996</v>
      </c>
      <c r="V37" s="28">
        <f>(IF($B37="","",VLOOKUP($B37,'Processed products'!$B$5:$O$104,11,FALSE)))</f>
        <v>16.22</v>
      </c>
      <c r="W37" s="28">
        <f>(IF($B37="","",VLOOKUP($B37,'Processed products'!$B$5:$O$104,12,FALSE)))</f>
        <v>5.95</v>
      </c>
      <c r="X37" s="28">
        <f>(IF($B37="","",VLOOKUP($B37,'Processed products'!$B$5:$O$104,13,FALSE)))</f>
        <v>27.17</v>
      </c>
      <c r="Z37" s="53"/>
      <c r="AA37" s="53"/>
      <c r="AB37" s="53"/>
      <c r="AC37" s="53"/>
      <c r="AD37" s="53"/>
      <c r="AF37" s="144" t="str">
        <f t="shared" si="13"/>
        <v/>
      </c>
      <c r="BJ37">
        <f t="shared" si="14"/>
        <v>130</v>
      </c>
      <c r="BK37" t="str">
        <f t="shared" si="15"/>
        <v>Sow1_org</v>
      </c>
      <c r="BL37" t="s">
        <v>69</v>
      </c>
      <c r="BM37" t="str">
        <f>$B$27</f>
        <v>Fresh_grass_field_org</v>
      </c>
      <c r="BN37" t="str">
        <f t="shared" si="16"/>
        <v>Kg</v>
      </c>
      <c r="BO37">
        <f t="shared" si="16"/>
        <v>92</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str">
        <f>IF(F24="","",F24)</f>
        <v/>
      </c>
      <c r="BJ38">
        <f t="shared" si="14"/>
        <v>130</v>
      </c>
      <c r="BK38" t="str">
        <f t="shared" si="15"/>
        <v>Sow1_org</v>
      </c>
      <c r="BL38" t="s">
        <v>69</v>
      </c>
      <c r="BM38">
        <f>$B$28</f>
        <v>0</v>
      </c>
      <c r="BN38" t="str">
        <f t="shared" si="16"/>
        <v>Kg</v>
      </c>
      <c r="BO38">
        <f t="shared" si="16"/>
        <v>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24"/>
      <c r="K39" s="136">
        <f>15*0.13</f>
        <v>1.9500000000000002</v>
      </c>
      <c r="L39" s="123"/>
      <c r="M39" s="123"/>
      <c r="N39" s="136">
        <f>16*0.13</f>
        <v>2.08</v>
      </c>
      <c r="P39" s="93"/>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130</v>
      </c>
      <c r="BK39" t="str">
        <f t="shared" si="15"/>
        <v>Sow1_org</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38"/>
      <c r="L40" s="123"/>
      <c r="M40" s="123"/>
      <c r="N40" s="136">
        <f>82*0.13</f>
        <v>10.66</v>
      </c>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130</v>
      </c>
      <c r="BK40" t="str">
        <f t="shared" si="15"/>
        <v>Sow1_org</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O41" s="110"/>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130</v>
      </c>
      <c r="BK41" t="str">
        <f t="shared" si="15"/>
        <v>Sow1_org</v>
      </c>
      <c r="BL41" t="s">
        <v>126</v>
      </c>
      <c r="BM41" t="str">
        <f>$B$35</f>
        <v>Svinekoed_adult_org</v>
      </c>
      <c r="BN41" t="str">
        <f>C35</f>
        <v>Kg</v>
      </c>
      <c r="BO41" s="64">
        <f>P35</f>
        <v>0</v>
      </c>
    </row>
    <row r="42" spans="1:67" x14ac:dyDescent="0.3">
      <c r="A42" s="33" t="s">
        <v>61</v>
      </c>
      <c r="B42" s="39"/>
      <c r="C42" s="28" t="s">
        <v>43</v>
      </c>
      <c r="D42" s="34">
        <f>SUM(D35:D41)</f>
        <v>167.64330000000001</v>
      </c>
      <c r="E42" s="24"/>
      <c r="I42" s="124"/>
      <c r="J42" s="136">
        <f>0.13*93+5+5</f>
        <v>22.09</v>
      </c>
      <c r="K42" s="123"/>
      <c r="L42" s="123"/>
      <c r="M42" s="123"/>
      <c r="N42" s="123"/>
      <c r="P42" s="93"/>
      <c r="Q42" s="25"/>
      <c r="Z42" s="53"/>
      <c r="AA42" s="53"/>
      <c r="AB42" s="53"/>
      <c r="AC42" s="53"/>
      <c r="AD42" s="53"/>
      <c r="AF42" s="144" t="str">
        <f t="shared" si="18"/>
        <v/>
      </c>
      <c r="BJ42">
        <f t="shared" si="14"/>
        <v>130</v>
      </c>
      <c r="BK42" t="str">
        <f t="shared" si="15"/>
        <v>Sow1_org</v>
      </c>
      <c r="BL42" t="s">
        <v>126</v>
      </c>
      <c r="BM42" t="str">
        <f>$B$36</f>
        <v>Svinekoed_affald_org</v>
      </c>
      <c r="BN42" t="str">
        <f t="shared" ref="BN42:BN47" si="19">C35</f>
        <v>Kg</v>
      </c>
      <c r="BO42" s="64">
        <f t="shared" ref="BO42" si="20">P35</f>
        <v>0</v>
      </c>
    </row>
    <row r="43" spans="1:67" x14ac:dyDescent="0.3">
      <c r="Z43" s="53"/>
      <c r="AA43" s="53"/>
      <c r="AB43" s="53"/>
      <c r="AC43" s="53"/>
      <c r="AD43" s="53"/>
      <c r="AF43" s="144" t="str">
        <f t="shared" si="18"/>
        <v/>
      </c>
      <c r="BJ43">
        <f t="shared" si="14"/>
        <v>130</v>
      </c>
      <c r="BK43" t="str">
        <f t="shared" si="15"/>
        <v>Sow1_org</v>
      </c>
      <c r="BL43" t="s">
        <v>126</v>
      </c>
      <c r="BM43" t="str">
        <f>$B$37</f>
        <v>Svinekoed_piglet_org</v>
      </c>
      <c r="BN43" t="str">
        <f t="shared" si="19"/>
        <v>Kg</v>
      </c>
      <c r="BO43" s="64">
        <f>P39</f>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130</v>
      </c>
      <c r="BK44" t="str">
        <f t="shared" si="15"/>
        <v>Sow1_org</v>
      </c>
      <c r="BL44" t="s">
        <v>126</v>
      </c>
      <c r="BM44">
        <f>$B$38</f>
        <v>0</v>
      </c>
      <c r="BN44" t="str">
        <f t="shared" si="19"/>
        <v>Kg</v>
      </c>
      <c r="BO44" s="64">
        <f>P40</f>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130</v>
      </c>
      <c r="BK45" t="str">
        <f t="shared" si="15"/>
        <v>Sow1_org</v>
      </c>
      <c r="BL45" t="s">
        <v>126</v>
      </c>
      <c r="BM45">
        <f>$B$39</f>
        <v>0</v>
      </c>
      <c r="BN45" t="str">
        <f t="shared" si="19"/>
        <v>Kg</v>
      </c>
      <c r="BO45" s="64">
        <f>P41</f>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130</v>
      </c>
      <c r="BK46" t="str">
        <f t="shared" si="15"/>
        <v>Sow1_org</v>
      </c>
      <c r="BL46" t="s">
        <v>126</v>
      </c>
      <c r="BM46">
        <f>$B$40</f>
        <v>0</v>
      </c>
      <c r="BN46" t="str">
        <f t="shared" si="19"/>
        <v>Kg</v>
      </c>
      <c r="BO46" s="64">
        <f>P42</f>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130</v>
      </c>
      <c r="BK47" t="str">
        <f t="shared" si="15"/>
        <v>Sow1_org</v>
      </c>
      <c r="BL47" t="s">
        <v>126</v>
      </c>
      <c r="BM47">
        <f>$B$41</f>
        <v>0</v>
      </c>
      <c r="BN47" t="str">
        <f t="shared" si="19"/>
        <v>Kg</v>
      </c>
      <c r="BO47" s="64" t="e">
        <f>#REF!</f>
        <v>#REF!</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130</v>
      </c>
      <c r="BK48" t="str">
        <f t="shared" si="15"/>
        <v>Sow1_org</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130</v>
      </c>
      <c r="BK49" t="str">
        <f t="shared" si="15"/>
        <v>Sow1_org</v>
      </c>
      <c r="BL49" t="s">
        <v>127</v>
      </c>
      <c r="BM49">
        <f t="shared" si="22"/>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130</v>
      </c>
      <c r="BK50" t="str">
        <f t="shared" si="15"/>
        <v>Sow1_org</v>
      </c>
      <c r="BL50" t="s">
        <v>127</v>
      </c>
      <c r="BM50">
        <f t="shared" si="22"/>
        <v>0</v>
      </c>
      <c r="BN50" s="32">
        <f>$AH$34</f>
        <v>0</v>
      </c>
      <c r="BO50" s="32">
        <f>AH45</f>
        <v>0</v>
      </c>
    </row>
    <row r="51" spans="1:67" ht="15" thickBot="1" x14ac:dyDescent="0.35">
      <c r="A51" s="18" t="s">
        <v>56</v>
      </c>
      <c r="B51" s="9"/>
      <c r="C51" s="28" t="s">
        <v>43</v>
      </c>
      <c r="D51" s="34">
        <f>SUM(D42,D45:D50)</f>
        <v>167.64330000000001</v>
      </c>
      <c r="I51" s="93"/>
      <c r="J51" s="93"/>
      <c r="K51" s="93"/>
      <c r="L51" s="93"/>
      <c r="M51" s="93"/>
      <c r="N51" s="93"/>
      <c r="O51" s="135"/>
      <c r="P51" s="93"/>
      <c r="Q51" s="47"/>
      <c r="Z51" s="53"/>
      <c r="AA51" s="53"/>
      <c r="AB51" s="53"/>
      <c r="AC51" s="53"/>
      <c r="AD51" s="53"/>
      <c r="AF51" s="145" t="str">
        <f t="shared" si="21"/>
        <v/>
      </c>
      <c r="BJ51">
        <f t="shared" si="14"/>
        <v>130</v>
      </c>
      <c r="BK51" t="str">
        <f t="shared" si="15"/>
        <v>Sow1_org</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130</v>
      </c>
      <c r="BK52" t="str">
        <f t="shared" si="15"/>
        <v>Sow1_org</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130</v>
      </c>
      <c r="BK53" t="str">
        <f t="shared" si="15"/>
        <v>Sow1_org</v>
      </c>
      <c r="BL53" t="s">
        <v>127</v>
      </c>
      <c r="BM53">
        <f t="shared" ref="BM53:BM58" si="23">$B$46</f>
        <v>0</v>
      </c>
      <c r="BN53" t="str">
        <f>C46</f>
        <v>Kg</v>
      </c>
      <c r="BO53" s="64">
        <f>P46</f>
        <v>0</v>
      </c>
    </row>
    <row r="54" spans="1:67" x14ac:dyDescent="0.3">
      <c r="A54" s="18" t="s">
        <v>220</v>
      </c>
      <c r="B54" s="50" t="s">
        <v>720</v>
      </c>
      <c r="C54" s="50" t="s">
        <v>43</v>
      </c>
      <c r="D54" s="138"/>
      <c r="E54" s="53"/>
      <c r="F54" s="138"/>
      <c r="G54" s="53"/>
      <c r="H54" s="138"/>
      <c r="I54" s="138"/>
      <c r="AF54" s="32"/>
      <c r="BJ54">
        <f t="shared" si="14"/>
        <v>130</v>
      </c>
      <c r="BK54" t="str">
        <f t="shared" si="15"/>
        <v>Sow1_org</v>
      </c>
      <c r="BL54" t="s">
        <v>127</v>
      </c>
      <c r="BM54">
        <f t="shared" si="23"/>
        <v>0</v>
      </c>
      <c r="BN54" t="str">
        <f>$AF$34</f>
        <v/>
      </c>
      <c r="BO54" s="32" t="str">
        <f>AF$46</f>
        <v/>
      </c>
    </row>
    <row r="55" spans="1:67" x14ac:dyDescent="0.3">
      <c r="A55" s="18" t="s">
        <v>254</v>
      </c>
      <c r="B55" s="50" t="s">
        <v>725</v>
      </c>
      <c r="C55" s="50" t="s">
        <v>43</v>
      </c>
      <c r="D55" s="138"/>
      <c r="E55" s="53"/>
      <c r="F55" s="138"/>
      <c r="G55" s="53"/>
      <c r="H55" s="138"/>
      <c r="I55" s="138"/>
      <c r="BJ55">
        <f t="shared" si="14"/>
        <v>130</v>
      </c>
      <c r="BK55" t="str">
        <f t="shared" si="15"/>
        <v>Sow1_org</v>
      </c>
      <c r="BL55" t="s">
        <v>127</v>
      </c>
      <c r="BM55">
        <f t="shared" si="23"/>
        <v>0</v>
      </c>
      <c r="BN55">
        <f>$AG$34</f>
        <v>0</v>
      </c>
      <c r="BO55" s="32">
        <f>AG$46</f>
        <v>0</v>
      </c>
    </row>
    <row r="56" spans="1:67" x14ac:dyDescent="0.3">
      <c r="A56" s="18" t="s">
        <v>35</v>
      </c>
      <c r="B56" s="50"/>
      <c r="C56" s="50"/>
      <c r="D56" s="138"/>
      <c r="E56" s="53"/>
      <c r="F56" s="138"/>
      <c r="G56" s="53"/>
      <c r="H56" s="138"/>
      <c r="I56" s="138"/>
      <c r="BJ56">
        <f t="shared" si="14"/>
        <v>130</v>
      </c>
      <c r="BK56" t="str">
        <f t="shared" si="15"/>
        <v>Sow1_org</v>
      </c>
      <c r="BL56" t="s">
        <v>127</v>
      </c>
      <c r="BM56">
        <f t="shared" si="23"/>
        <v>0</v>
      </c>
      <c r="BN56" s="32">
        <f>$AH$34</f>
        <v>0</v>
      </c>
      <c r="BO56" s="32">
        <f>AH$46</f>
        <v>0</v>
      </c>
    </row>
    <row r="57" spans="1:67" x14ac:dyDescent="0.3">
      <c r="A57" s="18" t="s">
        <v>36</v>
      </c>
      <c r="B57" s="50"/>
      <c r="C57" s="50"/>
      <c r="D57" s="138"/>
      <c r="E57" s="53"/>
      <c r="F57" s="138"/>
      <c r="G57" s="53"/>
      <c r="H57" s="138"/>
      <c r="I57" s="138"/>
      <c r="BJ57">
        <f t="shared" si="14"/>
        <v>130</v>
      </c>
      <c r="BK57" t="str">
        <f t="shared" si="15"/>
        <v>Sow1_org</v>
      </c>
      <c r="BL57" t="s">
        <v>127</v>
      </c>
      <c r="BM57">
        <f t="shared" si="23"/>
        <v>0</v>
      </c>
      <c r="BN57">
        <f>$AI$34</f>
        <v>0</v>
      </c>
      <c r="BO57" s="32">
        <f>AI$46</f>
        <v>0</v>
      </c>
    </row>
    <row r="58" spans="1:67" x14ac:dyDescent="0.3">
      <c r="A58" s="18" t="s">
        <v>37</v>
      </c>
      <c r="B58" s="50"/>
      <c r="C58" s="50"/>
      <c r="D58" s="138"/>
      <c r="E58" s="53"/>
      <c r="F58" s="138"/>
      <c r="G58" s="53"/>
      <c r="H58" s="138"/>
      <c r="I58" s="138"/>
      <c r="BJ58">
        <f t="shared" si="14"/>
        <v>130</v>
      </c>
      <c r="BK58" t="str">
        <f t="shared" si="15"/>
        <v>Sow1_org</v>
      </c>
      <c r="BL58" t="s">
        <v>127</v>
      </c>
      <c r="BM58">
        <f t="shared" si="23"/>
        <v>0</v>
      </c>
      <c r="BN58">
        <f>$AJ$34</f>
        <v>0</v>
      </c>
      <c r="BO58" s="32">
        <f>AJ$46</f>
        <v>0</v>
      </c>
    </row>
    <row r="59" spans="1:67" x14ac:dyDescent="0.3">
      <c r="A59" s="18" t="s">
        <v>56</v>
      </c>
      <c r="B59" s="24"/>
      <c r="D59" s="32"/>
      <c r="F59" s="32"/>
      <c r="H59" s="138"/>
      <c r="I59" s="138"/>
      <c r="BJ59">
        <f t="shared" si="14"/>
        <v>130</v>
      </c>
      <c r="BK59" t="str">
        <f t="shared" si="15"/>
        <v>Sow1_org</v>
      </c>
      <c r="BL59" t="s">
        <v>127</v>
      </c>
      <c r="BM59">
        <f t="shared" ref="BL59:BM62" si="24">$B$47</f>
        <v>0</v>
      </c>
      <c r="BN59">
        <f>$AG$34</f>
        <v>0</v>
      </c>
      <c r="BO59" s="32">
        <f>AG$47</f>
        <v>0</v>
      </c>
    </row>
    <row r="60" spans="1:67" x14ac:dyDescent="0.3">
      <c r="BJ60">
        <f t="shared" si="14"/>
        <v>130</v>
      </c>
      <c r="BK60" t="str">
        <f t="shared" si="15"/>
        <v>Sow1_org</v>
      </c>
      <c r="BL60" t="s">
        <v>127</v>
      </c>
      <c r="BM60">
        <f t="shared" si="24"/>
        <v>0</v>
      </c>
      <c r="BN60" s="32">
        <f>$AH$34</f>
        <v>0</v>
      </c>
      <c r="BO60" s="32">
        <f>AH$47</f>
        <v>0</v>
      </c>
    </row>
    <row r="61" spans="1:67" ht="17.399999999999999" x14ac:dyDescent="0.3">
      <c r="A61" s="31" t="s">
        <v>104</v>
      </c>
      <c r="BJ61">
        <f t="shared" si="14"/>
        <v>130</v>
      </c>
      <c r="BK61" t="str">
        <f t="shared" si="15"/>
        <v>Sow1_org</v>
      </c>
      <c r="BL61" t="s">
        <v>127</v>
      </c>
      <c r="BM61">
        <f t="shared" si="24"/>
        <v>0</v>
      </c>
      <c r="BN61">
        <f>$AI$34</f>
        <v>0</v>
      </c>
      <c r="BO61" s="32">
        <f>AI$47</f>
        <v>0</v>
      </c>
    </row>
    <row r="62" spans="1:67" x14ac:dyDescent="0.3">
      <c r="A62" s="21" t="s">
        <v>280</v>
      </c>
      <c r="B62" s="10" t="s">
        <v>101</v>
      </c>
      <c r="C62" s="10" t="s">
        <v>102</v>
      </c>
      <c r="D62" s="10" t="s">
        <v>103</v>
      </c>
      <c r="BI62">
        <f t="shared" si="14"/>
        <v>130</v>
      </c>
      <c r="BJ62" t="str">
        <f t="shared" si="15"/>
        <v>Sow1_org</v>
      </c>
      <c r="BK62" t="s">
        <v>127</v>
      </c>
      <c r="BL62">
        <f t="shared" si="24"/>
        <v>0</v>
      </c>
      <c r="BM62">
        <f>$AJ$34</f>
        <v>0</v>
      </c>
      <c r="BN62" s="32">
        <f>AJ$47</f>
        <v>0</v>
      </c>
    </row>
    <row r="63" spans="1:67" x14ac:dyDescent="0.3">
      <c r="A63" s="18" t="s">
        <v>86</v>
      </c>
      <c r="B63" s="19"/>
      <c r="C63" s="11">
        <v>76.5</v>
      </c>
      <c r="D63" s="11">
        <v>7.1</v>
      </c>
      <c r="E63" t="s">
        <v>774</v>
      </c>
      <c r="BI63">
        <f t="shared" ref="BI63:BJ91" si="25">$BM$32</f>
        <v>130</v>
      </c>
      <c r="BJ63" t="str">
        <f t="shared" ref="BJ63:BK91" si="26">$BM$33</f>
        <v>Sow1_org</v>
      </c>
      <c r="BK63" t="s">
        <v>127</v>
      </c>
      <c r="BL63">
        <f t="shared" ref="BL63:BM68" si="27">$B$48</f>
        <v>0</v>
      </c>
      <c r="BM63" s="64" t="str">
        <f>C48</f>
        <v>Kg</v>
      </c>
      <c r="BN63" s="32">
        <f>P48</f>
        <v>0</v>
      </c>
    </row>
    <row r="64" spans="1:67" x14ac:dyDescent="0.3">
      <c r="A64" s="18" t="s">
        <v>87</v>
      </c>
      <c r="B64" s="19"/>
      <c r="C64" s="11"/>
      <c r="D64" s="11"/>
      <c r="E64" t="s">
        <v>775</v>
      </c>
      <c r="G64" s="154">
        <f>76.5/10.7</f>
        <v>7.1495327102803747</v>
      </c>
      <c r="BI64">
        <f t="shared" si="25"/>
        <v>130</v>
      </c>
      <c r="BJ64" t="str">
        <f t="shared" si="26"/>
        <v>Sow1_org</v>
      </c>
      <c r="BK64" t="s">
        <v>127</v>
      </c>
      <c r="BL64">
        <f t="shared" si="27"/>
        <v>0</v>
      </c>
      <c r="BM64" t="str">
        <f>$AF$34</f>
        <v/>
      </c>
      <c r="BN64" s="32" t="str">
        <f>AF$48</f>
        <v/>
      </c>
    </row>
    <row r="65" spans="1:67" x14ac:dyDescent="0.3">
      <c r="A65" s="156" t="s">
        <v>56</v>
      </c>
      <c r="B65" s="159">
        <f>SUM(B63:B64)</f>
        <v>0</v>
      </c>
      <c r="C65" s="159">
        <f>SUM(C63:C64)</f>
        <v>76.5</v>
      </c>
      <c r="D65" s="159">
        <f>SUM(D63:D64)</f>
        <v>7.1</v>
      </c>
      <c r="BJ65">
        <f t="shared" si="25"/>
        <v>130</v>
      </c>
      <c r="BK65" t="str">
        <f t="shared" si="26"/>
        <v>Sow1_org</v>
      </c>
      <c r="BL65" t="s">
        <v>127</v>
      </c>
      <c r="BM65">
        <f t="shared" si="27"/>
        <v>0</v>
      </c>
      <c r="BN65">
        <f>$AG$34</f>
        <v>0</v>
      </c>
      <c r="BO65" s="32">
        <f>AG$48</f>
        <v>0</v>
      </c>
    </row>
    <row r="66" spans="1:67" ht="17.399999999999999" x14ac:dyDescent="0.3">
      <c r="P66" s="31" t="s">
        <v>266</v>
      </c>
      <c r="Q66" s="31"/>
      <c r="BJ66">
        <f t="shared" si="25"/>
        <v>130</v>
      </c>
      <c r="BK66" t="str">
        <f t="shared" si="26"/>
        <v>Sow1_org</v>
      </c>
      <c r="BL66" t="s">
        <v>127</v>
      </c>
      <c r="BM66">
        <f t="shared" si="27"/>
        <v>0</v>
      </c>
      <c r="BN66" s="32">
        <f>$AH$34</f>
        <v>0</v>
      </c>
      <c r="BO66" s="32">
        <f>AH$48</f>
        <v>0</v>
      </c>
    </row>
    <row r="67" spans="1:67" x14ac:dyDescent="0.3">
      <c r="A67" s="21" t="s">
        <v>18</v>
      </c>
      <c r="B67" s="37" t="s">
        <v>69</v>
      </c>
      <c r="C67" s="17" t="s">
        <v>70</v>
      </c>
      <c r="D67" s="17" t="s">
        <v>74</v>
      </c>
      <c r="E67" s="17" t="s">
        <v>80</v>
      </c>
      <c r="F67" s="17" t="s">
        <v>227</v>
      </c>
      <c r="I67" s="42"/>
      <c r="K67" s="17" t="s">
        <v>82</v>
      </c>
      <c r="L67" s="17" t="s">
        <v>17</v>
      </c>
      <c r="P67" s="17" t="str">
        <f>Other_tables!L4</f>
        <v>Transportmiddel</v>
      </c>
      <c r="Q67" s="54"/>
      <c r="R67" s="17" t="s">
        <v>119</v>
      </c>
      <c r="S67" s="17" t="s">
        <v>83</v>
      </c>
      <c r="T67" s="17" t="s">
        <v>97</v>
      </c>
      <c r="BJ67">
        <f t="shared" si="25"/>
        <v>130</v>
      </c>
      <c r="BK67" t="str">
        <f t="shared" si="26"/>
        <v>Sow1_org</v>
      </c>
      <c r="BL67" t="s">
        <v>127</v>
      </c>
      <c r="BM67">
        <f t="shared" si="27"/>
        <v>0</v>
      </c>
      <c r="BN67">
        <f>$AI$34</f>
        <v>0</v>
      </c>
      <c r="BO67" s="32">
        <f>AI$48</f>
        <v>0</v>
      </c>
    </row>
    <row r="68" spans="1:67" x14ac:dyDescent="0.3">
      <c r="A68" s="18" t="s">
        <v>44</v>
      </c>
      <c r="B68" s="38" t="s">
        <v>707</v>
      </c>
      <c r="C68" s="19">
        <v>168</v>
      </c>
      <c r="D68" s="11" t="s">
        <v>225</v>
      </c>
      <c r="E68" s="11" t="s">
        <v>81</v>
      </c>
      <c r="F68" s="5">
        <v>100</v>
      </c>
      <c r="G68" t="s">
        <v>686</v>
      </c>
      <c r="K68" s="49">
        <f t="shared" ref="K68:K72" si="28">IF(B68="",0,((((VLOOKUP(B68,$B$12:$D$18,3,FALSE))/1000)*C68)/(VLOOKUP(B68,$B$12:$R$18,17,FALSE)/1000))*(F68/100))</f>
        <v>21.638765380069632</v>
      </c>
      <c r="L68" s="49">
        <f>IF(E68="Diesel",VLOOKUP(D68,Other_tables!$L$5:$O$13,2,FALSE)*K68,0)</f>
        <v>0</v>
      </c>
      <c r="P68" s="30" t="str">
        <f>Other_tables!L5</f>
        <v>Traktor</v>
      </c>
      <c r="Q68" s="44"/>
      <c r="R68" s="159">
        <f t="shared" ref="R68:R76" si="29">SUMPRODUCT(($D$68:$D$81=P68)*$L$68:$L$81)</f>
        <v>0.62932571426612116</v>
      </c>
      <c r="S68" s="49">
        <f t="shared" ref="S68:S76" si="30">IF(P68="","0",SUMPRODUCT(($D$68:$D$81=P68)*$K$68:$K$81))</f>
        <v>3.1466285713306057</v>
      </c>
      <c r="T68" s="49">
        <f>IF(R68&gt;0,0,(S68*VLOOKUP(P68,Other_tables!$L$5:$O$13,2,FALSE))/1000)</f>
        <v>0</v>
      </c>
      <c r="U68" s="95"/>
      <c r="BJ68">
        <f t="shared" si="25"/>
        <v>130</v>
      </c>
      <c r="BK68" t="str">
        <f t="shared" si="26"/>
        <v>Sow1_org</v>
      </c>
      <c r="BL68" t="s">
        <v>127</v>
      </c>
      <c r="BM68">
        <f t="shared" si="27"/>
        <v>0</v>
      </c>
      <c r="BN68">
        <f>$AJ$34</f>
        <v>0</v>
      </c>
      <c r="BO68" s="32">
        <f>AJ$48</f>
        <v>0</v>
      </c>
    </row>
    <row r="69" spans="1:67" x14ac:dyDescent="0.3">
      <c r="A69" s="18" t="s">
        <v>45</v>
      </c>
      <c r="B69" s="38"/>
      <c r="C69" s="19"/>
      <c r="D69" s="11"/>
      <c r="E69" s="11"/>
      <c r="F69" s="5"/>
      <c r="K69" s="49">
        <f t="shared" si="28"/>
        <v>0</v>
      </c>
      <c r="L69" s="49">
        <f>IF(E69="Diesel",VLOOKUP(D69,Other_tables!$L$5:$O$13,2,FALSE)*K69,0)</f>
        <v>0</v>
      </c>
      <c r="P69" s="30" t="str">
        <f>Other_tables!L6</f>
        <v>Lastbil &gt; 20 T</v>
      </c>
      <c r="Q69" s="44"/>
      <c r="R69" s="159">
        <f t="shared" si="29"/>
        <v>0</v>
      </c>
      <c r="S69" s="49">
        <f t="shared" si="30"/>
        <v>33.043682449256536</v>
      </c>
      <c r="T69" s="49">
        <f>IF(R69&gt;0,0,(S69*VLOOKUP(P69,Other_tables!$L$5:$O$13,2,FALSE))/1000)</f>
        <v>3.3043682449256533</v>
      </c>
      <c r="U69" s="95"/>
      <c r="BJ69">
        <f t="shared" si="25"/>
        <v>130</v>
      </c>
      <c r="BK69" t="str">
        <f t="shared" si="26"/>
        <v>Sow1_org</v>
      </c>
      <c r="BL69" t="s">
        <v>127</v>
      </c>
      <c r="BM69">
        <f t="shared" ref="BM69:BM74" si="31">$B$49</f>
        <v>0</v>
      </c>
      <c r="BN69" s="64" t="str">
        <f>C49</f>
        <v>Kg</v>
      </c>
      <c r="BO69" s="32">
        <f>P49</f>
        <v>0</v>
      </c>
    </row>
    <row r="70" spans="1:67" x14ac:dyDescent="0.3">
      <c r="A70" s="18" t="s">
        <v>46</v>
      </c>
      <c r="B70" s="38" t="s">
        <v>442</v>
      </c>
      <c r="C70" s="19">
        <v>168</v>
      </c>
      <c r="D70" s="11" t="s">
        <v>225</v>
      </c>
      <c r="E70" s="11" t="s">
        <v>81</v>
      </c>
      <c r="F70" s="5">
        <v>100</v>
      </c>
      <c r="G70" t="s">
        <v>230</v>
      </c>
      <c r="K70" s="49">
        <f t="shared" si="28"/>
        <v>11.404917069186903</v>
      </c>
      <c r="L70" s="49">
        <f>IF(E70="Diesel",VLOOKUP(D70,Other_tables!$L$5:$O$13,2,FALSE)*K70,0)</f>
        <v>0</v>
      </c>
      <c r="P70" s="30" t="str">
        <f>Other_tables!L7</f>
        <v>Lastbil 10-20 T</v>
      </c>
      <c r="Q70" s="44"/>
      <c r="R70" s="159">
        <f t="shared" si="29"/>
        <v>0</v>
      </c>
      <c r="S70" s="49">
        <f t="shared" si="30"/>
        <v>83.700319997394104</v>
      </c>
      <c r="T70" s="49">
        <f>IF(R70&gt;0,0,(S70*VLOOKUP(P70,Other_tables!$L$5:$O$13,2,FALSE))/1000)</f>
        <v>21.259881279338103</v>
      </c>
      <c r="BJ70">
        <f t="shared" si="25"/>
        <v>130</v>
      </c>
      <c r="BK70" t="str">
        <f t="shared" si="26"/>
        <v>Sow1_org</v>
      </c>
      <c r="BL70" t="s">
        <v>127</v>
      </c>
      <c r="BM70">
        <f t="shared" si="31"/>
        <v>0</v>
      </c>
      <c r="BN70" t="str">
        <f>$AF$34</f>
        <v/>
      </c>
      <c r="BO70" s="32" t="str">
        <f>AF$49</f>
        <v/>
      </c>
    </row>
    <row r="71" spans="1:67" x14ac:dyDescent="0.3">
      <c r="A71" s="18" t="s">
        <v>47</v>
      </c>
      <c r="B71" s="38" t="s">
        <v>444</v>
      </c>
      <c r="C71" s="19">
        <v>133</v>
      </c>
      <c r="D71" s="11" t="s">
        <v>226</v>
      </c>
      <c r="E71" s="11" t="s">
        <v>81</v>
      </c>
      <c r="F71" s="5">
        <v>50</v>
      </c>
      <c r="G71" t="s">
        <v>685</v>
      </c>
      <c r="K71" s="49">
        <f t="shared" si="28"/>
        <v>83.700319997394104</v>
      </c>
      <c r="L71" s="49">
        <f>IF(E71="Diesel",VLOOKUP(D71,Other_tables!$L$5:$O$13,2,FALSE)*K71,0)</f>
        <v>0</v>
      </c>
      <c r="P71" s="30" t="str">
        <f>Other_tables!L8</f>
        <v>Lastbil &lt; 10 T</v>
      </c>
      <c r="Q71" s="44"/>
      <c r="R71" s="159">
        <f t="shared" si="29"/>
        <v>0</v>
      </c>
      <c r="S71" s="49">
        <f t="shared" si="30"/>
        <v>0</v>
      </c>
      <c r="T71" s="49">
        <f>IF(R71&gt;0,0,(S71*VLOOKUP(P71,Other_tables!$L$5:$O$13,2,FALSE))/1000)</f>
        <v>0</v>
      </c>
      <c r="BJ71">
        <f t="shared" si="25"/>
        <v>130</v>
      </c>
      <c r="BK71" t="str">
        <f t="shared" si="26"/>
        <v>Sow1_org</v>
      </c>
      <c r="BL71" t="s">
        <v>127</v>
      </c>
      <c r="BM71">
        <f t="shared" si="31"/>
        <v>0</v>
      </c>
      <c r="BN71">
        <f>$AG$34</f>
        <v>0</v>
      </c>
      <c r="BO71" s="32">
        <f>AG$49</f>
        <v>0</v>
      </c>
    </row>
    <row r="72" spans="1:67" x14ac:dyDescent="0.3">
      <c r="A72" s="18" t="s">
        <v>67</v>
      </c>
      <c r="B72" s="38" t="s">
        <v>444</v>
      </c>
      <c r="C72" s="19">
        <v>5</v>
      </c>
      <c r="D72" s="11" t="s">
        <v>229</v>
      </c>
      <c r="E72" s="11" t="s">
        <v>17</v>
      </c>
      <c r="F72" s="5">
        <v>50</v>
      </c>
      <c r="K72" s="49">
        <f t="shared" si="28"/>
        <v>3.1466285713306057</v>
      </c>
      <c r="L72" s="49">
        <f>IF(E72="Diesel",VLOOKUP(D72,Other_tables!$L$5:$O$13,2,FALSE)*K72,0)</f>
        <v>0.62932571426612116</v>
      </c>
      <c r="P72" s="30" t="str">
        <f>Other_tables!L9</f>
        <v>Fragttog Europa</v>
      </c>
      <c r="Q72" s="44"/>
      <c r="R72" s="159">
        <f t="shared" si="29"/>
        <v>0</v>
      </c>
      <c r="S72" s="49">
        <f t="shared" si="30"/>
        <v>0</v>
      </c>
      <c r="T72" s="49">
        <f>IF(R72&gt;0,0,(S72*VLOOKUP(P72,Other_tables!$L$5:$O$13,2,FALSE))/1000)</f>
        <v>0</v>
      </c>
      <c r="BJ72">
        <f t="shared" si="25"/>
        <v>130</v>
      </c>
      <c r="BK72" t="str">
        <f t="shared" si="26"/>
        <v>Sow1_org</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130</v>
      </c>
      <c r="BK73" t="str">
        <f t="shared" si="26"/>
        <v>Sow1_org</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130</v>
      </c>
      <c r="BK74" t="str">
        <f t="shared" si="26"/>
        <v>Sow1_org</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130</v>
      </c>
      <c r="BK75" t="str">
        <f t="shared" si="26"/>
        <v>Sow1_org</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130</v>
      </c>
      <c r="BK76" t="str">
        <f t="shared" si="26"/>
        <v>Sow1_org</v>
      </c>
      <c r="BL76" t="s">
        <v>127</v>
      </c>
      <c r="BM76" t="str">
        <f t="shared" si="33"/>
        <v>Loss</v>
      </c>
      <c r="BN76" t="str">
        <f>$AF$34</f>
        <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0.62932571426612116</v>
      </c>
      <c r="S77" s="57"/>
      <c r="T77" s="58">
        <f>SUM(T68:T76)</f>
        <v>24.564249524263758</v>
      </c>
      <c r="BJ77">
        <f t="shared" si="25"/>
        <v>130</v>
      </c>
      <c r="BK77" t="str">
        <f t="shared" si="26"/>
        <v>Sow1_org</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130</v>
      </c>
      <c r="BK78" t="str">
        <f t="shared" si="26"/>
        <v>Sow1_org</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130</v>
      </c>
      <c r="BK79" t="str">
        <f t="shared" si="26"/>
        <v>Sow1_org</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130</v>
      </c>
      <c r="BK80" t="str">
        <f t="shared" si="26"/>
        <v>Sow1_org</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130</v>
      </c>
      <c r="BK81" t="str">
        <f t="shared" si="26"/>
        <v>Sow1_org</v>
      </c>
      <c r="BL81" t="s">
        <v>118</v>
      </c>
      <c r="BM81" t="s">
        <v>118</v>
      </c>
      <c r="BN81">
        <f>I53</f>
        <v>0</v>
      </c>
      <c r="BO81" s="47">
        <f>I59</f>
        <v>0</v>
      </c>
    </row>
    <row r="82" spans="1:67" ht="17.399999999999999" x14ac:dyDescent="0.3">
      <c r="A82" s="25"/>
      <c r="B82" s="25"/>
      <c r="C82" s="24"/>
      <c r="D82" s="24"/>
      <c r="P82" s="31" t="s">
        <v>95</v>
      </c>
      <c r="Q82" s="55"/>
      <c r="BJ82">
        <f t="shared" si="25"/>
        <v>130</v>
      </c>
      <c r="BK82" t="str">
        <f t="shared" si="26"/>
        <v>Sow1_org</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130</v>
      </c>
      <c r="BK83" t="str">
        <f t="shared" si="26"/>
        <v>Sow1_org</v>
      </c>
      <c r="BL83" t="str">
        <f>$A$67</f>
        <v>Transport</v>
      </c>
      <c r="BM83" t="str">
        <f>BL83</f>
        <v>Transport</v>
      </c>
      <c r="BN83" t="str">
        <f>R67</f>
        <v>Diesel (L)</v>
      </c>
      <c r="BO83" s="47">
        <f>R77</f>
        <v>0.62932571426612116</v>
      </c>
    </row>
    <row r="84" spans="1:67" x14ac:dyDescent="0.3">
      <c r="A84" s="18" t="s">
        <v>33</v>
      </c>
      <c r="B84" s="38" t="s">
        <v>444</v>
      </c>
      <c r="C84" s="19" t="s">
        <v>217</v>
      </c>
      <c r="D84" s="28">
        <f>IF(B84="","",VLOOKUP(C84,Other_tables!$S$5:$AA$22,7,FALSE))</f>
        <v>2.148148148148148E-2</v>
      </c>
      <c r="E84" s="28">
        <f>IF(B84="","",VLOOKUP(C84,Other_tables!$S$5:$AA$22,3,FALSE))</f>
        <v>2.839506172839506E-3</v>
      </c>
      <c r="F84" s="5">
        <v>100</v>
      </c>
      <c r="P84" s="30" t="str">
        <f t="shared" ref="P84:P92" si="34">B84</f>
        <v>Grain_org</v>
      </c>
      <c r="Q84" s="44"/>
      <c r="R84" s="49">
        <f>IF(D84="",0,VLOOKUP(P84,$B$12:$D$18,3,FALSE)*D84)</f>
        <v>22.985185185185184</v>
      </c>
      <c r="S84" s="49">
        <f>IF(E84="",0,VLOOKUP(P84,$B$12:$D$18,3,FALSE)*E84)</f>
        <v>3.0382716049382714</v>
      </c>
      <c r="BJ84">
        <f t="shared" si="25"/>
        <v>130</v>
      </c>
      <c r="BK84" t="str">
        <f t="shared" si="26"/>
        <v>Sow1_org</v>
      </c>
      <c r="BL84" t="str">
        <f>$A$67</f>
        <v>Transport</v>
      </c>
      <c r="BM84" t="str">
        <f>BL84</f>
        <v>Transport</v>
      </c>
      <c r="BN84" t="str">
        <f>T67</f>
        <v>kg CO₂eq for T/km</v>
      </c>
      <c r="BO84" s="47">
        <f>T77</f>
        <v>24.564249524263758</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130</v>
      </c>
      <c r="BK85" t="str">
        <f t="shared" si="26"/>
        <v>Sow1_org</v>
      </c>
      <c r="BL85" t="s">
        <v>120</v>
      </c>
      <c r="BM85" t="s">
        <v>120</v>
      </c>
      <c r="BN85" t="str">
        <f>R83</f>
        <v>EL (KWh)</v>
      </c>
      <c r="BO85" s="47">
        <f>R93</f>
        <v>22.985185185185184</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130</v>
      </c>
      <c r="BK86" t="str">
        <f t="shared" si="26"/>
        <v>Sow1_org</v>
      </c>
      <c r="BL86" t="s">
        <v>120</v>
      </c>
      <c r="BM86" t="s">
        <v>120</v>
      </c>
      <c r="BN86" t="str">
        <f>S83</f>
        <v>Diesel (L)</v>
      </c>
      <c r="BO86" s="47">
        <f>S93</f>
        <v>3.0382716049382714</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130</v>
      </c>
      <c r="BK87" t="str">
        <f t="shared" si="26"/>
        <v>Sow1_org</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130</v>
      </c>
      <c r="BK88" t="str">
        <f t="shared" si="26"/>
        <v>Sow1_org</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130</v>
      </c>
      <c r="BK89" t="str">
        <f t="shared" si="26"/>
        <v>Sow1_org</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130</v>
      </c>
      <c r="BK90" t="str">
        <f t="shared" si="26"/>
        <v>Sow1_org</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130</v>
      </c>
      <c r="BK91" t="str">
        <f t="shared" si="26"/>
        <v>Sow1_org</v>
      </c>
      <c r="BL91" t="s">
        <v>125</v>
      </c>
      <c r="BM91" t="s">
        <v>125</v>
      </c>
      <c r="BN91" t="str">
        <f>T96</f>
        <v>Diesel (L)</v>
      </c>
      <c r="BO91">
        <f>E118</f>
        <v>0</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22.985185185185184</v>
      </c>
      <c r="S93" s="58">
        <f>SUM(S84:S92)</f>
        <v>3.0382716049382714</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c r="C109" s="19"/>
      <c r="D109" s="11"/>
      <c r="E109" s="206" t="str">
        <f>IF(C109="","",IF(VLOOKUP(C109,'Diesel consumption for field op'!$B$4:$E$78,3,FALSE)="L / ton",((VLOOKUP(C109,'Diesel consumption for field op'!$B$4:$E$78,2,FALSE)*1.007)*(VLOOKUP(B109,$B$12:$D$30,3,FALSE)/1000)/(VLOOKUP(B109,$B$12:$R$30,17,FALSE)/1000)),0))</f>
        <v/>
      </c>
    </row>
    <row r="110" spans="1:20" x14ac:dyDescent="0.3">
      <c r="A110" s="18" t="s">
        <v>87</v>
      </c>
      <c r="B110" s="38"/>
      <c r="C110" s="19"/>
      <c r="D110" s="11"/>
      <c r="E110" s="206" t="str">
        <f>IF(C110="","",IF(VLOOKUP(C110,'Diesel consumption for field op'!$B$4:$E$78,3,FALSE)="L / ton",((VLOOKUP(C110,'Diesel consumption for field op'!$B$4:$E$78,2,FALSE)*1.007)*(VLOOKUP(B110,$B$12:$D$30,3,FALSE)/1000)/(VLOOKUP(B110,$B$12:$R$30,17,FALSE)/1000)),0))</f>
        <v/>
      </c>
    </row>
    <row r="111" spans="1:20" x14ac:dyDescent="0.3">
      <c r="A111" s="18" t="s">
        <v>88</v>
      </c>
      <c r="B111" s="38"/>
      <c r="C111" s="19"/>
      <c r="D111" s="11"/>
      <c r="E111" s="206" t="str">
        <f>IF(C111="","",IF(VLOOKUP(C111,'Diesel consumption for field op'!$B$4:$E$78,3,FALSE)="L / ton",((VLOOKUP(C111,'Diesel consumption for field op'!$B$4:$E$78,2,FALSE)*1.007)*(VLOOKUP(B111,$B$12:$D$30,3,FALSE)/1000)/(VLOOKUP(B111,$B$12:$R$30,17,FALSE)/1000)),0))</f>
        <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t="s">
        <v>311</v>
      </c>
      <c r="M121" s="79" t="s">
        <v>256</v>
      </c>
    </row>
    <row r="122" spans="1:13" x14ac:dyDescent="0.3">
      <c r="A122" s="158" t="s">
        <v>741</v>
      </c>
      <c r="B122" s="158"/>
      <c r="C122" s="248">
        <v>18.895369171673877</v>
      </c>
      <c r="D122" s="6" t="s">
        <v>432</v>
      </c>
      <c r="E122" s="165">
        <v>297.5</v>
      </c>
      <c r="F122" s="164">
        <f>VLOOKUP(A122,'Stable systems'!$A$4:$AK$105,35,FALSE)</f>
        <v>0</v>
      </c>
      <c r="G122" s="164">
        <f>VLOOKUP(A122,'Stable systems'!$A$4:$AK$105,36,FALSE)</f>
        <v>0</v>
      </c>
      <c r="H122" s="164">
        <f>VLOOKUP(A122,'Stable systems'!$A$4:$AK$105,37,FALSE)</f>
        <v>297.5</v>
      </c>
      <c r="M122" s="173">
        <f>(C122/100)*E122</f>
        <v>56.213723285729792</v>
      </c>
    </row>
    <row r="123" spans="1:13" x14ac:dyDescent="0.3">
      <c r="A123" s="158" t="s">
        <v>742</v>
      </c>
      <c r="B123" s="158"/>
      <c r="C123" s="248">
        <v>30.128212276627092</v>
      </c>
      <c r="D123" s="6" t="s">
        <v>432</v>
      </c>
      <c r="E123" s="165">
        <v>0</v>
      </c>
      <c r="F123" s="164">
        <f>VLOOKUP(A123,'Stable systems'!$A$4:$AK$105,35,FALSE)</f>
        <v>0</v>
      </c>
      <c r="G123" s="164">
        <f>VLOOKUP(A123,'Stable systems'!$A$4:$AK$105,36,FALSE)</f>
        <v>0</v>
      </c>
      <c r="H123" s="164">
        <f>VLOOKUP(A123,'Stable systems'!$A$4:$AK$105,37,FALSE)</f>
        <v>0</v>
      </c>
      <c r="M123" s="173">
        <f t="shared" ref="M123:M131" si="41">(C123/100)*E123</f>
        <v>0</v>
      </c>
    </row>
    <row r="124" spans="1:13" x14ac:dyDescent="0.3">
      <c r="A124" s="158" t="s">
        <v>743</v>
      </c>
      <c r="B124" s="158"/>
      <c r="C124" s="248">
        <v>0.97641855169903824</v>
      </c>
      <c r="D124" s="6" t="s">
        <v>432</v>
      </c>
      <c r="E124" s="165">
        <v>42.5</v>
      </c>
      <c r="F124" s="164">
        <f>VLOOKUP(A124,'Stable systems'!$A$4:$AK$105,35,FALSE)</f>
        <v>0</v>
      </c>
      <c r="G124" s="164">
        <f>VLOOKUP(A124,'Stable systems'!$A$4:$AK$105,36,FALSE)</f>
        <v>0</v>
      </c>
      <c r="H124" s="164">
        <f>VLOOKUP(A124,'Stable systems'!$A$4:$AK$105,37,FALSE)</f>
        <v>42.5</v>
      </c>
      <c r="M124" s="173">
        <f t="shared" si="41"/>
        <v>0.41497788447209127</v>
      </c>
    </row>
    <row r="125" spans="1:13" x14ac:dyDescent="0.3">
      <c r="A125" s="158" t="s">
        <v>740</v>
      </c>
      <c r="B125" s="158"/>
      <c r="C125" s="248">
        <v>50</v>
      </c>
      <c r="D125" s="6" t="s">
        <v>432</v>
      </c>
      <c r="E125" s="165">
        <v>0</v>
      </c>
      <c r="F125" s="164">
        <f>VLOOKUP(A125,'Stable systems'!$A$4:$AK$105,35,FALSE)</f>
        <v>0</v>
      </c>
      <c r="G125" s="164">
        <f>VLOOKUP(A125,'Stable systems'!$A$4:$AK$105,36,FALSE)</f>
        <v>0</v>
      </c>
      <c r="H125" s="164">
        <f>VLOOKUP(A125,'Stable systems'!$A$4:$AK$105,37,FALSE)</f>
        <v>0</v>
      </c>
      <c r="M125" s="173">
        <f t="shared" si="41"/>
        <v>0</v>
      </c>
    </row>
    <row r="126" spans="1:13" x14ac:dyDescent="0.3">
      <c r="A126" s="158"/>
      <c r="B126" s="158"/>
      <c r="C126" s="248"/>
      <c r="D126" s="6"/>
      <c r="E126" s="165"/>
      <c r="F126" s="164" t="e">
        <f>VLOOKUP(A126,'Stable systems'!$A$4:$AK$105,35,FALSE)</f>
        <v>#N/A</v>
      </c>
      <c r="G126" s="164" t="e">
        <f>VLOOKUP(A126,'Stable systems'!$A$4:$AK$105,36,FALSE)</f>
        <v>#N/A</v>
      </c>
      <c r="H126" s="164" t="e">
        <f>VLOOKUP(A126,'Stable systems'!$A$4:$AK$105,37,FALSE)</f>
        <v>#N/A</v>
      </c>
      <c r="M126" s="173">
        <f t="shared" si="41"/>
        <v>0</v>
      </c>
    </row>
    <row r="127" spans="1:13" x14ac:dyDescent="0.3">
      <c r="A127" s="158"/>
      <c r="B127" s="158"/>
      <c r="C127" s="248"/>
      <c r="D127" s="6"/>
      <c r="E127" s="165"/>
      <c r="F127" s="164" t="e">
        <f>VLOOKUP(A127,'Stable systems'!$A$4:$AK$105,35,FALSE)</f>
        <v>#N/A</v>
      </c>
      <c r="G127" s="164" t="e">
        <f>VLOOKUP(A127,'Stable systems'!$A$4:$AK$105,36,FALSE)</f>
        <v>#N/A</v>
      </c>
      <c r="H127" s="164" t="e">
        <f>VLOOKUP(A127,'Stable systems'!$A$4:$AK$105,37,FALSE)</f>
        <v>#N/A</v>
      </c>
      <c r="M127" s="173">
        <f t="shared" si="41"/>
        <v>0</v>
      </c>
    </row>
    <row r="128" spans="1:13" x14ac:dyDescent="0.3">
      <c r="A128" s="158"/>
      <c r="B128" s="158"/>
      <c r="C128" s="248"/>
      <c r="D128" s="6"/>
      <c r="E128" s="165"/>
      <c r="F128" s="164" t="e">
        <f>VLOOKUP(A128,'Stable systems'!$A$4:$AK$105,35,FALSE)</f>
        <v>#N/A</v>
      </c>
      <c r="G128" s="164" t="e">
        <f>VLOOKUP(A128,'Stable systems'!$A$4:$AK$105,36,FALSE)</f>
        <v>#N/A</v>
      </c>
      <c r="H128" s="164" t="e">
        <f>VLOOKUP(A128,'Stable systems'!$A$4:$AK$105,37,FALSE)</f>
        <v>#N/A</v>
      </c>
      <c r="M128" s="173">
        <f t="shared" si="41"/>
        <v>0</v>
      </c>
    </row>
    <row r="129" spans="1:16" x14ac:dyDescent="0.3">
      <c r="A129" s="158"/>
      <c r="B129" s="158"/>
      <c r="C129" s="248"/>
      <c r="D129" s="6"/>
      <c r="E129" s="165"/>
      <c r="F129" s="164" t="e">
        <f>VLOOKUP(A129,'Stable systems'!$A$4:$AK$105,35,FALSE)</f>
        <v>#N/A</v>
      </c>
      <c r="G129" s="164" t="e">
        <f>VLOOKUP(A129,'Stable systems'!$A$4:$AK$105,36,FALSE)</f>
        <v>#N/A</v>
      </c>
      <c r="H129" s="164" t="e">
        <f>VLOOKUP(A129,'Stable systems'!$A$4:$AK$105,37,FALSE)</f>
        <v>#N/A</v>
      </c>
      <c r="M129" s="173">
        <f t="shared" si="41"/>
        <v>0</v>
      </c>
    </row>
    <row r="130" spans="1:16" x14ac:dyDescent="0.3">
      <c r="A130" s="158"/>
      <c r="B130" s="158"/>
      <c r="C130" s="19"/>
      <c r="D130" s="6"/>
      <c r="E130" s="165"/>
      <c r="F130" s="164" t="e">
        <f>VLOOKUP(A130,'Stable systems'!$A$4:$AK$105,35,FALSE)</f>
        <v>#N/A</v>
      </c>
      <c r="G130" s="164" t="e">
        <f>VLOOKUP(A130,'Stable systems'!$A$4:$AK$105,36,FALSE)</f>
        <v>#N/A</v>
      </c>
      <c r="H130" s="164" t="e">
        <f>VLOOKUP(A130,'Stable systems'!$A$4:$AK$105,37,FALSE)</f>
        <v>#N/A</v>
      </c>
      <c r="M130" s="173">
        <f t="shared" si="41"/>
        <v>0</v>
      </c>
    </row>
    <row r="131" spans="1:16" x14ac:dyDescent="0.3">
      <c r="A131" s="158"/>
      <c r="B131" s="158"/>
      <c r="C131" s="19"/>
      <c r="D131" s="6"/>
      <c r="E131" s="165"/>
      <c r="F131" s="164" t="e">
        <f>VLOOKUP(A131,'Stable systems'!$A$4:$AK$105,35,FALSE)</f>
        <v>#N/A</v>
      </c>
      <c r="G131" s="164" t="e">
        <f>VLOOKUP(A131,'Stable systems'!$A$4:$AK$105,36,FALSE)</f>
        <v>#N/A</v>
      </c>
      <c r="H131" s="164" t="e">
        <f>VLOOKUP(A131,'Stable systems'!$A$4:$AK$105,37,FALSE)</f>
        <v>#N/A</v>
      </c>
      <c r="M131" s="173">
        <f t="shared" si="41"/>
        <v>0</v>
      </c>
    </row>
    <row r="132" spans="1:16" x14ac:dyDescent="0.3">
      <c r="A132" s="158"/>
      <c r="B132" s="158"/>
      <c r="C132" s="19"/>
      <c r="D132" s="6"/>
      <c r="E132" s="165"/>
      <c r="F132" s="164" t="e">
        <f>VLOOKUP(A132,'Stable systems'!$A$4:$AK$105,35,FALSE)</f>
        <v>#N/A</v>
      </c>
      <c r="G132" s="164" t="e">
        <f>VLOOKUP(A132,'Stable systems'!$A$4:$AK$105,36,FALSE)</f>
        <v>#N/A</v>
      </c>
      <c r="H132" s="164" t="e">
        <f>VLOOKUP(A132,'Stable systems'!$A$4:$AK$105,37,FALSE)</f>
        <v>#N/A</v>
      </c>
      <c r="M132" s="173">
        <f>(C132/100)*E132</f>
        <v>0</v>
      </c>
    </row>
    <row r="133" spans="1:16" x14ac:dyDescent="0.3">
      <c r="A133" s="158"/>
      <c r="B133" s="158"/>
      <c r="C133" s="19"/>
      <c r="D133" s="6"/>
      <c r="E133" s="165"/>
      <c r="F133" s="164" t="e">
        <f>VLOOKUP(A133,'Stable systems'!$A$4:$AK$105,35,FALSE)</f>
        <v>#N/A</v>
      </c>
      <c r="G133" s="164" t="e">
        <f>VLOOKUP(A133,'Stable systems'!$A$4:$AK$105,36,FALSE)</f>
        <v>#N/A</v>
      </c>
      <c r="H133" s="164" t="e">
        <f>VLOOKUP(A133,'Stable systems'!$A$4:$AK$105,37,FALSE)</f>
        <v>#N/A</v>
      </c>
      <c r="M133" s="173">
        <f t="shared" ref="M133:M134" si="42">(C133/100)*E133</f>
        <v>0</v>
      </c>
    </row>
    <row r="134" spans="1:16" x14ac:dyDescent="0.3">
      <c r="A134" s="158"/>
      <c r="B134" s="158"/>
      <c r="C134" s="19"/>
      <c r="D134" s="6"/>
      <c r="E134" s="5"/>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41">
        <f>SUM(C122:C134)</f>
        <v>100.00000000000001</v>
      </c>
    </row>
    <row r="138" spans="1:16" x14ac:dyDescent="0.3">
      <c r="B138" s="29"/>
      <c r="C138" s="136"/>
    </row>
    <row r="139" spans="1:16" x14ac:dyDescent="0.3">
      <c r="A139" s="176" t="s">
        <v>260</v>
      </c>
      <c r="B139" s="37" t="s">
        <v>255</v>
      </c>
      <c r="C139" s="37" t="s">
        <v>258</v>
      </c>
      <c r="D139" s="37" t="s">
        <v>257</v>
      </c>
    </row>
    <row r="140" spans="1:16" x14ac:dyDescent="0.3">
      <c r="A140" s="30" t="s">
        <v>261</v>
      </c>
      <c r="B140" s="38" t="s">
        <v>432</v>
      </c>
      <c r="C140" s="4">
        <f>VLOOKUP(B140,Biomass_pool_output_Tech1_modul!$A$3:$G$100,7,FALSE)</f>
        <v>850.96796238432705</v>
      </c>
      <c r="D140" s="177">
        <f>IF(B140="",0,SUMPRODUCT(($D$122:$D$134=B140)*$M$122:$M$134)*((100-$C$136)/100))</f>
        <v>56.628701170201886</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432</v>
      </c>
      <c r="C146" s="5">
        <v>5</v>
      </c>
      <c r="D146" s="5" t="s">
        <v>229</v>
      </c>
      <c r="E146" s="5" t="s">
        <v>17</v>
      </c>
      <c r="F146" s="5">
        <v>100</v>
      </c>
      <c r="K146" s="49">
        <f>IF(B146="",0,((((VLOOKUP(B146,$B$140:$D$143,3,FALSE))/1000)*C146)/(VLOOKUP(B146,$B$140:$C$143,2,FALSE)/1000))*(F146/100))</f>
        <v>0.33273109960293884</v>
      </c>
      <c r="L146" s="49">
        <f>IF(E146="Diesel",VLOOKUP(D146,Other_tables!$L$5:$O$13,2,FALSE)*K146,0)</f>
        <v>6.6546219920587776E-2</v>
      </c>
      <c r="P146" s="30" t="str">
        <f>Other_tables!L5</f>
        <v>Traktor</v>
      </c>
      <c r="Q146" s="44"/>
      <c r="R146" s="103">
        <f t="shared" ref="R146:R154" si="44">SUMPRODUCT(($D$146:$D$149=P146)*$L$146:$L$149)</f>
        <v>6.6546219920587776E-2</v>
      </c>
      <c r="S146" s="114">
        <f t="shared" ref="S146:S154" si="45">IF(P146="","0",SUMPRODUCT(($D$146:$D$149=P146)*$K$146:$K$149))</f>
        <v>0.33273109960293884</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6.6546219920587776E-2</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432</v>
      </c>
      <c r="C159" s="19" t="s">
        <v>169</v>
      </c>
      <c r="D159" s="11"/>
      <c r="E159" s="206">
        <f>IF(C159="","",IF(VLOOKUP(C159,'Diesel consumption for field op'!$B$4:$E$78,3,FALSE)="L / ton",((VLOOKUP(C159,'Diesel consumption for field op'!$B$4:$E$78,2,FALSE)*1.007)*(VLOOKUP(B159,$B$140:$D$143,3,FALSE)/1000)/(VLOOKUP(B159,$B$140:$C$143,2,FALSE)/1000)),0))</f>
        <v>3.350602173001594E-2</v>
      </c>
    </row>
    <row r="160" spans="1:20" x14ac:dyDescent="0.3">
      <c r="A160" s="18" t="s">
        <v>87</v>
      </c>
      <c r="B160" s="38" t="s">
        <v>432</v>
      </c>
      <c r="C160" s="19" t="s">
        <v>219</v>
      </c>
      <c r="D160" s="11"/>
      <c r="E160" s="206">
        <f>IF(C160="","",IF(VLOOKUP(C160,'Diesel consumption for field op'!$B$4:$E$78,3,FALSE)="L / ton",((VLOOKUP(C160,'Diesel consumption for field op'!$B$4:$E$78,2,FALSE)*1.007)*(VLOOKUP(B160,$B$140:$D$143,3,FALSE)/1000)/(VLOOKUP(B160,$B$140:$C$143,2,FALSE)/1000)),0))</f>
        <v>0.13402408692006376</v>
      </c>
    </row>
    <row r="161" spans="1:20" x14ac:dyDescent="0.3">
      <c r="A161" s="18" t="s">
        <v>88</v>
      </c>
      <c r="B161" s="38" t="s">
        <v>432</v>
      </c>
      <c r="C161" s="19" t="s">
        <v>173</v>
      </c>
      <c r="D161" s="11"/>
      <c r="E161" s="206">
        <f>IF(C161="","",IF(VLOOKUP(C161,'Diesel consumption for field op'!$B$4:$E$78,3,FALSE)="L / ton",((VLOOKUP(C161,'Diesel consumption for field op'!$B$4:$E$78,2,FALSE)*1.007)*(VLOOKUP(B161,$B$140:$D$143,3,FALSE)/1000)/(VLOOKUP(B161,$B$140:$C$143,2,FALSE)/1000)),0))</f>
        <v>3.350602173001594E-2</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0.20103613038009563</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cm="1">
        <f t="array" ref="R171">SUMPRODUCT(($P$68:$P$76=P171)*$R$68:$R$76)+SUMPRODUCT(($P$146:$P$154=P171)*$R$146:$R$154)</f>
        <v>0.6958719341867089</v>
      </c>
      <c r="S171" s="179"/>
      <c r="T171" s="103">
        <f t="shared" ref="T171:T179" si="46">SUMPRODUCT(($P$68:$P$76=P171)*$T$68:$T$76)+SUMPRODUCT(($P$146:$P$154=P171)*$T$146:$T$154)</f>
        <v>0</v>
      </c>
    </row>
    <row r="172" spans="1:20" x14ac:dyDescent="0.3">
      <c r="A172" s="25"/>
      <c r="B172" s="138"/>
      <c r="C172" s="138"/>
      <c r="P172" s="30" t="s">
        <v>225</v>
      </c>
      <c r="Q172" s="44"/>
      <c r="R172" s="103">
        <f t="shared" ref="R172:R179" si="47">SUMPRODUCT(($P$68:$P$76=P172)*$R$68:$R$76)+SUMPRODUCT(($P$146:$P$154=P172)*$R$146:$R$154)</f>
        <v>0</v>
      </c>
      <c r="S172" s="179"/>
      <c r="T172" s="103">
        <f t="shared" si="46"/>
        <v>3.3043682449256533</v>
      </c>
    </row>
    <row r="173" spans="1:20" x14ac:dyDescent="0.3">
      <c r="A173" s="25"/>
      <c r="B173" s="138"/>
      <c r="C173" s="138"/>
      <c r="P173" s="30" t="s">
        <v>226</v>
      </c>
      <c r="Q173" s="44"/>
      <c r="R173" s="103">
        <f t="shared" si="47"/>
        <v>0</v>
      </c>
      <c r="S173" s="179"/>
      <c r="T173" s="103">
        <f t="shared" si="46"/>
        <v>21.259881279338103</v>
      </c>
    </row>
    <row r="174" spans="1:20" x14ac:dyDescent="0.3">
      <c r="A174" s="25"/>
      <c r="B174" s="138"/>
      <c r="C174" s="138"/>
      <c r="P174" s="30" t="s">
        <v>267</v>
      </c>
      <c r="Q174" s="44"/>
      <c r="R174" s="103">
        <f t="shared" si="47"/>
        <v>0</v>
      </c>
      <c r="S174" s="179"/>
      <c r="T174" s="103">
        <f t="shared" si="46"/>
        <v>0</v>
      </c>
    </row>
    <row r="175" spans="1:20" x14ac:dyDescent="0.3">
      <c r="A175" s="25"/>
      <c r="B175" s="24"/>
      <c r="P175" s="30" t="s">
        <v>268</v>
      </c>
      <c r="Q175" s="44"/>
      <c r="R175" s="103">
        <f t="shared" si="47"/>
        <v>0</v>
      </c>
      <c r="S175" s="179"/>
      <c r="T175" s="103">
        <f t="shared" si="46"/>
        <v>0</v>
      </c>
    </row>
    <row r="176" spans="1:20" x14ac:dyDescent="0.3">
      <c r="G176" s="181" t="s">
        <v>101</v>
      </c>
      <c r="H176" s="181" t="s">
        <v>102</v>
      </c>
      <c r="I176" s="181" t="s">
        <v>103</v>
      </c>
      <c r="J176" s="182" t="s">
        <v>129</v>
      </c>
      <c r="P176" s="30" t="s">
        <v>269</v>
      </c>
      <c r="Q176" s="44"/>
      <c r="R176" s="103">
        <f t="shared" si="47"/>
        <v>0</v>
      </c>
      <c r="S176" s="179"/>
      <c r="T176" s="103">
        <f t="shared" si="46"/>
        <v>0</v>
      </c>
    </row>
    <row r="177" spans="1:20" x14ac:dyDescent="0.3">
      <c r="F177" s="183" t="s">
        <v>279</v>
      </c>
      <c r="G177" s="81">
        <f>B65+R106+C156</f>
        <v>0</v>
      </c>
      <c r="H177" s="81">
        <f>AC31+C65+R93+S106+D118+D156+D168</f>
        <v>99.485185185185188</v>
      </c>
      <c r="I177" s="81">
        <f>AB31+R77+D65+S93+T106+E118+R155+E156+E168</f>
        <v>10.691052278302708</v>
      </c>
      <c r="J177" s="114">
        <f>AD31+T77+T155</f>
        <v>24.564249524263758</v>
      </c>
      <c r="P177" s="30" t="s">
        <v>270</v>
      </c>
      <c r="Q177" s="44"/>
      <c r="R177" s="103">
        <f t="shared" si="47"/>
        <v>0</v>
      </c>
      <c r="S177" s="179"/>
      <c r="T177" s="103">
        <f t="shared" si="46"/>
        <v>0</v>
      </c>
    </row>
    <row r="178" spans="1:20" x14ac:dyDescent="0.3">
      <c r="P178" s="30" t="s">
        <v>271</v>
      </c>
      <c r="Q178" s="44"/>
      <c r="R178" s="103">
        <f t="shared" si="47"/>
        <v>0</v>
      </c>
      <c r="S178" s="179"/>
      <c r="T178" s="103">
        <f t="shared" si="46"/>
        <v>0</v>
      </c>
    </row>
    <row r="179" spans="1:20" x14ac:dyDescent="0.3">
      <c r="P179" s="30">
        <v>0</v>
      </c>
      <c r="Q179" s="44"/>
      <c r="R179" s="103">
        <f t="shared" si="47"/>
        <v>0</v>
      </c>
      <c r="S179" s="179"/>
      <c r="T179" s="103">
        <f t="shared" si="46"/>
        <v>0</v>
      </c>
    </row>
    <row r="180" spans="1:20" x14ac:dyDescent="0.3">
      <c r="E180" t="s">
        <v>705</v>
      </c>
      <c r="F180" t="s">
        <v>706</v>
      </c>
      <c r="P180" s="59" t="s">
        <v>56</v>
      </c>
      <c r="R180" s="178">
        <f>SUM(R171:R179)</f>
        <v>0.6958719341867089</v>
      </c>
      <c r="S180" s="47"/>
      <c r="T180" s="178">
        <f>SUM(T171:T179)</f>
        <v>24.564249524263758</v>
      </c>
    </row>
    <row r="181" spans="1:20" x14ac:dyDescent="0.3">
      <c r="A181" t="s">
        <v>702</v>
      </c>
      <c r="B181">
        <v>1820</v>
      </c>
      <c r="C181" t="s">
        <v>43</v>
      </c>
      <c r="D181">
        <f>B181*0.85</f>
        <v>1547</v>
      </c>
      <c r="E181" s="154">
        <f>D181/$D$185*100</f>
        <v>82.471737460212935</v>
      </c>
      <c r="F181" s="110">
        <f>E181/100*1468</f>
        <v>1210.685105915926</v>
      </c>
    </row>
    <row r="182" spans="1:20" x14ac:dyDescent="0.3">
      <c r="A182" t="s">
        <v>703</v>
      </c>
      <c r="B182">
        <v>110</v>
      </c>
      <c r="C182" t="s">
        <v>43</v>
      </c>
      <c r="D182">
        <f t="shared" ref="D182" si="48">B182*0.85</f>
        <v>93.5</v>
      </c>
      <c r="E182" s="154">
        <f t="shared" ref="E182:E183" si="49">D182/$D$185*100</f>
        <v>4.9845555607821002</v>
      </c>
      <c r="F182" s="110">
        <f t="shared" ref="F182:F183" si="50">E182/100*1468</f>
        <v>73.173275632281232</v>
      </c>
    </row>
    <row r="183" spans="1:20" x14ac:dyDescent="0.3">
      <c r="A183" t="s">
        <v>704</v>
      </c>
      <c r="B183">
        <v>200</v>
      </c>
      <c r="C183" t="s">
        <v>701</v>
      </c>
      <c r="D183" s="154">
        <f>B183/0.85</f>
        <v>235.29411764705884</v>
      </c>
      <c r="E183" s="154">
        <f t="shared" si="49"/>
        <v>12.54370697900497</v>
      </c>
      <c r="F183" s="110">
        <f t="shared" si="50"/>
        <v>184.14161845179297</v>
      </c>
    </row>
    <row r="185" spans="1:20" x14ac:dyDescent="0.3">
      <c r="A185" t="s">
        <v>678</v>
      </c>
      <c r="D185" s="154">
        <f>SUM(D181:D184)</f>
        <v>1875.7941176470588</v>
      </c>
      <c r="E185" s="154">
        <f t="shared" ref="E185:F185" si="51">SUM(E181:E184)</f>
        <v>100</v>
      </c>
      <c r="F185" s="154">
        <f t="shared" si="51"/>
        <v>1468.0000000000002</v>
      </c>
    </row>
    <row r="223" spans="1:1" x14ac:dyDescent="0.3">
      <c r="A223" t="s">
        <v>232</v>
      </c>
    </row>
  </sheetData>
  <mergeCells count="23">
    <mergeCell ref="T34:X34"/>
    <mergeCell ref="AO22:AP22"/>
    <mergeCell ref="AQ22:AT22"/>
    <mergeCell ref="AU22:AZ22"/>
    <mergeCell ref="BA22:BC22"/>
    <mergeCell ref="BD22:BF22"/>
    <mergeCell ref="BG22:BH22"/>
    <mergeCell ref="A7:A9"/>
    <mergeCell ref="B7:C9"/>
    <mergeCell ref="E10:F10"/>
    <mergeCell ref="S10:Y10"/>
    <mergeCell ref="AO21:BH21"/>
    <mergeCell ref="E22:G22"/>
    <mergeCell ref="H22:I22"/>
    <mergeCell ref="K22:P22"/>
    <mergeCell ref="S22:Y22"/>
    <mergeCell ref="AB22:AD22"/>
    <mergeCell ref="B6:C6"/>
    <mergeCell ref="B3:C3"/>
    <mergeCell ref="F3:G3"/>
    <mergeCell ref="B4:C4"/>
    <mergeCell ref="I4:J4"/>
    <mergeCell ref="B5:C5"/>
  </mergeCells>
  <dataValidations count="3">
    <dataValidation type="list" allowBlank="1" showInputMessage="1" showErrorMessage="1" sqref="B146:B149 B152:B155 B159:B167" xr:uid="{DAF55418-B75C-4FA5-82E1-451EE494B6A9}">
      <formula1>$B$140:$B$143</formula1>
    </dataValidation>
    <dataValidation type="list" allowBlank="1" showInputMessage="1" showErrorMessage="1" sqref="B97:B105 B82 B144:B145" xr:uid="{4ED18E1F-B81F-477B-B0A9-7DC31D5C4603}">
      <formula1>$B$24:$B$30</formula1>
    </dataValidation>
    <dataValidation type="list" allowBlank="1" showInputMessage="1" showErrorMessage="1" sqref="B109:B117 B84:B92 B68:B81" xr:uid="{E450C3D1-B876-4153-9026-7EB8F907917A}">
      <formula1>$AF$3:$AF$51</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615EA5EE-78EF-4F36-BA23-E6620E668D69}">
          <x14:formula1>
            <xm:f>'Processed products'!$AJ$5:$AJ$250</xm:f>
          </x14:formula1>
          <xm:sqref>B45:B49</xm:sqref>
        </x14:dataValidation>
        <x14:dataValidation type="list" allowBlank="1" showInputMessage="1" showErrorMessage="1" xr:uid="{BFBEB9F2-7753-4207-83BF-D7A16078C2A2}">
          <x14:formula1>
            <xm:f>'Processed products'!$AJ$5:$AJ$104</xm:f>
          </x14:formula1>
          <xm:sqref>A136</xm:sqref>
        </x14:dataValidation>
        <x14:dataValidation type="list" allowBlank="1" showInputMessage="1" showErrorMessage="1" xr:uid="{1F255FC6-4C87-4500-804F-D8E302E7D8DE}">
          <x14:formula1>
            <xm:f>'Processed products'!$C$5:$C$104</xm:f>
          </x14:formula1>
          <xm:sqref>D4</xm:sqref>
        </x14:dataValidation>
        <x14:dataValidation type="list" allowBlank="1" showInputMessage="1" showErrorMessage="1" xr:uid="{24A1CE30-CA88-4F67-B58E-77870C0A861D}">
          <x14:formula1>
            <xm:f>'Respiration and enteric gas los'!$M$4:$M$35</xm:f>
          </x14:formula1>
          <xm:sqref>B55</xm:sqref>
        </x14:dataValidation>
        <x14:dataValidation type="list" allowBlank="1" showInputMessage="1" showErrorMessage="1" xr:uid="{584F88E1-A808-498A-A56D-E7E172C5B7F1}">
          <x14:formula1>
            <xm:f>'Respiration and enteric gas los'!$A$4:$A$35</xm:f>
          </x14:formula1>
          <xm:sqref>B54</xm:sqref>
        </x14:dataValidation>
        <x14:dataValidation type="list" allowBlank="1" showInputMessage="1" showErrorMessage="1" xr:uid="{8D4680CC-37CA-4212-88FD-3A7B546CA7F6}">
          <x14:formula1>
            <xm:f>Other_tables!$Q$5:$Q$6</xm:f>
          </x14:formula1>
          <xm:sqref>E146:E149 E68:E82</xm:sqref>
        </x14:dataValidation>
        <x14:dataValidation type="list" allowBlank="1" showInputMessage="1" showErrorMessage="1" xr:uid="{118B6EC7-18F8-4154-8CA2-508226B3C841}">
          <x14:formula1>
            <xm:f>Other_tables!$L$5:$L$13</xm:f>
          </x14:formula1>
          <xm:sqref>D146:D149 D68:D82</xm:sqref>
        </x14:dataValidation>
        <x14:dataValidation type="list" allowBlank="1" showInputMessage="1" showErrorMessage="1" xr:uid="{93EC22FE-8CC4-45A1-8565-333F6D9E2A17}">
          <x14:formula1>
            <xm:f>Biomass_pool_output_Tech1_modul!$A$3:$A$100</xm:f>
          </x14:formula1>
          <xm:sqref>B12:B16 B140:B143 F24:F30 E12:E18 D122:D135</xm:sqref>
        </x14:dataValidation>
        <x14:dataValidation type="list" allowBlank="1" showInputMessage="1" showErrorMessage="1" xr:uid="{A8D2F486-F527-4038-92F6-C57784AB4099}">
          <x14:formula1>
            <xm:f>Other_tables!$A$5:$A$50</xm:f>
          </x14:formula1>
          <xm:sqref>C19 C33</xm:sqref>
        </x14:dataValidation>
        <x14:dataValidation type="list" allowBlank="1" showInputMessage="1" showErrorMessage="1" xr:uid="{99C723D7-456A-42A1-8364-590A08562989}">
          <x14:formula1>
            <xm:f>'Processed products'!$B$5:$B$104</xm:f>
          </x14:formula1>
          <xm:sqref>B35:B42 L35:M37</xm:sqref>
        </x14:dataValidation>
        <x14:dataValidation type="list" allowBlank="1" showInputMessage="1" showErrorMessage="1" xr:uid="{B5A9E290-F494-4C39-B6D4-5692BE005091}">
          <x14:formula1>
            <xm:f>Other_tables!$S$5:$S$22</xm:f>
          </x14:formula1>
          <xm:sqref>C84:C92</xm:sqref>
        </x14:dataValidation>
        <x14:dataValidation type="list" allowBlank="1" showInputMessage="1" showErrorMessage="1" xr:uid="{08906C73-4D44-4CF3-8EF2-D266BAFDC35C}">
          <x14:formula1>
            <xm:f>'Diesel consumption for field op'!$B$4:$B$78</xm:f>
          </x14:formula1>
          <xm:sqref>C109:C117 C159:C167</xm:sqref>
        </x14:dataValidation>
        <x14:dataValidation type="list" allowBlank="1" showInputMessage="1" showErrorMessage="1" xr:uid="{6F5348C8-4414-4D96-BF1F-5034DB51F9A4}">
          <x14:formula1>
            <xm:f>Other_tables!$G$5:$G$12</xm:f>
          </x14:formula1>
          <xm:sqref>C54:C58 C172:C174</xm:sqref>
        </x14:dataValidation>
        <x14:dataValidation type="list" allowBlank="1" showInputMessage="1" showErrorMessage="1" xr:uid="{D0B2A259-8BD8-427A-B549-1690D8E3CD5E}">
          <x14:formula1>
            <xm:f>Converted_feedstuff!$C$5:$C$54</xm:f>
          </x14:formula1>
          <xm:sqref>B24:B30 E24:E30</xm:sqref>
        </x14:dataValidation>
        <x14:dataValidation type="list" allowBlank="1" showInputMessage="1" showErrorMessage="1" xr:uid="{E277A62B-DAB0-468D-B619-ED0E31FAB393}">
          <x14:formula1>
            <xm:f>'Imported products'!$B$5:$B$54</xm:f>
          </x14:formula1>
          <xm:sqref>F12:F18 B17:B18 G24:G30</xm:sqref>
        </x14:dataValidation>
        <x14:dataValidation type="list" allowBlank="1" showInputMessage="1" showErrorMessage="1" xr:uid="{A5B2CBC2-8106-410E-ABF1-C17E2315A866}">
          <x14:formula1>
            <xm:f>'Stable systems'!$A$4:$A$105</xm:f>
          </x14:formula1>
          <xm:sqref>A122:A134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BO241"/>
  <sheetViews>
    <sheetView workbookViewId="0">
      <selection activeCell="E201" sqref="E201"/>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2" bestFit="1" customWidth="1"/>
    <col min="13" max="13" width="31.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Protein_2_conv</v>
      </c>
    </row>
    <row r="4" spans="1:36" x14ac:dyDescent="0.3">
      <c r="A4" s="15" t="s">
        <v>31</v>
      </c>
      <c r="B4" s="299">
        <v>1011</v>
      </c>
      <c r="C4" s="299"/>
      <c r="D4" s="5" t="s">
        <v>490</v>
      </c>
      <c r="F4" s="150" t="s">
        <v>223</v>
      </c>
      <c r="G4" s="149">
        <v>15</v>
      </c>
      <c r="I4" s="302" t="s">
        <v>158</v>
      </c>
      <c r="J4" s="303"/>
      <c r="K4" s="128"/>
      <c r="L4" s="134" t="s">
        <v>207</v>
      </c>
      <c r="AF4" s="144" t="str">
        <f t="shared" ref="AF4:AF9" si="0">IF(B13="","",B13)</f>
        <v/>
      </c>
    </row>
    <row r="5" spans="1:36" x14ac:dyDescent="0.3">
      <c r="A5" s="15" t="s">
        <v>32</v>
      </c>
      <c r="B5" s="299" t="s">
        <v>372</v>
      </c>
      <c r="C5" s="299"/>
      <c r="D5" s="17" t="s">
        <v>627</v>
      </c>
      <c r="E5" t="s">
        <v>186</v>
      </c>
      <c r="F5" s="150" t="s">
        <v>224</v>
      </c>
      <c r="G5" s="149">
        <v>17</v>
      </c>
      <c r="I5" s="86" t="s">
        <v>159</v>
      </c>
      <c r="J5" s="5"/>
      <c r="L5" s="90">
        <v>3.14</v>
      </c>
      <c r="AF5" s="144" t="str">
        <f t="shared" si="0"/>
        <v>Straw_seed_grass_conv</v>
      </c>
    </row>
    <row r="6" spans="1:36" x14ac:dyDescent="0.3">
      <c r="A6" s="15" t="s">
        <v>3</v>
      </c>
      <c r="B6" s="299" t="s">
        <v>373</v>
      </c>
      <c r="C6" s="299"/>
      <c r="D6" s="5">
        <v>1.093</v>
      </c>
      <c r="F6" s="151" t="s">
        <v>147</v>
      </c>
      <c r="G6" s="88">
        <f>(Y32/D32)*100</f>
        <v>14.868104781549219</v>
      </c>
      <c r="I6" s="86" t="s">
        <v>160</v>
      </c>
      <c r="J6" s="5"/>
      <c r="L6" s="129"/>
      <c r="AF6" s="144" t="str">
        <f t="shared" si="0"/>
        <v>Grain_conv</v>
      </c>
    </row>
    <row r="7" spans="1:36" ht="14.7" customHeight="1" x14ac:dyDescent="0.3">
      <c r="A7" s="295" t="s">
        <v>55</v>
      </c>
      <c r="B7" s="296" t="s">
        <v>581</v>
      </c>
      <c r="C7" s="296"/>
      <c r="D7" s="42"/>
      <c r="F7" s="152" t="s">
        <v>187</v>
      </c>
      <c r="G7" s="209">
        <v>930</v>
      </c>
      <c r="I7" s="86" t="s">
        <v>161</v>
      </c>
      <c r="J7" s="5"/>
      <c r="L7" s="131" t="s">
        <v>198</v>
      </c>
      <c r="AF7" s="144" t="str">
        <f t="shared" si="0"/>
        <v>Straw_conv</v>
      </c>
    </row>
    <row r="8" spans="1:36" ht="15" thickBot="1" x14ac:dyDescent="0.35">
      <c r="A8" s="295"/>
      <c r="B8" s="296"/>
      <c r="C8" s="296"/>
      <c r="D8" s="47"/>
      <c r="F8" s="153" t="s">
        <v>197</v>
      </c>
      <c r="G8" s="102">
        <v>1933</v>
      </c>
      <c r="H8" t="s">
        <v>447</v>
      </c>
      <c r="I8" s="86" t="s">
        <v>162</v>
      </c>
      <c r="J8" s="80">
        <f>(383 *J6 + 242 *J7 + 783.2) *J5 / 3140</f>
        <v>0</v>
      </c>
      <c r="L8" s="90">
        <v>6.38</v>
      </c>
      <c r="AF8" s="144" t="str">
        <f t="shared" si="0"/>
        <v>Skim_milk_powder_imp_conv</v>
      </c>
    </row>
    <row r="9" spans="1:36" ht="30" customHeight="1" x14ac:dyDescent="0.3">
      <c r="A9" s="295"/>
      <c r="B9" s="296"/>
      <c r="C9" s="296"/>
      <c r="I9" s="130"/>
      <c r="L9" s="129"/>
      <c r="AF9" s="144" t="str">
        <f t="shared" si="0"/>
        <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285</v>
      </c>
      <c r="C12" s="217" t="s">
        <v>43</v>
      </c>
      <c r="D12" s="227">
        <v>500</v>
      </c>
      <c r="E12" s="218"/>
      <c r="F12" s="218" t="s">
        <v>209</v>
      </c>
      <c r="G12" s="219">
        <v>0</v>
      </c>
      <c r="I12" s="87" t="s">
        <v>201</v>
      </c>
      <c r="J12" s="107">
        <v>1.54</v>
      </c>
      <c r="K12" s="107">
        <v>1.58</v>
      </c>
      <c r="L12" s="102">
        <v>1.58</v>
      </c>
      <c r="R12" s="51">
        <f>(IF($T12=0,"0",VLOOKUP($B12,Biomass_pool_output_Tech1_modul!$A$3:$G$100,7,FALSE)))</f>
        <v>879.383109851227</v>
      </c>
      <c r="S12" s="44"/>
      <c r="T12" s="34">
        <f>IF($B12="","0",(VLOOKUP($B12,Biomass_pool_output_Tech1_modul!$A$3:$F$100,2,FALSE)*($D12)/1000))</f>
        <v>225</v>
      </c>
      <c r="U12" s="34">
        <f>IF($B12="","0",(VLOOKUP($B12,Biomass_pool_output_Tech1_modul!$A$3:$F$100,3,FALSE)*($D12)/1000))</f>
        <v>23.972463572909795</v>
      </c>
      <c r="V12" s="34">
        <f>IF($B12="","0",(VLOOKUP($B12,Biomass_pool_output_Tech1_modul!$A$3:$F$100,4,FALSE)*($D12)/1000))</f>
        <v>5.64227950374495</v>
      </c>
      <c r="W12" s="34">
        <f>IF($B12="","0",(VLOOKUP($B12,Biomass_pool_output_Tech1_modul!$A$3:$F$100,5,FALSE)*($D12)/1000))</f>
        <v>7.8087124173424503</v>
      </c>
      <c r="X12" s="34">
        <f>IF($B12="","0",(VLOOKUP($B12,Biomass_pool_output_Tech1_modul!$A$3:$F$100,6,FALSE)*$D12))</f>
        <v>10821.078815394851</v>
      </c>
      <c r="Y12" s="34">
        <f>U12*6.25</f>
        <v>149.82789733068623</v>
      </c>
      <c r="AA12" s="53"/>
      <c r="AB12" s="53"/>
      <c r="AC12" s="53"/>
      <c r="AD12" s="53"/>
      <c r="AF12" s="144" t="str">
        <f t="shared" si="1"/>
        <v>Grain_conv</v>
      </c>
      <c r="AG12" s="53"/>
      <c r="AH12" s="53"/>
      <c r="AI12" s="53"/>
      <c r="AJ12" s="53"/>
    </row>
    <row r="13" spans="1:36" x14ac:dyDescent="0.3">
      <c r="A13" s="211" t="s">
        <v>318</v>
      </c>
      <c r="B13" s="212"/>
      <c r="C13" s="213" t="s">
        <v>43</v>
      </c>
      <c r="D13" s="228"/>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t="s">
        <v>446</v>
      </c>
      <c r="C14" s="222" t="s">
        <v>43</v>
      </c>
      <c r="D14" s="229">
        <v>15</v>
      </c>
      <c r="E14" s="223" t="s">
        <v>408</v>
      </c>
      <c r="F14" s="224" t="s">
        <v>344</v>
      </c>
      <c r="G14" s="154"/>
      <c r="I14" s="203"/>
      <c r="J14" s="203"/>
      <c r="K14" s="203"/>
      <c r="R14" s="51">
        <f>(IF($T14=0,"0",VLOOKUP($B14,Biomass_pool_output_Tech1_modul!$A$3:$G$100,7,FALSE)))</f>
        <v>850</v>
      </c>
      <c r="S14" s="44"/>
      <c r="T14" s="34">
        <f>IF($B14="","0",(VLOOKUP($B14,Biomass_pool_output_Tech1_modul!$A$3:$F$100,2,FALSE)*($D14)/1000))</f>
        <v>6.75</v>
      </c>
      <c r="U14" s="34">
        <f>IF($B14="","0",(VLOOKUP($B14,Biomass_pool_output_Tech1_modul!$A$3:$F$100,3,FALSE)*($D14)/1000))</f>
        <v>0.1608</v>
      </c>
      <c r="V14" s="34">
        <f>IF($B14="","0",(VLOOKUP($B14,Biomass_pool_output_Tech1_modul!$A$3:$F$100,4,FALSE)*($D14)/1000))</f>
        <v>1.6500000000000001E-2</v>
      </c>
      <c r="W14" s="34">
        <f>IF($B14="","0",(VLOOKUP($B14,Biomass_pool_output_Tech1_modul!$A$3:$F$100,5,FALSE)*($D14)/1000))</f>
        <v>0.22500000000000001</v>
      </c>
      <c r="X14" s="34">
        <f>IF($B14="","0",(VLOOKUP($B14,Biomass_pool_output_Tech1_modul!$A$3:$F$100,6,FALSE)*$D14))</f>
        <v>270</v>
      </c>
      <c r="Y14" s="34">
        <f t="shared" si="2"/>
        <v>1.0049999999999999</v>
      </c>
      <c r="AA14" s="53"/>
      <c r="AB14" s="53"/>
      <c r="AC14" s="53"/>
      <c r="AD14" s="53"/>
      <c r="AF14" s="144" t="str">
        <f t="shared" si="1"/>
        <v/>
      </c>
      <c r="AG14" s="53"/>
      <c r="AH14" s="53"/>
      <c r="AI14" s="53"/>
      <c r="AJ14" s="53"/>
    </row>
    <row r="15" spans="1:36" ht="15" thickBot="1" x14ac:dyDescent="0.35">
      <c r="A15" s="215" t="s">
        <v>313</v>
      </c>
      <c r="B15" s="216" t="s">
        <v>408</v>
      </c>
      <c r="C15" s="217" t="s">
        <v>43</v>
      </c>
      <c r="D15" s="227">
        <v>430</v>
      </c>
      <c r="E15" s="218"/>
      <c r="F15" s="226" t="s">
        <v>344</v>
      </c>
      <c r="G15" s="219"/>
      <c r="R15" s="51">
        <f>(IF($T15=0,"0",VLOOKUP($B15,Biomass_pool_output_Tech1_modul!$A$3:$G$100,7,FALSE)))</f>
        <v>850.51110268835396</v>
      </c>
      <c r="S15" s="44"/>
      <c r="T15" s="34">
        <f>IF($B15="","0",(VLOOKUP($B15,Biomass_pool_output_Tech1_modul!$A$3:$F$100,2,FALSE)*($D15)/1000))</f>
        <v>193.5</v>
      </c>
      <c r="U15" s="34">
        <f>IF($B15="","0",(VLOOKUP($B15,Biomass_pool_output_Tech1_modul!$A$3:$F$100,3,FALSE)*($D15)/1000))</f>
        <v>7.2083294275379544</v>
      </c>
      <c r="V15" s="34">
        <f>IF($B15="","0",(VLOOKUP($B15,Biomass_pool_output_Tech1_modul!$A$3:$F$100,4,FALSE)*($D15)/1000))</f>
        <v>1.3344227342088466</v>
      </c>
      <c r="W15" s="34">
        <f>IF($B15="","0",(VLOOKUP($B15,Biomass_pool_output_Tech1_modul!$A$3:$F$100,5,FALSE)*($D15)/1000))</f>
        <v>2.0965159343216611</v>
      </c>
      <c r="X15" s="34">
        <f>IF($B15="","0",(VLOOKUP($B15,Biomass_pool_output_Tech1_modul!$A$3:$F$100,6,FALSE)*$D15))</f>
        <v>8271.0031616248671</v>
      </c>
      <c r="Y15" s="34">
        <f t="shared" si="2"/>
        <v>45.052058922112217</v>
      </c>
      <c r="AA15" s="53"/>
      <c r="AB15" s="53"/>
      <c r="AC15" s="53"/>
      <c r="AD15" s="53"/>
      <c r="AF15" s="144" t="str">
        <f t="shared" si="1"/>
        <v/>
      </c>
      <c r="AG15" s="53"/>
      <c r="AH15" s="53"/>
      <c r="AI15" s="53"/>
      <c r="AJ15" s="53"/>
    </row>
    <row r="16" spans="1:36" x14ac:dyDescent="0.3">
      <c r="A16" s="211" t="s">
        <v>107</v>
      </c>
      <c r="B16" s="212" t="s">
        <v>409</v>
      </c>
      <c r="C16" s="213" t="s">
        <v>43</v>
      </c>
      <c r="D16" s="228">
        <v>65</v>
      </c>
      <c r="E16" s="214"/>
      <c r="F16" s="225"/>
      <c r="R16" s="51">
        <f>(IF($T16=0,"0",VLOOKUP($B16,Biomass_pool_output_Tech1_modul!$A$3:$G$100,7,FALSE)))</f>
        <v>850.05419244301197</v>
      </c>
      <c r="S16" s="44"/>
      <c r="T16" s="34">
        <f>IF($B16="","0",(VLOOKUP($B16,Biomass_pool_output_Tech1_modul!$A$3:$F$100,2,FALSE)*($D16)/1000))</f>
        <v>29.25</v>
      </c>
      <c r="U16" s="34">
        <f>IF($B16="","0",(VLOOKUP($B16,Biomass_pool_output_Tech1_modul!$A$3:$F$100,3,FALSE)*($D16)/1000))</f>
        <v>0.42361673294534358</v>
      </c>
      <c r="V16" s="34">
        <f>IF($B16="","0",(VLOOKUP($B16,Biomass_pool_output_Tech1_modul!$A$3:$F$100,4,FALSE)*($D16)/1000))</f>
        <v>5.8509266920290223E-2</v>
      </c>
      <c r="W16" s="34">
        <f>IF($B16="","0",(VLOOKUP($B16,Biomass_pool_output_Tech1_modul!$A$3:$F$100,5,FALSE)*($D16)/1000))</f>
        <v>1.0597834470348255</v>
      </c>
      <c r="X16" s="34">
        <f>IF($B16="","0",(VLOOKUP($B16,Biomass_pool_output_Tech1_modul!$A$3:$F$100,6,FALSE)*$D16))</f>
        <v>1185.447881392372</v>
      </c>
      <c r="Y16" s="34">
        <f t="shared" si="2"/>
        <v>2.6476045809083972</v>
      </c>
      <c r="AA16" s="120"/>
      <c r="AB16" s="120"/>
      <c r="AC16" s="120"/>
      <c r="AD16" s="120"/>
      <c r="AE16" s="120"/>
      <c r="AF16" s="144" t="str">
        <f t="shared" si="1"/>
        <v/>
      </c>
      <c r="AG16" s="120"/>
      <c r="AH16" s="120"/>
      <c r="AI16" s="121"/>
      <c r="AJ16" s="121"/>
    </row>
    <row r="17" spans="1:65" x14ac:dyDescent="0.3">
      <c r="A17" s="18" t="s">
        <v>420</v>
      </c>
      <c r="B17" s="19" t="s">
        <v>421</v>
      </c>
      <c r="C17" s="28" t="s">
        <v>43</v>
      </c>
      <c r="D17" s="230">
        <v>44</v>
      </c>
      <c r="E17" s="5"/>
      <c r="F17" s="126"/>
      <c r="R17" s="51">
        <f>(IF(B17="",0,VLOOKUP($B17,'Imported products'!$B$5:$O$54,5,FALSE)))</f>
        <v>960</v>
      </c>
      <c r="S17" s="44"/>
      <c r="T17" s="34">
        <f>IF($B17="","0",(VLOOKUP($B17,'Imported products'!$B$5:$O$54,9,FALSE)*($D17)/1000))</f>
        <v>19.8</v>
      </c>
      <c r="U17" s="34">
        <f>IF($B17="","0",(VLOOKUP($B17,'Imported products'!$B$5:$O$54,10,FALSE)*($D17)/1000))</f>
        <v>2.5448275862068961</v>
      </c>
      <c r="V17" s="34">
        <f>IF($B17="","0",(VLOOKUP($B17,'Imported products'!$B$5:$O$54,11,FALSE)*($D17)/1000))</f>
        <v>0.44879999999999998</v>
      </c>
      <c r="W17" s="34">
        <f>IF($B17="","0",(VLOOKUP($B17,'Imported products'!$B$5:$O$54,12,FALSE)*($D17)/1000))</f>
        <v>0.61599999999999999</v>
      </c>
      <c r="X17" s="34">
        <f>IF($B17="","0",(VLOOKUP($B17,'Imported products'!$B$5:$O$54,13,FALSE)*($D17)/1000))</f>
        <v>0.84040000000000004</v>
      </c>
      <c r="Y17" s="34">
        <f>IF($B17="","0",(VLOOKUP($B17,'Imported products'!$B$5:$O$54,14,FALSE)*($D17)/1000))</f>
        <v>16.236000000000001</v>
      </c>
      <c r="AA17" s="110"/>
      <c r="AF17" s="144" t="str">
        <f>IF(F12="","",F12)</f>
        <v>Rapskage_imp_conv</v>
      </c>
      <c r="AH17" s="110"/>
    </row>
    <row r="18" spans="1:65" x14ac:dyDescent="0.3">
      <c r="A18" s="18" t="s">
        <v>414</v>
      </c>
      <c r="B18" s="19"/>
      <c r="C18" s="28" t="s">
        <v>43</v>
      </c>
      <c r="D18" s="230"/>
      <c r="E18" s="5"/>
      <c r="F18" s="126"/>
      <c r="I18" s="47"/>
      <c r="R18" s="51">
        <f>(IF(B18="",0,VLOOKUP($B18,'Imported products'!$B$5:$O$54,5,FALSE)))</f>
        <v>0</v>
      </c>
      <c r="S18" s="44"/>
      <c r="T18" s="34" t="str">
        <f>IF($B18="","0",(VLOOKUP($B18,'Imported products'!$B$5:$O$54,9,FALSE)*($D18)/1000))</f>
        <v>0</v>
      </c>
      <c r="U18" s="34" t="str">
        <f>IF($B18="","0",(VLOOKUP($B18,'Imported products'!$B$5:$O$54,10,FALSE)*($D18)/1000))</f>
        <v>0</v>
      </c>
      <c r="V18" s="34" t="str">
        <f>IF($B18="","0",(VLOOKUP($B18,'Imported products'!$B$5:$O$54,11,FALSE)*($D18)/1000))</f>
        <v>0</v>
      </c>
      <c r="W18" s="34" t="str">
        <f>IF($B18="","0",(VLOOKUP($B18,'Imported products'!$B$5:$O$54,12,FALSE)*($D18)/1000))</f>
        <v>0</v>
      </c>
      <c r="X18" s="34" t="str">
        <f>IF($B18="","0",(VLOOKUP($B18,'Imported products'!$B$5:$O$54,13,FALSE)*($D18)/1000))</f>
        <v>0</v>
      </c>
      <c r="Y18" s="34" t="str">
        <f>IF($B18="","0",(VLOOKUP($B18,'Imported products'!$B$5:$O$54,14,FALSE)*($D18)/1000))</f>
        <v>0</v>
      </c>
      <c r="AA18" s="110"/>
      <c r="AF18" s="144" t="str">
        <f t="shared" ref="AF18:AF23" si="3">IF(F13="","",F13)</f>
        <v/>
      </c>
      <c r="AH18" s="110"/>
    </row>
    <row r="19" spans="1:65" x14ac:dyDescent="0.3">
      <c r="A19" s="25"/>
      <c r="B19" s="243"/>
      <c r="C19" s="244"/>
      <c r="D19" s="244"/>
      <c r="R19" s="52"/>
      <c r="AA19" s="110"/>
      <c r="AF19" s="144" t="str">
        <f t="shared" si="3"/>
        <v>Korn_standard_imp_conv</v>
      </c>
    </row>
    <row r="20" spans="1:65" x14ac:dyDescent="0.3">
      <c r="A20" s="18" t="s">
        <v>113</v>
      </c>
      <c r="B20" s="40"/>
      <c r="C20" s="28" t="s">
        <v>43</v>
      </c>
      <c r="D20" s="51">
        <f>SUM(D12:D18)</f>
        <v>1054</v>
      </c>
      <c r="R20" s="82">
        <f>(D12*R12+D13*R13+D14*R14+D15*R15+D16*R16+D17*R17+D18*R18)/D20</f>
        <v>868.74274344440369</v>
      </c>
      <c r="S20" s="45"/>
      <c r="T20" s="116">
        <f t="shared" ref="T20:X20" si="4">SUM(T12:T18)</f>
        <v>474.3</v>
      </c>
      <c r="U20" s="116">
        <f t="shared" si="4"/>
        <v>34.310037319599985</v>
      </c>
      <c r="V20" s="116">
        <f t="shared" si="4"/>
        <v>7.5005115048740869</v>
      </c>
      <c r="W20" s="116">
        <f t="shared" si="4"/>
        <v>11.806011798698936</v>
      </c>
      <c r="X20" s="116">
        <f t="shared" si="4"/>
        <v>20548.370258412091</v>
      </c>
      <c r="Y20" s="116">
        <f>SUM(Y12:Y18)</f>
        <v>214.76856083370683</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c r="C24" s="28" t="s">
        <v>43</v>
      </c>
      <c r="D24" s="6"/>
      <c r="E24" s="5"/>
      <c r="F24" s="5"/>
      <c r="G24" s="5"/>
      <c r="H24" s="30" t="str">
        <f>IF(B24="","",VLOOKUP(B24,Converted_feedstuff!$C$5:$E$54,3,FALSE))</f>
        <v/>
      </c>
      <c r="I24" s="80" t="e">
        <f>D24/((100-VLOOKUP(B24,Converted_feedstuff!$C$5:$F$54,4,FALSE))/100)</f>
        <v>#N/A</v>
      </c>
      <c r="K24" s="30">
        <f>IF(B24="",0,VLOOKUP(B24,Converted_feedstuff!$C$5:$D$54,2,FALSE))</f>
        <v>0</v>
      </c>
      <c r="L24" s="80" t="str">
        <f>IF($B24="","",((VLOOKUP($B24,Converted_feedstuff!$C$5:$AM$54,33,FALSE))*((100-VLOOKUP($B24,Converted_feedstuff!$C$5:$K$54,5,FALSE))/100))/((100-VLOOKUP($B24,Converted_feedstuff!$C$5:$K$54,4,FALSE))/100))</f>
        <v/>
      </c>
      <c r="M24" s="81" t="str">
        <f>IF($B24="","",((VLOOKUP($B24,Converted_feedstuff!$C$5:$AM$54,34,FALSE))*((100-VLOOKUP($B24,Converted_feedstuff!$C$5:$K$54,6,FALSE))/100))/((100-VLOOKUP($B24,Converted_feedstuff!$C$5:$K$54,4,FALSE))/100))</f>
        <v/>
      </c>
      <c r="N24" s="81" t="str">
        <f>IF($B24="","",((VLOOKUP($B24,Converted_feedstuff!$C$5:$AM$54,35,FALSE))*((100-VLOOKUP($B24,Converted_feedstuff!$C$5:$K$54,7,FALSE))/100))/((100-VLOOKUP($B24,Converted_feedstuff!$C$5:$K$54,4,FALSE))/100))</f>
        <v/>
      </c>
      <c r="O24" s="81" t="str">
        <f>IF($B24="","",((VLOOKUP($B24,Converted_feedstuff!$C$5:$AM$54,36,FALSE))*((100-VLOOKUP($B24,Converted_feedstuff!$C$5:$K$54,8,FALSE))/100))/((100-VLOOKUP($B24,Converted_feedstuff!$C$5:$K$54,4,FALSE))/100))</f>
        <v/>
      </c>
      <c r="P24" s="81" t="str">
        <f>IF($B24="","",((VLOOKUP($B24,Converted_feedstuff!$C$5:$AM$49,37,FALSE))*((100-VLOOKUP($B24,Converted_feedstuff!$C$5:$K$54,9,FALSE))/100))/((100-VLOOKUP($B24,Converted_feedstuff!$C$5:$K$54,4,FALSE))/100))</f>
        <v/>
      </c>
      <c r="R24" s="51">
        <f>K24</f>
        <v>0</v>
      </c>
      <c r="S24" s="44"/>
      <c r="T24" s="34">
        <f t="shared" ref="T24:W30" si="5">IF($D24="",0,$D24*(L24/1000))</f>
        <v>0</v>
      </c>
      <c r="U24" s="34">
        <f t="shared" si="5"/>
        <v>0</v>
      </c>
      <c r="V24" s="34">
        <f t="shared" si="5"/>
        <v>0</v>
      </c>
      <c r="W24" s="34">
        <f t="shared" si="5"/>
        <v>0</v>
      </c>
      <c r="X24" s="34">
        <f>IF($D24="",0,$D24*P24)</f>
        <v>0</v>
      </c>
      <c r="Y24" s="81">
        <f>U24*6.25</f>
        <v>0</v>
      </c>
      <c r="AB24" s="114">
        <f>IF(B24="",0,(VLOOKUP(B24,Converted_feedstuff!$C$5:$BH$54,58,FALSE)*$I24))</f>
        <v>0</v>
      </c>
      <c r="AC24" s="30"/>
      <c r="AD24" s="30"/>
      <c r="AF24" s="144" t="str">
        <f>IF(B24="","",B24)</f>
        <v/>
      </c>
      <c r="AO24" s="80" t="str">
        <f>IF($B24="","",(((((Converted_feedstuff!#REF!/100)*Converted_feedstuff!F5)/100)*1000)*$I24)/1000)</f>
        <v/>
      </c>
      <c r="AP24" s="80" t="str">
        <f>IF($B24="","",(((((Converted_feedstuff!#REF!/100)*Converted_feedstuff!F5)/100)*1000)*$I24)/1000)</f>
        <v/>
      </c>
      <c r="AQ24" s="80" t="str">
        <f>IF($B24="","",(((((Converted_feedstuff!#REF!/100)*Converted_feedstuff!G5)/100)*Converted_feedstuff!AI5)*$I24)/1000)</f>
        <v/>
      </c>
      <c r="AR24" s="80" t="str">
        <f>IF($B24="","",(((((Converted_feedstuff!U5/100)*Converted_feedstuff!G5)/100)*Converted_feedstuff!AI5)*$I24)/1000)</f>
        <v/>
      </c>
      <c r="AS24" s="80" t="str">
        <f>IF($B24="","",(((((Converted_feedstuff!V5/100)*Converted_feedstuff!G5)/100)*Converted_feedstuff!AI5)*$I24)/1000)</f>
        <v/>
      </c>
      <c r="AT24" s="80" t="str">
        <f>IF($B24="","",(((((Converted_feedstuff!W5/100)*Converted_feedstuff!G5)/100)*Converted_feedstuff!AI5)*$I24)/1000)</f>
        <v/>
      </c>
      <c r="AU24" s="80" t="str">
        <f>IF($B24="","",(((((Converted_feedstuff!#REF!/100)*Converted_feedstuff!H5)/100)*Converted_feedstuff!AJ5)*$I24)/1000)</f>
        <v/>
      </c>
      <c r="AV24" s="80" t="str">
        <f>IF($B24="","",(((((Converted_feedstuff!X5/100)*Converted_feedstuff!H5)/100)*Converted_feedstuff!AJ5)*$I24)/1000)</f>
        <v/>
      </c>
      <c r="AW24" s="80" t="str">
        <f>IF($B24="","",(((((Converted_feedstuff!Y5/100)*Converted_feedstuff!H5)/100)*Converted_feedstuff!AJ5)*$I24)/1000)</f>
        <v/>
      </c>
      <c r="AX24" s="80" t="str">
        <f>IF($B24="","",(((((Converted_feedstuff!Z5/100)*Converted_feedstuff!H5)/100)*Converted_feedstuff!AJ5)*$I24)/1000)</f>
        <v/>
      </c>
      <c r="AY24" s="80" t="str">
        <f>IF($B24="","",(((((Converted_feedstuff!AA5/100)*Converted_feedstuff!H5)/100)*Converted_feedstuff!AJ5)*$I24)/1000)</f>
        <v/>
      </c>
      <c r="AZ24" s="80" t="str">
        <f>IF($B24="","",(((((Converted_feedstuff!AB5/100)*Converted_feedstuff!H5)/100)*Converted_feedstuff!AJ5)*$I24)/1000)</f>
        <v/>
      </c>
      <c r="BA24" s="80" t="str">
        <f>IF($B24="","",(((((Converted_feedstuff!#REF!/100)*Converted_feedstuff!I5)/100)*Converted_feedstuff!AK5)*$I24)/1000)</f>
        <v/>
      </c>
      <c r="BB24" s="80" t="str">
        <f>IF($B24="","",(((((Converted_feedstuff!AC5/100)*Converted_feedstuff!I5)/100)*Converted_feedstuff!AK5)*$I24)/1000)</f>
        <v/>
      </c>
      <c r="BC24" s="80" t="str">
        <f>IF($B24="","",(((((Converted_feedstuff!AD5/100)*Converted_feedstuff!I5)/100)*Converted_feedstuff!AK5)*$I24)/1000)</f>
        <v/>
      </c>
      <c r="BD24" s="80" t="str">
        <f>IF($B24="","",(((((Converted_feedstuff!#REF!/100)*Converted_feedstuff!J5)/100)*Converted_feedstuff!AL5)*$I24)/1000)</f>
        <v/>
      </c>
      <c r="BE24" s="80" t="str">
        <f>IF($B24="","",(((((Converted_feedstuff!AE5/100)*Converted_feedstuff!J5)/100)*Converted_feedstuff!AL5)*$I24)/1000)</f>
        <v/>
      </c>
      <c r="BF24" s="80" t="str">
        <f>IF($B24="","",(((((Converted_feedstuff!AF5/100)*Converted_feedstuff!J5)/100)*Converted_feedstuff!AL5)*$I24)/1000)</f>
        <v/>
      </c>
      <c r="BG24" s="80" t="str">
        <f>IF($B24="","",((((Converted_feedstuff!#REF!/100)*Converted_feedstuff!K5)/100)*Converted_feedstuff!AM5)*$I24)</f>
        <v/>
      </c>
      <c r="BH24" s="80" t="str">
        <f>IF($B24="","",((((Converted_feedstuff!#REF!/100)*Converted_feedstuff!K5)/100)*Converted_feedstuff!AM5)*$I24)</f>
        <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c r="C26" s="28" t="s">
        <v>43</v>
      </c>
      <c r="D26" s="6"/>
      <c r="E26" s="126"/>
      <c r="F26" s="5"/>
      <c r="G26" s="126"/>
      <c r="H26" s="30" t="str">
        <f>IF(B26="","",VLOOKUP(B26,Converted_feedstuff!$C$5:$E$54,3,FALSE))</f>
        <v/>
      </c>
      <c r="I26" s="80" t="e">
        <f>D26/((100-VLOOKUP(B26,Converted_feedstuff!$C$5:$F$54,4,FALSE))/100)</f>
        <v>#N/A</v>
      </c>
      <c r="K26" s="30">
        <f>IF(B26="",0,VLOOKUP(B26,Converted_feedstuff!$C$5:$D$54,2,FALSE))</f>
        <v>0</v>
      </c>
      <c r="L26" s="80" t="str">
        <f>IF($B26="","",((VLOOKUP($B26,Converted_feedstuff!$C$5:$AM$54,33,FALSE))*((100-VLOOKUP($B26,Converted_feedstuff!$C$5:$K$54,5,FALSE))/100))/((100-VLOOKUP($B26,Converted_feedstuff!$C$5:$K$54,4,FALSE))/100))</f>
        <v/>
      </c>
      <c r="M26" s="81" t="str">
        <f>IF($B26="","",((VLOOKUP($B26,Converted_feedstuff!$C$5:$AM$54,34,FALSE))*((100-VLOOKUP($B26,Converted_feedstuff!$C$5:$K$54,6,FALSE))/100))/((100-VLOOKUP($B26,Converted_feedstuff!$C$5:$K$54,4,FALSE))/100))</f>
        <v/>
      </c>
      <c r="N26" s="81" t="str">
        <f>IF($B26="","",((VLOOKUP($B26,Converted_feedstuff!$C$5:$AM$54,35,FALSE))*((100-VLOOKUP($B26,Converted_feedstuff!$C$5:$K$54,7,FALSE))/100))/((100-VLOOKUP($B26,Converted_feedstuff!$C$5:$K$54,4,FALSE))/100))</f>
        <v/>
      </c>
      <c r="O26" s="81" t="str">
        <f>IF($B26="","",((VLOOKUP($B26,Converted_feedstuff!$C$5:$AM$54,36,FALSE))*((100-VLOOKUP($B26,Converted_feedstuff!$C$5:$K$54,8,FALSE))/100))/((100-VLOOKUP($B26,Converted_feedstuff!$C$5:$K$54,4,FALSE))/100))</f>
        <v/>
      </c>
      <c r="P26" s="81" t="str">
        <f>IF($B26="","",((VLOOKUP($B26,Converted_feedstuff!$C$5:$AM$49,37,FALSE))*((100-VLOOKUP($B26,Converted_feedstuff!$C$5:$K$54,9,FALSE))/100))/((100-VLOOKUP($B26,Converted_feedstuff!$C$5:$K$54,4,FALSE))/100))</f>
        <v/>
      </c>
      <c r="R26" s="51">
        <f t="shared" si="6"/>
        <v>0</v>
      </c>
      <c r="S26" s="44"/>
      <c r="T26" s="34">
        <f t="shared" si="5"/>
        <v>0</v>
      </c>
      <c r="U26" s="34">
        <f t="shared" si="5"/>
        <v>0</v>
      </c>
      <c r="V26" s="34">
        <f t="shared" si="5"/>
        <v>0</v>
      </c>
      <c r="W26" s="34">
        <f t="shared" si="5"/>
        <v>0</v>
      </c>
      <c r="X26" s="34">
        <f t="shared" si="7"/>
        <v>0</v>
      </c>
      <c r="Y26" s="81">
        <f t="shared" si="8"/>
        <v>0</v>
      </c>
      <c r="AB26" s="114">
        <f>IF(B26="",0,(VLOOKUP(B26,Converted_feedstuff!$C$5:$BH$54,58,FALSE)*$I26))</f>
        <v>0</v>
      </c>
      <c r="AC26" s="30"/>
      <c r="AD26" s="30"/>
      <c r="AF26" s="144" t="str">
        <f t="shared" si="9"/>
        <v/>
      </c>
      <c r="AO26" s="80" t="str">
        <f>IF($B26="","",(((((Converted_feedstuff!#REF!/100)*Converted_feedstuff!F7)/100)*1000)*$I26)/1000)</f>
        <v/>
      </c>
      <c r="AP26" s="80" t="str">
        <f>IF($B26="","",(((((Converted_feedstuff!#REF!/100)*Converted_feedstuff!F7)/100)*1000)*$I26)/1000)</f>
        <v/>
      </c>
      <c r="AQ26" s="80" t="str">
        <f>IF($B26="","",(((((Converted_feedstuff!#REF!/100)*Converted_feedstuff!G7)/100)*Converted_feedstuff!AI7)*$I26)/1000)</f>
        <v/>
      </c>
      <c r="AR26" s="80" t="str">
        <f>IF($B26="","",(((((Converted_feedstuff!U7/100)*Converted_feedstuff!G7)/100)*Converted_feedstuff!AI7)*$I26)/1000)</f>
        <v/>
      </c>
      <c r="AS26" s="80" t="str">
        <f>IF($B26="","",(((((Converted_feedstuff!V7/100)*Converted_feedstuff!G7)/100)*Converted_feedstuff!AI7)*$I26)/1000)</f>
        <v/>
      </c>
      <c r="AT26" s="80" t="str">
        <f>IF($B26="","",(((((Converted_feedstuff!W7/100)*Converted_feedstuff!G7)/100)*Converted_feedstuff!AI7)*$I26)/1000)</f>
        <v/>
      </c>
      <c r="AU26" s="80" t="str">
        <f>IF($B26="","",(((((Converted_feedstuff!#REF!/100)*Converted_feedstuff!H7)/100)*Converted_feedstuff!AJ7)*$I26)/1000)</f>
        <v/>
      </c>
      <c r="AV26" s="80" t="str">
        <f>IF($B26="","",(((((Converted_feedstuff!X7/100)*Converted_feedstuff!H7)/100)*Converted_feedstuff!AJ7)*$I26)/1000)</f>
        <v/>
      </c>
      <c r="AW26" s="80" t="str">
        <f>IF($B26="","",(((((Converted_feedstuff!Y7/100)*Converted_feedstuff!H7)/100)*Converted_feedstuff!AJ7)*$I26)/1000)</f>
        <v/>
      </c>
      <c r="AX26" s="80" t="str">
        <f>IF($B26="","",(((((Converted_feedstuff!Z7/100)*Converted_feedstuff!H7)/100)*Converted_feedstuff!AJ7)*$I26)/1000)</f>
        <v/>
      </c>
      <c r="AY26" s="80" t="str">
        <f>IF($B26="","",(((((Converted_feedstuff!AA7/100)*Converted_feedstuff!H7)/100)*Converted_feedstuff!AJ7)*$I26)/1000)</f>
        <v/>
      </c>
      <c r="AZ26" s="80" t="str">
        <f>IF($B26="","",(((((Converted_feedstuff!AB7/100)*Converted_feedstuff!H7)/100)*Converted_feedstuff!AJ7)*$I26)/1000)</f>
        <v/>
      </c>
      <c r="BA26" s="80" t="str">
        <f>IF($B26="","",(((((Converted_feedstuff!#REF!/100)*Converted_feedstuff!I7)/100)*Converted_feedstuff!AK7)*$I26)/1000)</f>
        <v/>
      </c>
      <c r="BB26" s="80" t="str">
        <f>IF($B26="","",(((((Converted_feedstuff!AC7/100)*Converted_feedstuff!I7)/100)*Converted_feedstuff!AK7)*$I26)/1000)</f>
        <v/>
      </c>
      <c r="BC26" s="80" t="str">
        <f>IF($B26="","",(((((Converted_feedstuff!AD7/100)*Converted_feedstuff!I7)/100)*Converted_feedstuff!AK7)*$I26)/1000)</f>
        <v/>
      </c>
      <c r="BD26" s="80" t="str">
        <f>IF($B26="","",(((((Converted_feedstuff!#REF!/100)*Converted_feedstuff!J7)/100)*Converted_feedstuff!AL7)*$I26)/1000)</f>
        <v/>
      </c>
      <c r="BE26" s="80" t="str">
        <f>IF($B26="","",(((((Converted_feedstuff!AE7/100)*Converted_feedstuff!J7)/100)*Converted_feedstuff!AL7)*$I26)/1000)</f>
        <v/>
      </c>
      <c r="BF26" s="80" t="str">
        <f>IF($B26="","",(((((Converted_feedstuff!AF7/100)*Converted_feedstuff!J7)/100)*Converted_feedstuff!AL7)*$I26)/1000)</f>
        <v/>
      </c>
      <c r="BG26" s="80" t="str">
        <f>IF($B26="","",((((Converted_feedstuff!#REF!/100)*Converted_feedstuff!K7)/100)*Converted_feedstuff!AM7)*$I26)</f>
        <v/>
      </c>
      <c r="BH26" s="80" t="str">
        <f>IF($B26="","",((((Converted_feedstuff!#REF!/100)*Converted_feedstuff!K7)/100)*Converted_feedstuff!AM7)*$I26)</f>
        <v/>
      </c>
    </row>
    <row r="27" spans="1:65" x14ac:dyDescent="0.3">
      <c r="A27" s="18" t="s">
        <v>106</v>
      </c>
      <c r="B27" s="19"/>
      <c r="C27" s="28" t="s">
        <v>43</v>
      </c>
      <c r="D27" s="6"/>
      <c r="E27" s="126"/>
      <c r="F27" s="5"/>
      <c r="G27" s="126"/>
      <c r="H27" s="30" t="str">
        <f>IF(B27="","",VLOOKUP(B27,Converted_feedstuff!$C$5:$E$54,3,FALSE))</f>
        <v/>
      </c>
      <c r="I27" s="80" t="e">
        <f>D27/((100-VLOOKUP(B27,Converted_feedstuff!$C$5:$F$54,4,FALSE))/100)</f>
        <v>#N/A</v>
      </c>
      <c r="K27" s="30">
        <f>IF(B27="",0,VLOOKUP(B27,Converted_feedstuff!$C$5:$D$54,2,FALSE))</f>
        <v>0</v>
      </c>
      <c r="L27" s="80" t="str">
        <f>IF($B27="","",((VLOOKUP($B27,Converted_feedstuff!$C$5:$AM$54,33,FALSE))*((100-VLOOKUP($B27,Converted_feedstuff!$C$5:$K$54,5,FALSE))/100))/((100-VLOOKUP($B27,Converted_feedstuff!$C$5:$K$54,4,FALSE))/100))</f>
        <v/>
      </c>
      <c r="M27" s="81" t="str">
        <f>IF($B27="","",((VLOOKUP($B27,Converted_feedstuff!$C$5:$AM$54,34,FALSE))*((100-VLOOKUP($B27,Converted_feedstuff!$C$5:$K$54,6,FALSE))/100))/((100-VLOOKUP($B27,Converted_feedstuff!$C$5:$K$54,4,FALSE))/100))</f>
        <v/>
      </c>
      <c r="N27" s="81" t="str">
        <f>IF($B27="","",((VLOOKUP($B27,Converted_feedstuff!$C$5:$AM$54,35,FALSE))*((100-VLOOKUP($B27,Converted_feedstuff!$C$5:$K$54,7,FALSE))/100))/((100-VLOOKUP($B27,Converted_feedstuff!$C$5:$K$54,4,FALSE))/100))</f>
        <v/>
      </c>
      <c r="O27" s="81" t="str">
        <f>IF($B27="","",((VLOOKUP($B27,Converted_feedstuff!$C$5:$AM$54,36,FALSE))*((100-VLOOKUP($B27,Converted_feedstuff!$C$5:$K$54,8,FALSE))/100))/((100-VLOOKUP($B27,Converted_feedstuff!$C$5:$K$54,4,FALSE))/100))</f>
        <v/>
      </c>
      <c r="P27" s="81" t="str">
        <f>IF($B27="","",((VLOOKUP($B27,Converted_feedstuff!$C$5:$AM$49,37,FALSE))*((100-VLOOKUP($B27,Converted_feedstuff!$C$5:$K$54,9,FALSE))/100))/((100-VLOOKUP($B27,Converted_feedstuff!$C$5:$K$54,4,FALSE))/100))</f>
        <v/>
      </c>
      <c r="R27" s="51">
        <f t="shared" si="6"/>
        <v>0</v>
      </c>
      <c r="S27" s="44"/>
      <c r="T27" s="34">
        <f t="shared" si="5"/>
        <v>0</v>
      </c>
      <c r="U27" s="34">
        <f t="shared" si="5"/>
        <v>0</v>
      </c>
      <c r="V27" s="34">
        <f t="shared" si="5"/>
        <v>0</v>
      </c>
      <c r="W27" s="34">
        <f t="shared" si="5"/>
        <v>0</v>
      </c>
      <c r="X27" s="34">
        <f t="shared" si="7"/>
        <v>0</v>
      </c>
      <c r="Y27" s="81">
        <f t="shared" si="8"/>
        <v>0</v>
      </c>
      <c r="AB27" s="114">
        <f>IF(B27="",0,(VLOOKUP(B27,Converted_feedstuff!$C$5:$BH$54,58,FALSE)*$I27))</f>
        <v>0</v>
      </c>
      <c r="AC27" s="30"/>
      <c r="AD27" s="30"/>
      <c r="AF27" s="144" t="str">
        <f t="shared" si="9"/>
        <v/>
      </c>
      <c r="AO27" s="80" t="str">
        <f>IF($B27="","",(((((Converted_feedstuff!#REF!/100)*Converted_feedstuff!F8)/100)*1000)*$I27)/1000)</f>
        <v/>
      </c>
      <c r="AP27" s="80" t="str">
        <f>IF($B27="","",(((((Converted_feedstuff!#REF!/100)*Converted_feedstuff!F8)/100)*1000)*$I27)/1000)</f>
        <v/>
      </c>
      <c r="AQ27" s="80" t="str">
        <f>IF($B27="","",(((((Converted_feedstuff!#REF!/100)*Converted_feedstuff!G8)/100)*Converted_feedstuff!AI8)*$I27)/1000)</f>
        <v/>
      </c>
      <c r="AR27" s="80" t="str">
        <f>IF($B27="","",(((((Converted_feedstuff!U8/100)*Converted_feedstuff!G8)/100)*Converted_feedstuff!AI8)*$I27)/1000)</f>
        <v/>
      </c>
      <c r="AS27" s="80" t="str">
        <f>IF($B27="","",(((((Converted_feedstuff!V8/100)*Converted_feedstuff!G8)/100)*Converted_feedstuff!AI8)*$I27)/1000)</f>
        <v/>
      </c>
      <c r="AT27" s="80" t="str">
        <f>IF($B27="","",(((((Converted_feedstuff!W8/100)*Converted_feedstuff!G8)/100)*Converted_feedstuff!AI8)*$I27)/1000)</f>
        <v/>
      </c>
      <c r="AU27" s="80" t="str">
        <f>IF($B27="","",(((((Converted_feedstuff!#REF!/100)*Converted_feedstuff!H8)/100)*Converted_feedstuff!AJ8)*$I27)/1000)</f>
        <v/>
      </c>
      <c r="AV27" s="80" t="str">
        <f>IF($B27="","",(((((Converted_feedstuff!X8/100)*Converted_feedstuff!H8)/100)*Converted_feedstuff!AJ8)*$I27)/1000)</f>
        <v/>
      </c>
      <c r="AW27" s="80" t="str">
        <f>IF($B27="","",(((((Converted_feedstuff!Y8/100)*Converted_feedstuff!H8)/100)*Converted_feedstuff!AJ8)*$I27)/1000)</f>
        <v/>
      </c>
      <c r="AX27" s="80" t="str">
        <f>IF($B27="","",(((((Converted_feedstuff!Z8/100)*Converted_feedstuff!H8)/100)*Converted_feedstuff!AJ8)*$I27)/1000)</f>
        <v/>
      </c>
      <c r="AY27" s="80" t="str">
        <f>IF($B27="","",(((((Converted_feedstuff!AA8/100)*Converted_feedstuff!H8)/100)*Converted_feedstuff!AJ8)*$I27)/1000)</f>
        <v/>
      </c>
      <c r="AZ27" s="80" t="str">
        <f>IF($B27="","",(((((Converted_feedstuff!AB8/100)*Converted_feedstuff!H8)/100)*Converted_feedstuff!AJ8)*$I27)/1000)</f>
        <v/>
      </c>
      <c r="BA27" s="80" t="str">
        <f>IF($B27="","",(((((Converted_feedstuff!#REF!/100)*Converted_feedstuff!I8)/100)*Converted_feedstuff!AK8)*$I27)/1000)</f>
        <v/>
      </c>
      <c r="BB27" s="80" t="str">
        <f>IF($B27="","",(((((Converted_feedstuff!AC8/100)*Converted_feedstuff!I8)/100)*Converted_feedstuff!AK8)*$I27)/1000)</f>
        <v/>
      </c>
      <c r="BC27" s="80" t="str">
        <f>IF($B27="","",(((((Converted_feedstuff!AD8/100)*Converted_feedstuff!I8)/100)*Converted_feedstuff!AK8)*$I27)/1000)</f>
        <v/>
      </c>
      <c r="BD27" s="80" t="str">
        <f>IF($B27="","",(((((Converted_feedstuff!#REF!/100)*Converted_feedstuff!J8)/100)*Converted_feedstuff!AL8)*$I27)/1000)</f>
        <v/>
      </c>
      <c r="BE27" s="80" t="str">
        <f>IF($B27="","",(((((Converted_feedstuff!AE8/100)*Converted_feedstuff!J8)/100)*Converted_feedstuff!AL8)*$I27)/1000)</f>
        <v/>
      </c>
      <c r="BF27" s="80" t="str">
        <f>IF($B27="","",(((((Converted_feedstuff!AF8/100)*Converted_feedstuff!J8)/100)*Converted_feedstuff!AL8)*$I27)/1000)</f>
        <v/>
      </c>
      <c r="BG27" s="80" t="str">
        <f>IF($B27="","",((((Converted_feedstuff!#REF!/100)*Converted_feedstuff!K8)/100)*Converted_feedstuff!AM8)*$I27)</f>
        <v/>
      </c>
      <c r="BH27" s="80" t="str">
        <f>IF($B27="","",((((Converted_feedstuff!#REF!/100)*Converted_feedstuff!K8)/100)*Converted_feedstuff!AM8)*$I27)</f>
        <v/>
      </c>
    </row>
    <row r="28" spans="1:65" x14ac:dyDescent="0.3">
      <c r="A28" s="18" t="s">
        <v>107</v>
      </c>
      <c r="B28" s="19" t="s">
        <v>133</v>
      </c>
      <c r="C28" s="28" t="s">
        <v>43</v>
      </c>
      <c r="D28" s="6">
        <v>879</v>
      </c>
      <c r="E28" s="5"/>
      <c r="F28" s="5" t="s">
        <v>408</v>
      </c>
      <c r="G28" s="126" t="s">
        <v>344</v>
      </c>
      <c r="H28" s="30" t="str">
        <f>IF(B28="","",VLOOKUP(B28,Converted_feedstuff!$C$5:$E$54,3,FALSE))</f>
        <v>Maize_whole_crop_fresh_conv</v>
      </c>
      <c r="I28" s="80">
        <f>D28/((100-VLOOKUP(B28,Converted_feedstuff!$C$5:$F$54,4,FALSE))/100)</f>
        <v>1035.3356890459363</v>
      </c>
      <c r="K28" s="30">
        <f>IF(B28="",0,VLOOKUP(B28,Converted_feedstuff!$C$5:$D$54,2,FALSE))</f>
        <v>349</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13.220824499411071</v>
      </c>
      <c r="N28" s="81">
        <f>IF($B28="","",((VLOOKUP($B28,Converted_feedstuff!$C$5:$AM$54,35,FALSE))*((100-VLOOKUP($B28,Converted_feedstuff!$C$5:$K$54,7,FALSE))/100))/((100-VLOOKUP($B28,Converted_feedstuff!$C$5:$K$54,4,FALSE))/100))</f>
        <v>2.5912838633686688</v>
      </c>
      <c r="O28" s="81">
        <f>IF($B28="","",((VLOOKUP($B28,Converted_feedstuff!$C$5:$AM$54,36,FALSE))*((100-VLOOKUP($B28,Converted_feedstuff!$C$5:$K$54,8,FALSE))/100))/((100-VLOOKUP($B28,Converted_feedstuff!$C$5:$K$54,4,FALSE))/100))</f>
        <v>13.309776207302708</v>
      </c>
      <c r="P28" s="81">
        <f>IF($B28="","",((VLOOKUP($B28,Converted_feedstuff!$C$5:$AM$49,37,FALSE))*((100-VLOOKUP($B28,Converted_feedstuff!$C$5:$K$54,9,FALSE))/100))/((100-VLOOKUP($B28,Converted_feedstuff!$C$5:$K$54,4,FALSE))/100))</f>
        <v>17.7</v>
      </c>
      <c r="R28" s="51">
        <f t="shared" si="6"/>
        <v>349</v>
      </c>
      <c r="S28" s="44"/>
      <c r="T28" s="34">
        <f t="shared" si="5"/>
        <v>395.54999999999995</v>
      </c>
      <c r="U28" s="34">
        <f t="shared" si="5"/>
        <v>11.621104734982332</v>
      </c>
      <c r="V28" s="34">
        <f t="shared" si="5"/>
        <v>2.2777385159010599</v>
      </c>
      <c r="W28" s="34">
        <f t="shared" si="5"/>
        <v>11.699293286219081</v>
      </c>
      <c r="X28" s="34">
        <f t="shared" si="7"/>
        <v>15558.3</v>
      </c>
      <c r="Y28" s="81">
        <f t="shared" si="8"/>
        <v>72.631904593639575</v>
      </c>
      <c r="AB28" s="114">
        <f>IF(B28="",0,(VLOOKUP(B28,Converted_feedstuff!$C$5:$BH$54,58,FALSE)*$I28))</f>
        <v>4.8836589105940398</v>
      </c>
      <c r="AC28" s="30"/>
      <c r="AD28" s="30"/>
      <c r="AF28" s="144" t="str">
        <f t="shared" si="9"/>
        <v>Ensilage_majs_conv</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70.351071273189078</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1.0709869990627616</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879</v>
      </c>
      <c r="E31" s="24"/>
      <c r="K31" t="s">
        <v>175</v>
      </c>
      <c r="L31" s="24"/>
      <c r="M31" s="24"/>
      <c r="N31" s="24"/>
      <c r="O31" s="24"/>
      <c r="P31" s="24"/>
      <c r="Q31" s="25"/>
      <c r="R31" s="82">
        <f>(D24*R24+D25*R25+D26*R26+D27*R27+D28*R28+D29*R29+D30*R30)/D31</f>
        <v>349</v>
      </c>
      <c r="S31" s="45"/>
      <c r="T31" s="116">
        <f t="shared" ref="T31:Y31" si="10">SUM(T24:T30)</f>
        <v>395.54999999999995</v>
      </c>
      <c r="U31" s="116">
        <f t="shared" si="10"/>
        <v>11.621104734982332</v>
      </c>
      <c r="V31" s="116">
        <f t="shared" si="10"/>
        <v>2.2777385159010599</v>
      </c>
      <c r="W31" s="116">
        <f t="shared" si="10"/>
        <v>11.699293286219081</v>
      </c>
      <c r="X31" s="116">
        <f>SUM(X24:X30)</f>
        <v>15558.3</v>
      </c>
      <c r="Y31" s="116">
        <f t="shared" si="10"/>
        <v>72.631904593639575</v>
      </c>
      <c r="AA31" s="113" t="s">
        <v>61</v>
      </c>
      <c r="AB31" s="115">
        <f>SUM(AB24:AB30)</f>
        <v>4.8836589105940398</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70.351071273189078</v>
      </c>
      <c r="AS31" s="92">
        <f t="shared" si="11"/>
        <v>0</v>
      </c>
      <c r="AT31" s="92">
        <f t="shared" si="11"/>
        <v>0</v>
      </c>
      <c r="AU31" s="92" t="e">
        <f t="shared" si="11"/>
        <v>#REF!</v>
      </c>
      <c r="AV31" s="92">
        <f t="shared" si="11"/>
        <v>1.0709869990627616</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1933</v>
      </c>
      <c r="E32" s="24"/>
      <c r="I32" s="24"/>
      <c r="J32" s="24"/>
      <c r="K32" s="24"/>
      <c r="L32" s="24"/>
      <c r="M32" s="24"/>
      <c r="N32" s="24"/>
      <c r="P32" s="25"/>
      <c r="Q32" s="25"/>
      <c r="R32" s="84">
        <f>(D20*R20+D31*R31)/D32</f>
        <v>632.3982677653396</v>
      </c>
      <c r="S32" s="85"/>
      <c r="T32" s="117">
        <f>T20+T31</f>
        <v>869.84999999999991</v>
      </c>
      <c r="U32" s="117">
        <f t="shared" ref="U32:Y32" si="12">U20+U31</f>
        <v>45.931142054582317</v>
      </c>
      <c r="V32" s="117">
        <f t="shared" si="12"/>
        <v>9.7782500207751468</v>
      </c>
      <c r="W32" s="117">
        <f t="shared" si="12"/>
        <v>23.505305084918017</v>
      </c>
      <c r="X32" s="117">
        <f t="shared" si="12"/>
        <v>36106.670258412094</v>
      </c>
      <c r="Y32" s="117">
        <f t="shared" si="12"/>
        <v>287.40046542734638</v>
      </c>
      <c r="AF32" s="144" t="str">
        <f t="shared" ref="AF32:AF37" si="13">IF(E25="","",E25)</f>
        <v/>
      </c>
      <c r="BL32" t="str">
        <f>A4</f>
        <v>ID-nummer</v>
      </c>
      <c r="BM32">
        <f>B4</f>
        <v>1011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
      </c>
      <c r="AK33" s="29"/>
      <c r="BL33" t="str">
        <f>A5</f>
        <v>Kode</v>
      </c>
      <c r="BM33" t="str">
        <f>B5</f>
        <v>Dairy_bull1_conv</v>
      </c>
    </row>
    <row r="34" spans="1:67" ht="15.6" x14ac:dyDescent="0.3">
      <c r="A34" s="16" t="s">
        <v>58</v>
      </c>
      <c r="B34" s="17" t="s">
        <v>29</v>
      </c>
      <c r="C34" s="17" t="s">
        <v>28</v>
      </c>
      <c r="D34" s="17" t="s">
        <v>164</v>
      </c>
      <c r="E34" s="66" t="s">
        <v>4</v>
      </c>
      <c r="F34" s="69" t="s">
        <v>54</v>
      </c>
      <c r="G34" s="66" t="s">
        <v>6</v>
      </c>
      <c r="H34" s="66"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
      </c>
      <c r="AM34" s="29"/>
      <c r="AN34" s="29"/>
      <c r="BJ34">
        <f t="shared" ref="BI34:BJ62" si="14">$BM$32</f>
        <v>1011</v>
      </c>
      <c r="BK34" t="str">
        <f t="shared" ref="BJ34:BK62" si="15">$BM$33</f>
        <v>Dairy_bull1_conv</v>
      </c>
      <c r="BL34" t="s">
        <v>69</v>
      </c>
      <c r="BM34">
        <f>$B$24</f>
        <v>0</v>
      </c>
      <c r="BN34" t="str">
        <f t="shared" ref="BN34:BO40" si="16">C24</f>
        <v>Kg</v>
      </c>
      <c r="BO34">
        <f t="shared" si="16"/>
        <v>0</v>
      </c>
    </row>
    <row r="35" spans="1:67" ht="15.6" x14ac:dyDescent="0.3">
      <c r="A35" s="18" t="s">
        <v>631</v>
      </c>
      <c r="B35" s="19" t="s">
        <v>422</v>
      </c>
      <c r="C35" s="28" t="s">
        <v>43</v>
      </c>
      <c r="D35" s="34">
        <f>H35*(R35/1000)</f>
        <v>4.34</v>
      </c>
      <c r="E35" s="30" t="str">
        <f>IF(B35="","",VLOOKUP(B35,'Processed products'!$B$5:$E$104,2,FALSE))</f>
        <v>Dead_meat_conv</v>
      </c>
      <c r="F35" s="30" t="str">
        <f>IF(B35="","",VLOOKUP(B35,'Processed products'!$B$5:$E$104,3,FALSE))</f>
        <v>Dead_meat</v>
      </c>
      <c r="G35" s="30" t="str">
        <f>IF(B35="","",VLOOKUP(B35,'Processed products'!$B$5:$E$104,4,FALSE))</f>
        <v>Exit_model</v>
      </c>
      <c r="H35" s="5">
        <v>12.4</v>
      </c>
      <c r="I35" s="4"/>
      <c r="K35" s="97" t="s">
        <v>654</v>
      </c>
      <c r="L35" s="132" t="s">
        <v>489</v>
      </c>
      <c r="M35" s="132" t="s">
        <v>640</v>
      </c>
      <c r="N35" s="272">
        <v>3.72</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
      </c>
      <c r="AJ35" s="32"/>
      <c r="BJ35">
        <f t="shared" si="14"/>
        <v>1011</v>
      </c>
      <c r="BK35" t="str">
        <f t="shared" si="15"/>
        <v>Dairy_bull1_conv</v>
      </c>
      <c r="BL35" t="s">
        <v>69</v>
      </c>
      <c r="BM35">
        <f>$B$25</f>
        <v>0</v>
      </c>
      <c r="BN35" t="str">
        <f t="shared" si="16"/>
        <v>Kg</v>
      </c>
      <c r="BO35">
        <f t="shared" si="16"/>
        <v>0</v>
      </c>
    </row>
    <row r="36" spans="1:67" ht="15.6" x14ac:dyDescent="0.3">
      <c r="A36" s="18" t="s">
        <v>632</v>
      </c>
      <c r="B36" s="19" t="s">
        <v>214</v>
      </c>
      <c r="C36" s="28" t="s">
        <v>43</v>
      </c>
      <c r="D36" s="34">
        <f t="shared" ref="D36" si="17">H36*(R36/1000)</f>
        <v>140</v>
      </c>
      <c r="E36" s="30" t="str">
        <f>IF(B36="","",VLOOKUP(B36,'Processed products'!$B$5:$E$104,2,FALSE))</f>
        <v>Beef_meat_conv</v>
      </c>
      <c r="F36" s="30" t="str">
        <f>IF(B36="","",VLOOKUP(B36,'Processed products'!$B$5:$E$104,3,FALSE))</f>
        <v>Meat</v>
      </c>
      <c r="G36" s="30" t="str">
        <f>IF(B36="","",VLOOKUP(B36,'Processed products'!$B$5:$E$104,4,FALSE))</f>
        <v>Exit_model</v>
      </c>
      <c r="H36" s="5">
        <v>400</v>
      </c>
      <c r="I36" s="4"/>
      <c r="K36" s="97" t="s">
        <v>655</v>
      </c>
      <c r="L36" s="132"/>
      <c r="M36" s="132"/>
      <c r="N36" s="272"/>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
      </c>
      <c r="BJ36">
        <f t="shared" si="14"/>
        <v>1011</v>
      </c>
      <c r="BK36" t="str">
        <f t="shared" si="15"/>
        <v>Dairy_bull1_conv</v>
      </c>
      <c r="BL36" t="s">
        <v>69</v>
      </c>
      <c r="BM36">
        <f>$B$26</f>
        <v>0</v>
      </c>
      <c r="BN36" t="str">
        <f t="shared" si="16"/>
        <v>Kg</v>
      </c>
      <c r="BO36">
        <f t="shared" si="16"/>
        <v>0</v>
      </c>
    </row>
    <row r="37" spans="1:67" ht="16.2" thickBot="1" x14ac:dyDescent="0.35">
      <c r="A37" s="18" t="s">
        <v>647</v>
      </c>
      <c r="B37" s="19"/>
      <c r="C37" s="28" t="s">
        <v>43</v>
      </c>
      <c r="D37" s="34">
        <f>H37*(R37/1000)</f>
        <v>0</v>
      </c>
      <c r="E37" s="30" t="str">
        <f>IF(B37="","",VLOOKUP(B37,'Processed products'!$B$5:$E$104,2,FALSE))</f>
        <v/>
      </c>
      <c r="F37" s="30" t="str">
        <f>IF(B37="","",VLOOKUP(B37,'Processed products'!$B$5:$E$104,3,FALSE))</f>
        <v/>
      </c>
      <c r="G37" s="30" t="str">
        <f>IF(B37="","",VLOOKUP(B37,'Processed products'!$B$5:$E$104,4,FALSE))</f>
        <v/>
      </c>
      <c r="H37" s="5"/>
      <c r="I37" s="5"/>
      <c r="K37" s="273" t="s">
        <v>656</v>
      </c>
      <c r="L37" s="260"/>
      <c r="M37" s="260"/>
      <c r="N37" s="261"/>
      <c r="Q37" s="25"/>
      <c r="R37" s="51">
        <f>(IF($B37="",0,VLOOKUP($B37,'Processed products'!$B$5:$O$104,5,FALSE)))</f>
        <v>0</v>
      </c>
      <c r="S37" s="44"/>
      <c r="T37" s="28" t="str">
        <f>(IF($B37="","",VLOOKUP($B37,'Processed products'!$B$5:$O$104,9,FALSE)))</f>
        <v/>
      </c>
      <c r="U37" s="34" t="str">
        <f>(IF($B37="","",VLOOKUP($B37,'Processed products'!$B$5:$O$104,10,FALSE)))</f>
        <v/>
      </c>
      <c r="V37" s="28" t="str">
        <f>(IF($B37="","",VLOOKUP($B37,'Processed products'!$B$5:$O$104,11,FALSE)))</f>
        <v/>
      </c>
      <c r="W37" s="28" t="str">
        <f>(IF($B37="","",VLOOKUP($B37,'Processed products'!$B$5:$O$104,12,FALSE)))</f>
        <v/>
      </c>
      <c r="X37" s="28" t="str">
        <f>(IF($B37="","",VLOOKUP($B37,'Processed products'!$B$5:$O$104,13,FALSE)))</f>
        <v/>
      </c>
      <c r="Z37" s="53"/>
      <c r="AA37" s="53"/>
      <c r="AB37" s="53"/>
      <c r="AC37" s="53"/>
      <c r="AD37" s="53"/>
      <c r="AF37" s="144" t="str">
        <f t="shared" si="13"/>
        <v/>
      </c>
      <c r="BJ37">
        <f t="shared" si="14"/>
        <v>1011</v>
      </c>
      <c r="BK37" t="str">
        <f t="shared" si="15"/>
        <v>Dairy_bull1_conv</v>
      </c>
      <c r="BL37" t="s">
        <v>69</v>
      </c>
      <c r="BM37">
        <f>$B$27</f>
        <v>0</v>
      </c>
      <c r="BN37" t="str">
        <f t="shared" si="16"/>
        <v>Kg</v>
      </c>
      <c r="BO37">
        <f t="shared" si="16"/>
        <v>0</v>
      </c>
    </row>
    <row r="38" spans="1:67" x14ac:dyDescent="0.3">
      <c r="A38" s="18" t="s">
        <v>648</v>
      </c>
      <c r="B38" s="19"/>
      <c r="C38" s="28" t="s">
        <v>43</v>
      </c>
      <c r="D38" s="34">
        <f>H38*(R38/1000)</f>
        <v>0</v>
      </c>
      <c r="E38" s="30" t="str">
        <f>IF(B38="","",VLOOKUP(B38,'Processed products'!$B$5:$E$104,2,FALSE))</f>
        <v/>
      </c>
      <c r="F38" s="30" t="str">
        <f>IF(B38="","",VLOOKUP(B38,'Processed products'!$B$5:$E$104,3,FALSE))</f>
        <v/>
      </c>
      <c r="G38" s="30" t="str">
        <f>IF(B38="","",VLOOKUP(B38,'Processed products'!$B$5:$E$104,4,FALSE))</f>
        <v/>
      </c>
      <c r="H38" s="126"/>
      <c r="I38" s="250"/>
      <c r="K38" s="136"/>
      <c r="L38" s="123"/>
      <c r="M38" s="123"/>
      <c r="N38" s="136"/>
      <c r="O38" s="110"/>
      <c r="P38" s="93"/>
      <c r="Q38" s="25"/>
      <c r="R38" s="51">
        <f>(IF($B38="",0,VLOOKUP($B38,'Processed products'!$B$5:$O$104,5,FALSE)))</f>
        <v>0</v>
      </c>
      <c r="S38" s="44"/>
      <c r="T38" s="28" t="str">
        <f>(IF($B38="","",VLOOKUP($B38,'Processed products'!$B$5:$O$104,9,FALSE)))</f>
        <v/>
      </c>
      <c r="U38" s="34" t="str">
        <f>(IF($B38="","",VLOOKUP($B38,'Processed products'!$B$5:$O$104,10,FALSE)))</f>
        <v/>
      </c>
      <c r="V38" s="28" t="str">
        <f>(IF($B38="","",VLOOKUP($B38,'Processed products'!$B$5:$O$104,11,FALSE)))</f>
        <v/>
      </c>
      <c r="W38" s="28" t="str">
        <f>(IF($B38="","",VLOOKUP($B38,'Processed products'!$B$5:$O$104,12,FALSE)))</f>
        <v/>
      </c>
      <c r="X38" s="28" t="str">
        <f>(IF($B38="","",VLOOKUP($B38,'Processed products'!$B$5:$O$104,13,FALSE)))</f>
        <v/>
      </c>
      <c r="Z38" s="53"/>
      <c r="AA38" s="53"/>
      <c r="AB38" s="53"/>
      <c r="AC38" s="53"/>
      <c r="AD38" s="53"/>
      <c r="AF38" s="144" t="e">
        <f>IF(#REF!="","",#REF!)</f>
        <v>#REF!</v>
      </c>
      <c r="BJ38">
        <f t="shared" si="14"/>
        <v>1011</v>
      </c>
      <c r="BK38" t="str">
        <f t="shared" si="15"/>
        <v>Dairy_bull1_conv</v>
      </c>
      <c r="BL38" t="s">
        <v>69</v>
      </c>
      <c r="BM38" t="str">
        <f>$B$28</f>
        <v>Ensilage_majs_conv</v>
      </c>
      <c r="BN38" t="str">
        <f t="shared" si="16"/>
        <v>Kg</v>
      </c>
      <c r="BO38">
        <f t="shared" si="16"/>
        <v>879</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23"/>
      <c r="K39" s="136">
        <f>40*0.085*1.093</f>
        <v>3.7162000000000002</v>
      </c>
      <c r="L39" s="123"/>
      <c r="M39" s="123"/>
      <c r="N39" s="123"/>
      <c r="P39" s="93"/>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e">
        <f>IF(#REF!="","",#REF!)</f>
        <v>#REF!</v>
      </c>
      <c r="BJ39">
        <f t="shared" si="14"/>
        <v>1011</v>
      </c>
      <c r="BK39" t="str">
        <f t="shared" si="15"/>
        <v>Dairy_bull1_conv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23"/>
      <c r="L40" s="123"/>
      <c r="M40" s="123"/>
      <c r="N40" s="123"/>
      <c r="P40" s="93"/>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e">
        <f>IF(#REF!="","",#REF!)</f>
        <v>#REF!</v>
      </c>
      <c r="AH40" s="36"/>
      <c r="BJ40">
        <f t="shared" si="14"/>
        <v>1011</v>
      </c>
      <c r="BK40" t="str">
        <f t="shared" si="15"/>
        <v>Dairy_bull1_conv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123"/>
      <c r="K41" s="123"/>
      <c r="L41" s="123"/>
      <c r="M41" s="123"/>
      <c r="N41" s="123"/>
      <c r="P41" s="93"/>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e">
        <f>IF(#REF!="","",#REF!)</f>
        <v>#REF!</v>
      </c>
      <c r="BJ41">
        <f t="shared" si="14"/>
        <v>1011</v>
      </c>
      <c r="BK41" t="str">
        <f t="shared" si="15"/>
        <v>Dairy_bull1_conv</v>
      </c>
      <c r="BL41" t="s">
        <v>126</v>
      </c>
      <c r="BM41" t="str">
        <f>$B$35</f>
        <v>Kvaeg_affald_conv</v>
      </c>
      <c r="BN41" t="str">
        <f>C35</f>
        <v>Kg</v>
      </c>
      <c r="BO41" s="64">
        <f>P35</f>
        <v>0</v>
      </c>
    </row>
    <row r="42" spans="1:67" x14ac:dyDescent="0.3">
      <c r="A42" s="33" t="s">
        <v>61</v>
      </c>
      <c r="B42" s="39"/>
      <c r="C42" s="28" t="s">
        <v>43</v>
      </c>
      <c r="D42" s="34">
        <f>SUM(D35:D41)</f>
        <v>144.34</v>
      </c>
      <c r="E42" s="24"/>
      <c r="I42" s="124"/>
      <c r="J42" s="53">
        <f>1.093*0.085*400*0.333</f>
        <v>12.374946</v>
      </c>
      <c r="K42" s="268" t="s">
        <v>639</v>
      </c>
      <c r="L42" s="123"/>
      <c r="M42" s="123"/>
      <c r="N42" s="124"/>
      <c r="P42" s="93"/>
      <c r="Q42" s="25"/>
      <c r="Z42" s="53"/>
      <c r="AA42" s="53"/>
      <c r="AB42" s="53"/>
      <c r="AC42" s="53"/>
      <c r="AD42" s="53"/>
      <c r="AF42" s="144" t="e">
        <f>IF(#REF!="","",#REF!)</f>
        <v>#REF!</v>
      </c>
      <c r="BJ42">
        <f t="shared" si="14"/>
        <v>1011</v>
      </c>
      <c r="BK42" t="str">
        <f t="shared" si="15"/>
        <v>Dairy_bull1_conv</v>
      </c>
      <c r="BL42" t="s">
        <v>126</v>
      </c>
      <c r="BM42" t="str">
        <f>$B$36</f>
        <v>Tilvaekst_kvaeg_conv</v>
      </c>
      <c r="BN42" t="str">
        <f t="shared" ref="BN42:BN47" si="18">C35</f>
        <v>Kg</v>
      </c>
      <c r="BO42" s="64">
        <f t="shared" ref="BO42:BO47" si="19">P35</f>
        <v>0</v>
      </c>
    </row>
    <row r="43" spans="1:67" x14ac:dyDescent="0.3">
      <c r="Z43" s="53"/>
      <c r="AA43" s="53"/>
      <c r="AB43" s="53"/>
      <c r="AC43" s="53"/>
      <c r="AD43" s="53"/>
      <c r="AF43" s="144" t="e">
        <f>IF(#REF!="","",#REF!)</f>
        <v>#REF!</v>
      </c>
      <c r="BJ43">
        <f t="shared" si="14"/>
        <v>1011</v>
      </c>
      <c r="BK43" t="str">
        <f t="shared" si="15"/>
        <v>Dairy_bull1_conv</v>
      </c>
      <c r="BL43" t="s">
        <v>126</v>
      </c>
      <c r="BM43">
        <f>$B$37</f>
        <v>0</v>
      </c>
      <c r="BN43" t="str">
        <f t="shared" si="18"/>
        <v>Kg</v>
      </c>
      <c r="BO43" s="64">
        <f t="shared" si="19"/>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e">
        <f>IF(#REF!="","",#REF!)</f>
        <v>#REF!</v>
      </c>
      <c r="BJ44">
        <f t="shared" si="14"/>
        <v>1011</v>
      </c>
      <c r="BK44" t="str">
        <f t="shared" si="15"/>
        <v>Dairy_bull1_conv</v>
      </c>
      <c r="BL44" t="s">
        <v>126</v>
      </c>
      <c r="BM44">
        <f>$B$38</f>
        <v>0</v>
      </c>
      <c r="BN44" t="str">
        <f t="shared" si="18"/>
        <v>Kg</v>
      </c>
      <c r="BO44" s="64">
        <f t="shared" si="19"/>
        <v>0</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v>450</v>
      </c>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 t="shared" ref="AF45:AF51" si="20">IF(F24="","",F24)</f>
        <v/>
      </c>
      <c r="AG45" s="136"/>
      <c r="AH45" s="136"/>
      <c r="AI45" s="136"/>
      <c r="AJ45" s="136"/>
      <c r="BJ45">
        <f t="shared" si="14"/>
        <v>1011</v>
      </c>
      <c r="BK45" t="str">
        <f t="shared" si="15"/>
        <v>Dairy_bull1_conv</v>
      </c>
      <c r="BL45" t="s">
        <v>126</v>
      </c>
      <c r="BM45">
        <f>$B$39</f>
        <v>0</v>
      </c>
      <c r="BN45" t="str">
        <f t="shared" si="18"/>
        <v>Kg</v>
      </c>
      <c r="BO45" s="64">
        <f t="shared" si="19"/>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si="20"/>
        <v/>
      </c>
      <c r="AG46" s="136"/>
      <c r="AH46" s="136"/>
      <c r="AI46" s="136"/>
      <c r="AJ46" s="136"/>
      <c r="BJ46">
        <f t="shared" si="14"/>
        <v>1011</v>
      </c>
      <c r="BK46" t="str">
        <f t="shared" si="15"/>
        <v>Dairy_bull1_conv</v>
      </c>
      <c r="BL46" t="s">
        <v>126</v>
      </c>
      <c r="BM46">
        <f>$B$40</f>
        <v>0</v>
      </c>
      <c r="BN46" t="str">
        <f t="shared" si="18"/>
        <v>Kg</v>
      </c>
      <c r="BO46" s="64">
        <f t="shared" si="19"/>
        <v>0</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0"/>
        <v/>
      </c>
      <c r="AG47" s="136"/>
      <c r="AH47" s="136"/>
      <c r="AI47" s="136"/>
      <c r="AJ47" s="136"/>
      <c r="BJ47">
        <f t="shared" si="14"/>
        <v>1011</v>
      </c>
      <c r="BK47" t="str">
        <f t="shared" si="15"/>
        <v>Dairy_bull1_conv</v>
      </c>
      <c r="BL47" t="s">
        <v>126</v>
      </c>
      <c r="BM47">
        <f>$B$41</f>
        <v>0</v>
      </c>
      <c r="BN47" t="str">
        <f t="shared" si="18"/>
        <v>Kg</v>
      </c>
      <c r="BO47" s="64">
        <f t="shared" si="19"/>
        <v>0</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0"/>
        <v/>
      </c>
      <c r="AG48" s="136"/>
      <c r="AH48" s="136"/>
      <c r="AI48" s="136"/>
      <c r="AJ48" s="136"/>
      <c r="BJ48">
        <f t="shared" si="14"/>
        <v>1011</v>
      </c>
      <c r="BK48" t="str">
        <f t="shared" si="15"/>
        <v>Dairy_bull1_conv</v>
      </c>
      <c r="BL48" t="s">
        <v>127</v>
      </c>
      <c r="BM48">
        <f t="shared" ref="BM48:BM52" si="21">$B$45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0"/>
        <v>Grain_conv</v>
      </c>
      <c r="AG49" s="136"/>
      <c r="AH49" s="136"/>
      <c r="AI49" s="136"/>
      <c r="AJ49" s="136"/>
      <c r="BJ49">
        <f t="shared" si="14"/>
        <v>1011</v>
      </c>
      <c r="BK49" t="str">
        <f t="shared" si="15"/>
        <v>Dairy_bull1_conv</v>
      </c>
      <c r="BL49" t="s">
        <v>127</v>
      </c>
      <c r="BM49">
        <f t="shared" si="21"/>
        <v>0</v>
      </c>
      <c r="BN49" t="str">
        <f>$AF$34</f>
        <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0"/>
        <v/>
      </c>
      <c r="AG50" s="136"/>
      <c r="AH50" s="136"/>
      <c r="AI50" s="136"/>
      <c r="AJ50" s="136"/>
      <c r="BJ50">
        <f t="shared" si="14"/>
        <v>1011</v>
      </c>
      <c r="BK50" t="str">
        <f t="shared" si="15"/>
        <v>Dairy_bull1_conv</v>
      </c>
      <c r="BL50" t="s">
        <v>127</v>
      </c>
      <c r="BM50">
        <f t="shared" si="21"/>
        <v>0</v>
      </c>
      <c r="BN50" s="32">
        <f>$AH$34</f>
        <v>0</v>
      </c>
      <c r="BO50" s="32">
        <f>AH45</f>
        <v>0</v>
      </c>
    </row>
    <row r="51" spans="1:67" ht="15" thickBot="1" x14ac:dyDescent="0.35">
      <c r="A51" s="18" t="s">
        <v>56</v>
      </c>
      <c r="B51" s="9"/>
      <c r="C51" s="28" t="s">
        <v>43</v>
      </c>
      <c r="D51" s="34">
        <f>SUM(D42,D45:D50)</f>
        <v>144.34</v>
      </c>
      <c r="I51" s="93"/>
      <c r="J51" s="93"/>
      <c r="K51" s="93"/>
      <c r="L51" s="93"/>
      <c r="M51" s="93"/>
      <c r="N51" s="93"/>
      <c r="O51" s="135"/>
      <c r="P51" s="93"/>
      <c r="Q51" s="47"/>
      <c r="Z51" s="53"/>
      <c r="AA51" s="53"/>
      <c r="AB51" s="53"/>
      <c r="AC51" s="53"/>
      <c r="AD51" s="53"/>
      <c r="AF51" s="145" t="str">
        <f t="shared" si="20"/>
        <v/>
      </c>
      <c r="BJ51">
        <f t="shared" si="14"/>
        <v>1011</v>
      </c>
      <c r="BK51" t="str">
        <f t="shared" si="15"/>
        <v>Dairy_bull1_conv</v>
      </c>
      <c r="BL51" t="s">
        <v>127</v>
      </c>
      <c r="BM51">
        <f t="shared" si="21"/>
        <v>0</v>
      </c>
      <c r="BN51">
        <f>$AI$34</f>
        <v>0</v>
      </c>
      <c r="BO51" s="32">
        <f>AI45</f>
        <v>0</v>
      </c>
    </row>
    <row r="52" spans="1:67" x14ac:dyDescent="0.3">
      <c r="C52" s="25"/>
      <c r="H52" s="137"/>
      <c r="I52" s="137"/>
      <c r="Y52" s="29"/>
      <c r="Z52" s="136"/>
      <c r="AA52" s="136"/>
      <c r="AB52" s="136"/>
      <c r="AC52" s="136"/>
      <c r="AD52" s="136"/>
      <c r="AF52" s="32"/>
      <c r="BJ52">
        <f t="shared" si="14"/>
        <v>1011</v>
      </c>
      <c r="BK52" t="str">
        <f t="shared" si="15"/>
        <v>Dairy_bull1_conv</v>
      </c>
      <c r="BL52" t="s">
        <v>127</v>
      </c>
      <c r="BM52">
        <f t="shared" si="21"/>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1011</v>
      </c>
      <c r="BK53" t="str">
        <f t="shared" si="15"/>
        <v>Dairy_bull1_conv</v>
      </c>
      <c r="BL53" t="s">
        <v>127</v>
      </c>
      <c r="BM53">
        <f t="shared" ref="BM53:BM58" si="22">$B$46</f>
        <v>0</v>
      </c>
      <c r="BN53" t="str">
        <f>C46</f>
        <v>Kg</v>
      </c>
      <c r="BO53" s="64">
        <f>P46</f>
        <v>0</v>
      </c>
    </row>
    <row r="54" spans="1:67" x14ac:dyDescent="0.3">
      <c r="A54" s="18" t="s">
        <v>220</v>
      </c>
      <c r="B54" s="50" t="s">
        <v>571</v>
      </c>
      <c r="C54" s="50" t="s">
        <v>43</v>
      </c>
      <c r="D54" s="138"/>
      <c r="E54" s="53"/>
      <c r="F54" s="138"/>
      <c r="G54" s="53"/>
      <c r="H54" s="138"/>
      <c r="I54" s="138"/>
      <c r="AF54" s="32"/>
      <c r="BJ54">
        <f t="shared" si="14"/>
        <v>1011</v>
      </c>
      <c r="BK54" t="str">
        <f t="shared" si="15"/>
        <v>Dairy_bull1_conv</v>
      </c>
      <c r="BL54" t="s">
        <v>127</v>
      </c>
      <c r="BM54">
        <f t="shared" si="22"/>
        <v>0</v>
      </c>
      <c r="BN54" t="str">
        <f>$AF$34</f>
        <v/>
      </c>
      <c r="BO54" s="32" t="str">
        <f>AF$46</f>
        <v/>
      </c>
    </row>
    <row r="55" spans="1:67" x14ac:dyDescent="0.3">
      <c r="A55" s="18" t="s">
        <v>254</v>
      </c>
      <c r="B55" s="50" t="s">
        <v>571</v>
      </c>
      <c r="C55" s="50" t="s">
        <v>43</v>
      </c>
      <c r="D55" s="138"/>
      <c r="E55" s="53"/>
      <c r="F55" s="138"/>
      <c r="G55" s="53"/>
      <c r="H55" s="138"/>
      <c r="I55" s="138"/>
      <c r="BJ55">
        <f t="shared" si="14"/>
        <v>1011</v>
      </c>
      <c r="BK55" t="str">
        <f t="shared" si="15"/>
        <v>Dairy_bull1_conv</v>
      </c>
      <c r="BL55" t="s">
        <v>127</v>
      </c>
      <c r="BM55">
        <f t="shared" si="22"/>
        <v>0</v>
      </c>
      <c r="BN55">
        <f>$AG$34</f>
        <v>0</v>
      </c>
      <c r="BO55" s="32">
        <f>AG$46</f>
        <v>0</v>
      </c>
    </row>
    <row r="56" spans="1:67" x14ac:dyDescent="0.3">
      <c r="A56" s="18" t="s">
        <v>35</v>
      </c>
      <c r="B56" s="50"/>
      <c r="C56" s="50"/>
      <c r="D56" s="138"/>
      <c r="E56" s="53"/>
      <c r="F56" s="138"/>
      <c r="G56" s="53"/>
      <c r="H56" s="138"/>
      <c r="I56" s="138"/>
      <c r="BJ56">
        <f t="shared" si="14"/>
        <v>1011</v>
      </c>
      <c r="BK56" t="str">
        <f t="shared" si="15"/>
        <v>Dairy_bull1_conv</v>
      </c>
      <c r="BL56" t="s">
        <v>127</v>
      </c>
      <c r="BM56">
        <f t="shared" si="22"/>
        <v>0</v>
      </c>
      <c r="BN56" s="32">
        <f>$AH$34</f>
        <v>0</v>
      </c>
      <c r="BO56" s="32">
        <f>AH$46</f>
        <v>0</v>
      </c>
    </row>
    <row r="57" spans="1:67" x14ac:dyDescent="0.3">
      <c r="A57" s="18" t="s">
        <v>36</v>
      </c>
      <c r="B57" s="50"/>
      <c r="C57" s="50"/>
      <c r="D57" s="138"/>
      <c r="E57" s="53"/>
      <c r="F57" s="138"/>
      <c r="G57" s="53"/>
      <c r="H57" s="138"/>
      <c r="I57" s="138"/>
      <c r="BJ57">
        <f t="shared" si="14"/>
        <v>1011</v>
      </c>
      <c r="BK57" t="str">
        <f t="shared" si="15"/>
        <v>Dairy_bull1_conv</v>
      </c>
      <c r="BL57" t="s">
        <v>127</v>
      </c>
      <c r="BM57">
        <f t="shared" si="22"/>
        <v>0</v>
      </c>
      <c r="BN57">
        <f>$AI$34</f>
        <v>0</v>
      </c>
      <c r="BO57" s="32">
        <f>AI$46</f>
        <v>0</v>
      </c>
    </row>
    <row r="58" spans="1:67" x14ac:dyDescent="0.3">
      <c r="A58" s="18" t="s">
        <v>37</v>
      </c>
      <c r="B58" s="50"/>
      <c r="C58" s="50"/>
      <c r="D58" s="138"/>
      <c r="E58" s="53"/>
      <c r="F58" s="138"/>
      <c r="G58" s="53"/>
      <c r="H58" s="138"/>
      <c r="I58" s="138"/>
      <c r="BJ58">
        <f t="shared" si="14"/>
        <v>1011</v>
      </c>
      <c r="BK58" t="str">
        <f t="shared" si="15"/>
        <v>Dairy_bull1_conv</v>
      </c>
      <c r="BL58" t="s">
        <v>127</v>
      </c>
      <c r="BM58">
        <f t="shared" si="22"/>
        <v>0</v>
      </c>
      <c r="BN58">
        <f>$AJ$34</f>
        <v>0</v>
      </c>
      <c r="BO58" s="32">
        <f>AJ$46</f>
        <v>0</v>
      </c>
    </row>
    <row r="59" spans="1:67" x14ac:dyDescent="0.3">
      <c r="A59" s="18" t="s">
        <v>56</v>
      </c>
      <c r="B59" s="24"/>
      <c r="D59" s="32"/>
      <c r="F59" s="32"/>
      <c r="H59" s="138"/>
      <c r="I59" s="138"/>
      <c r="BJ59">
        <f t="shared" si="14"/>
        <v>1011</v>
      </c>
      <c r="BK59" t="str">
        <f t="shared" si="15"/>
        <v>Dairy_bull1_conv</v>
      </c>
      <c r="BL59" t="s">
        <v>127</v>
      </c>
      <c r="BM59">
        <f t="shared" ref="BL59:BM62" si="23">$B$47</f>
        <v>0</v>
      </c>
      <c r="BN59">
        <f>$AG$34</f>
        <v>0</v>
      </c>
      <c r="BO59" s="32">
        <f>AG$47</f>
        <v>0</v>
      </c>
    </row>
    <row r="60" spans="1:67" x14ac:dyDescent="0.3">
      <c r="BJ60">
        <f t="shared" si="14"/>
        <v>1011</v>
      </c>
      <c r="BK60" t="str">
        <f t="shared" si="15"/>
        <v>Dairy_bull1_conv</v>
      </c>
      <c r="BL60" t="s">
        <v>127</v>
      </c>
      <c r="BM60">
        <f t="shared" si="23"/>
        <v>0</v>
      </c>
      <c r="BN60" s="32">
        <f>$AH$34</f>
        <v>0</v>
      </c>
      <c r="BO60" s="32">
        <f>AH$47</f>
        <v>0</v>
      </c>
    </row>
    <row r="61" spans="1:67" ht="17.399999999999999" x14ac:dyDescent="0.3">
      <c r="A61" s="31" t="s">
        <v>104</v>
      </c>
      <c r="BJ61">
        <f t="shared" si="14"/>
        <v>1011</v>
      </c>
      <c r="BK61" t="str">
        <f t="shared" si="15"/>
        <v>Dairy_bull1_conv</v>
      </c>
      <c r="BL61" t="s">
        <v>127</v>
      </c>
      <c r="BM61">
        <f t="shared" si="23"/>
        <v>0</v>
      </c>
      <c r="BN61">
        <f>$AI$34</f>
        <v>0</v>
      </c>
      <c r="BO61" s="32">
        <f>AI$47</f>
        <v>0</v>
      </c>
    </row>
    <row r="62" spans="1:67" x14ac:dyDescent="0.3">
      <c r="A62" s="21" t="s">
        <v>280</v>
      </c>
      <c r="B62" s="10" t="s">
        <v>101</v>
      </c>
      <c r="C62" s="10" t="s">
        <v>102</v>
      </c>
      <c r="D62" s="10" t="s">
        <v>103</v>
      </c>
      <c r="BI62">
        <f t="shared" si="14"/>
        <v>1011</v>
      </c>
      <c r="BJ62" t="str">
        <f t="shared" si="15"/>
        <v>Dairy_bull1_conv</v>
      </c>
      <c r="BK62" t="s">
        <v>127</v>
      </c>
      <c r="BL62">
        <f t="shared" si="23"/>
        <v>0</v>
      </c>
      <c r="BM62">
        <f>$AJ$34</f>
        <v>0</v>
      </c>
      <c r="BN62" s="32">
        <f>AJ$47</f>
        <v>0</v>
      </c>
    </row>
    <row r="63" spans="1:67" x14ac:dyDescent="0.3">
      <c r="A63" s="18" t="s">
        <v>86</v>
      </c>
      <c r="B63" s="19"/>
      <c r="C63" s="11">
        <v>60</v>
      </c>
      <c r="D63" s="11">
        <v>2</v>
      </c>
      <c r="E63" t="s">
        <v>278</v>
      </c>
      <c r="F63" t="s">
        <v>370</v>
      </c>
      <c r="BI63">
        <f t="shared" ref="BI63:BJ91" si="24">$BM$32</f>
        <v>1011</v>
      </c>
      <c r="BJ63" t="str">
        <f t="shared" ref="BJ63:BK91" si="25">$BM$33</f>
        <v>Dairy_bull1_conv</v>
      </c>
      <c r="BK63" t="s">
        <v>127</v>
      </c>
      <c r="BL63">
        <f t="shared" ref="BL63:BM68" si="26">$B$48</f>
        <v>0</v>
      </c>
      <c r="BM63" s="64" t="str">
        <f>C48</f>
        <v>Kg</v>
      </c>
      <c r="BN63" s="32">
        <f>P48</f>
        <v>0</v>
      </c>
    </row>
    <row r="64" spans="1:67" x14ac:dyDescent="0.3">
      <c r="A64" s="18" t="s">
        <v>87</v>
      </c>
      <c r="B64" s="19"/>
      <c r="C64" s="11"/>
      <c r="D64" s="11"/>
      <c r="BI64">
        <f t="shared" si="24"/>
        <v>1011</v>
      </c>
      <c r="BJ64" t="str">
        <f t="shared" si="25"/>
        <v>Dairy_bull1_conv</v>
      </c>
      <c r="BK64" t="s">
        <v>127</v>
      </c>
      <c r="BL64">
        <f t="shared" si="26"/>
        <v>0</v>
      </c>
      <c r="BM64" t="str">
        <f>$AF$34</f>
        <v/>
      </c>
      <c r="BN64" s="32" t="str">
        <f>AF$48</f>
        <v/>
      </c>
    </row>
    <row r="65" spans="1:67" x14ac:dyDescent="0.3">
      <c r="A65" s="156" t="s">
        <v>56</v>
      </c>
      <c r="B65" s="159">
        <f>SUM(B63:B64)</f>
        <v>0</v>
      </c>
      <c r="C65" s="159">
        <f>SUM(C63:C64)</f>
        <v>60</v>
      </c>
      <c r="D65" s="159">
        <f>SUM(D63:D64)</f>
        <v>2</v>
      </c>
      <c r="BJ65">
        <f t="shared" si="24"/>
        <v>1011</v>
      </c>
      <c r="BK65" t="str">
        <f t="shared" si="25"/>
        <v>Dairy_bull1_conv</v>
      </c>
      <c r="BL65" t="s">
        <v>127</v>
      </c>
      <c r="BM65">
        <f t="shared" si="26"/>
        <v>0</v>
      </c>
      <c r="BN65">
        <f>$AG$34</f>
        <v>0</v>
      </c>
      <c r="BO65" s="32">
        <f>AG$48</f>
        <v>0</v>
      </c>
    </row>
    <row r="66" spans="1:67" ht="17.399999999999999" x14ac:dyDescent="0.3">
      <c r="P66" s="31" t="s">
        <v>266</v>
      </c>
      <c r="Q66" s="31"/>
      <c r="BJ66">
        <f t="shared" si="24"/>
        <v>1011</v>
      </c>
      <c r="BK66" t="str">
        <f t="shared" si="25"/>
        <v>Dairy_bull1_conv</v>
      </c>
      <c r="BL66" t="s">
        <v>127</v>
      </c>
      <c r="BM66">
        <f t="shared" si="26"/>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4"/>
        <v>1011</v>
      </c>
      <c r="BK67" t="str">
        <f t="shared" si="25"/>
        <v>Dairy_bull1_conv</v>
      </c>
      <c r="BL67" t="s">
        <v>127</v>
      </c>
      <c r="BM67">
        <f t="shared" si="26"/>
        <v>0</v>
      </c>
      <c r="BN67">
        <f>$AI$34</f>
        <v>0</v>
      </c>
      <c r="BO67" s="32">
        <f>AI$48</f>
        <v>0</v>
      </c>
    </row>
    <row r="68" spans="1:67" x14ac:dyDescent="0.3">
      <c r="A68" s="18" t="s">
        <v>44</v>
      </c>
      <c r="B68" s="38"/>
      <c r="C68" s="19"/>
      <c r="D68" s="11"/>
      <c r="E68" s="11"/>
      <c r="F68" s="5"/>
      <c r="K68" s="49">
        <f t="shared" ref="K68:K72" si="27">IF(B68="",0,((((VLOOKUP(B68,$B$12:$D$18,3,FALSE))/1000)*C68)/(VLOOKUP(B68,$B$12:$R$18,17,FALSE)/1000))*(F68/100))</f>
        <v>0</v>
      </c>
      <c r="L68" s="49">
        <f>IF(E68="Diesel",VLOOKUP(D68,Other_tables!$L$5:$O$13,2,FALSE)*K68,0)</f>
        <v>0</v>
      </c>
      <c r="P68" s="30" t="str">
        <f>Other_tables!L5</f>
        <v>Traktor</v>
      </c>
      <c r="Q68" s="44"/>
      <c r="R68" s="159">
        <f t="shared" ref="R68:R76" si="28">SUMPRODUCT(($D$68:$D$81=P68)*$L$68:$L$81)</f>
        <v>0.23052255958285076</v>
      </c>
      <c r="S68" s="49">
        <f t="shared" ref="S68:S76" si="29">IF(P68="","0",SUMPRODUCT(($D$68:$D$81=P68)*$K$68:$K$81))</f>
        <v>1.1526127979142538</v>
      </c>
      <c r="T68" s="49">
        <f>IF(R68&gt;0,0,(S68*VLOOKUP(P68,Other_tables!$L$5:$O$13,2,FALSE))/1000)</f>
        <v>0</v>
      </c>
      <c r="U68" s="95"/>
      <c r="BJ68">
        <f t="shared" si="24"/>
        <v>1011</v>
      </c>
      <c r="BK68" t="str">
        <f t="shared" si="25"/>
        <v>Dairy_bull1_conv</v>
      </c>
      <c r="BL68" t="s">
        <v>127</v>
      </c>
      <c r="BM68">
        <f t="shared" si="26"/>
        <v>0</v>
      </c>
      <c r="BN68">
        <f>$AJ$34</f>
        <v>0</v>
      </c>
      <c r="BO68" s="32">
        <f>AJ$48</f>
        <v>0</v>
      </c>
    </row>
    <row r="69" spans="1:67" x14ac:dyDescent="0.3">
      <c r="A69" s="18" t="s">
        <v>45</v>
      </c>
      <c r="B69" s="38" t="s">
        <v>285</v>
      </c>
      <c r="C69" s="19">
        <v>168</v>
      </c>
      <c r="D69" s="11" t="s">
        <v>225</v>
      </c>
      <c r="E69" s="11" t="s">
        <v>81</v>
      </c>
      <c r="F69" s="5">
        <v>100</v>
      </c>
      <c r="G69" t="s">
        <v>230</v>
      </c>
      <c r="K69" s="49">
        <f t="shared" si="27"/>
        <v>95.521507132666017</v>
      </c>
      <c r="L69" s="49">
        <f>IF(E69="Diesel",VLOOKUP(D69,Other_tables!$L$5:$O$13,2,FALSE)*K69,0)</f>
        <v>0</v>
      </c>
      <c r="P69" s="30" t="str">
        <f>Other_tables!L6</f>
        <v>Lastbil &gt; 20 T</v>
      </c>
      <c r="Q69" s="44"/>
      <c r="R69" s="159">
        <f t="shared" si="28"/>
        <v>0</v>
      </c>
      <c r="S69" s="49">
        <f t="shared" si="29"/>
        <v>95.521507132666017</v>
      </c>
      <c r="T69" s="49">
        <f>IF(R69&gt;0,0,(S69*VLOOKUP(P69,Other_tables!$L$5:$O$13,2,FALSE))/1000)</f>
        <v>9.5521507132666006</v>
      </c>
      <c r="U69" s="95"/>
      <c r="BJ69">
        <f t="shared" si="24"/>
        <v>1011</v>
      </c>
      <c r="BK69" t="str">
        <f t="shared" si="25"/>
        <v>Dairy_bull1_conv</v>
      </c>
      <c r="BL69" t="s">
        <v>127</v>
      </c>
      <c r="BM69">
        <f t="shared" ref="BM69:BM74" si="30">$B$49</f>
        <v>0</v>
      </c>
      <c r="BN69" s="64" t="str">
        <f>C49</f>
        <v>Kg</v>
      </c>
      <c r="BO69" s="32">
        <f>P49</f>
        <v>0</v>
      </c>
    </row>
    <row r="70" spans="1:67" x14ac:dyDescent="0.3">
      <c r="A70" s="18" t="s">
        <v>46</v>
      </c>
      <c r="B70" s="38" t="s">
        <v>408</v>
      </c>
      <c r="C70" s="19">
        <v>133</v>
      </c>
      <c r="D70" s="11" t="s">
        <v>226</v>
      </c>
      <c r="E70" s="11" t="s">
        <v>81</v>
      </c>
      <c r="F70" s="5">
        <v>80</v>
      </c>
      <c r="G70" t="s">
        <v>683</v>
      </c>
      <c r="K70" s="49">
        <f t="shared" si="27"/>
        <v>53.793536445772354</v>
      </c>
      <c r="L70" s="49">
        <f>IF(E70="Diesel",VLOOKUP(D70,Other_tables!$L$5:$O$13,2,FALSE)*K70,0)</f>
        <v>0</v>
      </c>
      <c r="P70" s="30" t="str">
        <f>Other_tables!L7</f>
        <v>Lastbil 10-20 T</v>
      </c>
      <c r="Q70" s="44"/>
      <c r="R70" s="159">
        <f t="shared" si="28"/>
        <v>0</v>
      </c>
      <c r="S70" s="49">
        <f t="shared" si="29"/>
        <v>53.793536445772354</v>
      </c>
      <c r="T70" s="49">
        <f>IF(R70&gt;0,0,(S70*VLOOKUP(P70,Other_tables!$L$5:$O$13,2,FALSE))/1000)</f>
        <v>13.663558257226178</v>
      </c>
      <c r="BJ70">
        <f t="shared" si="24"/>
        <v>1011</v>
      </c>
      <c r="BK70" t="str">
        <f t="shared" si="25"/>
        <v>Dairy_bull1_conv</v>
      </c>
      <c r="BL70" t="s">
        <v>127</v>
      </c>
      <c r="BM70">
        <f t="shared" si="30"/>
        <v>0</v>
      </c>
      <c r="BN70" t="str">
        <f>$AF$34</f>
        <v/>
      </c>
      <c r="BO70" s="32" t="str">
        <f>AF$49</f>
        <v>Grain_conv</v>
      </c>
    </row>
    <row r="71" spans="1:67" x14ac:dyDescent="0.3">
      <c r="A71" s="18" t="s">
        <v>47</v>
      </c>
      <c r="B71" s="38" t="s">
        <v>408</v>
      </c>
      <c r="C71" s="19">
        <v>5</v>
      </c>
      <c r="D71" s="11" t="s">
        <v>229</v>
      </c>
      <c r="E71" s="11" t="s">
        <v>17</v>
      </c>
      <c r="F71" s="5">
        <v>20</v>
      </c>
      <c r="K71" s="49">
        <f t="shared" si="27"/>
        <v>0.50557835005425145</v>
      </c>
      <c r="L71" s="49">
        <f>IF(E71="Diesel",VLOOKUP(D71,Other_tables!$L$5:$O$13,2,FALSE)*K71,0)</f>
        <v>0.1011156700108503</v>
      </c>
      <c r="P71" s="30" t="str">
        <f>Other_tables!L8</f>
        <v>Lastbil &lt; 10 T</v>
      </c>
      <c r="Q71" s="44"/>
      <c r="R71" s="159">
        <f t="shared" si="28"/>
        <v>0</v>
      </c>
      <c r="S71" s="49">
        <f t="shared" si="29"/>
        <v>0</v>
      </c>
      <c r="T71" s="49">
        <f>IF(R71&gt;0,0,(S71*VLOOKUP(P71,Other_tables!$L$5:$O$13,2,FALSE))/1000)</f>
        <v>0</v>
      </c>
      <c r="BJ71">
        <f t="shared" si="24"/>
        <v>1011</v>
      </c>
      <c r="BK71" t="str">
        <f t="shared" si="25"/>
        <v>Dairy_bull1_conv</v>
      </c>
      <c r="BL71" t="s">
        <v>127</v>
      </c>
      <c r="BM71">
        <f t="shared" si="30"/>
        <v>0</v>
      </c>
      <c r="BN71">
        <f>$AG$34</f>
        <v>0</v>
      </c>
      <c r="BO71" s="32">
        <f>AG$49</f>
        <v>0</v>
      </c>
    </row>
    <row r="72" spans="1:67" x14ac:dyDescent="0.3">
      <c r="A72" s="18" t="s">
        <v>67</v>
      </c>
      <c r="B72" s="38" t="s">
        <v>409</v>
      </c>
      <c r="C72" s="19">
        <v>5</v>
      </c>
      <c r="D72" s="11" t="s">
        <v>229</v>
      </c>
      <c r="E72" s="11" t="s">
        <v>17</v>
      </c>
      <c r="F72" s="5">
        <v>100</v>
      </c>
      <c r="K72" s="49">
        <f t="shared" si="27"/>
        <v>0.38232856550706107</v>
      </c>
      <c r="L72" s="49">
        <f>IF(E72="Diesel",VLOOKUP(D72,Other_tables!$L$5:$O$13,2,FALSE)*K72,0)</f>
        <v>7.6465713101412217E-2</v>
      </c>
      <c r="P72" s="30" t="str">
        <f>Other_tables!L9</f>
        <v>Fragttog Europa</v>
      </c>
      <c r="Q72" s="44"/>
      <c r="R72" s="159">
        <f t="shared" si="28"/>
        <v>0</v>
      </c>
      <c r="S72" s="49">
        <f t="shared" si="29"/>
        <v>0</v>
      </c>
      <c r="T72" s="49">
        <f>IF(R72&gt;0,0,(S72*VLOOKUP(P72,Other_tables!$L$5:$O$13,2,FALSE))/1000)</f>
        <v>0</v>
      </c>
      <c r="BJ72">
        <f t="shared" si="24"/>
        <v>1011</v>
      </c>
      <c r="BK72" t="str">
        <f t="shared" si="25"/>
        <v>Dairy_bull1_conv</v>
      </c>
      <c r="BL72" t="s">
        <v>127</v>
      </c>
      <c r="BM72">
        <f t="shared" si="30"/>
        <v>0</v>
      </c>
      <c r="BN72" s="32">
        <f>$AH$34</f>
        <v>0</v>
      </c>
      <c r="BO72" s="32">
        <f>AH$49</f>
        <v>0</v>
      </c>
    </row>
    <row r="73" spans="1:67" x14ac:dyDescent="0.3">
      <c r="A73" s="18" t="s">
        <v>68</v>
      </c>
      <c r="B73" s="38" t="s">
        <v>446</v>
      </c>
      <c r="C73" s="19">
        <v>15</v>
      </c>
      <c r="D73" s="11" t="s">
        <v>229</v>
      </c>
      <c r="E73" s="11" t="s">
        <v>17</v>
      </c>
      <c r="F73" s="5">
        <v>100</v>
      </c>
      <c r="G73" t="s">
        <v>578</v>
      </c>
      <c r="K73" s="49">
        <f>IF(B73="",0,((((VLOOKUP(B73,$B$12:$D$18,3,FALSE))/1000)*C73)/(VLOOKUP(B73,$B$12:$R$18,17,FALSE)/1000))*(F73/100))</f>
        <v>0.26470588235294118</v>
      </c>
      <c r="L73" s="49">
        <f>IF(E73="Diesel",VLOOKUP(D73,Other_tables!$L$5:$O$13,2,FALSE)*K73,0)</f>
        <v>5.2941176470588241E-2</v>
      </c>
      <c r="P73" s="30" t="str">
        <f>Other_tables!L10</f>
        <v>Skib Oversøisk</v>
      </c>
      <c r="Q73" s="44"/>
      <c r="R73" s="159">
        <f t="shared" si="28"/>
        <v>0</v>
      </c>
      <c r="S73" s="49">
        <f t="shared" si="29"/>
        <v>0</v>
      </c>
      <c r="T73" s="49">
        <f>IF(R73&gt;0,0,(S73*VLOOKUP(P73,Other_tables!$L$5:$O$13,2,FALSE))/1000)</f>
        <v>0</v>
      </c>
      <c r="BJ73">
        <f t="shared" si="24"/>
        <v>1011</v>
      </c>
      <c r="BK73" t="str">
        <f t="shared" si="25"/>
        <v>Dairy_bull1_conv</v>
      </c>
      <c r="BL73" t="s">
        <v>127</v>
      </c>
      <c r="BM73">
        <f t="shared" si="30"/>
        <v>0</v>
      </c>
      <c r="BN73">
        <f>$AI$34</f>
        <v>0</v>
      </c>
      <c r="BO73" s="32">
        <f>AI$49</f>
        <v>0</v>
      </c>
    </row>
    <row r="74" spans="1:67" x14ac:dyDescent="0.3">
      <c r="A74" s="18" t="s">
        <v>48</v>
      </c>
      <c r="B74" s="38"/>
      <c r="C74" s="19"/>
      <c r="D74" s="11"/>
      <c r="E74" s="11"/>
      <c r="F74" s="5">
        <v>100</v>
      </c>
      <c r="K74" s="49">
        <f t="shared" ref="K74:K81" si="31">IF(B74="",0,((((VLOOKUP(B74,$B$12:$D$18,3,FALSE))/1000)*C74)/(VLOOKUP(B74,$B$12:$R$18,17,FALSE)/1000))*(F74/100))</f>
        <v>0</v>
      </c>
      <c r="L74" s="49">
        <f>IF(E74="Diesel",VLOOKUP(D74,Other_tables!$L$5:$O$13,2,FALSE)*K74,0)</f>
        <v>0</v>
      </c>
      <c r="P74" s="30" t="str">
        <f>Other_tables!L11</f>
        <v>Skib Indlandsk</v>
      </c>
      <c r="Q74" s="44"/>
      <c r="R74" s="159">
        <f t="shared" si="28"/>
        <v>0</v>
      </c>
      <c r="S74" s="49">
        <f t="shared" si="29"/>
        <v>0</v>
      </c>
      <c r="T74" s="49">
        <f>IF(R74&gt;0,0,(S74*VLOOKUP(P74,Other_tables!$L$5:$O$13,2,FALSE))/1000)</f>
        <v>0</v>
      </c>
      <c r="BJ74">
        <f t="shared" si="24"/>
        <v>1011</v>
      </c>
      <c r="BK74" t="str">
        <f t="shared" si="25"/>
        <v>Dairy_bull1_conv</v>
      </c>
      <c r="BL74" t="s">
        <v>127</v>
      </c>
      <c r="BM74">
        <f t="shared" si="30"/>
        <v>0</v>
      </c>
      <c r="BN74">
        <f>$AJ$34</f>
        <v>0</v>
      </c>
      <c r="BO74" s="32">
        <f>AJ$49</f>
        <v>0</v>
      </c>
    </row>
    <row r="75" spans="1:67" x14ac:dyDescent="0.3">
      <c r="A75" s="18" t="s">
        <v>49</v>
      </c>
      <c r="B75" s="38"/>
      <c r="C75" s="19"/>
      <c r="D75" s="11"/>
      <c r="E75" s="11"/>
      <c r="F75" s="5">
        <v>100</v>
      </c>
      <c r="K75" s="49">
        <f t="shared" si="31"/>
        <v>0</v>
      </c>
      <c r="L75" s="49">
        <f>IF(E75="Diesel",VLOOKUP(D75,Other_tables!$L$5:$O$13,2,FALSE)*K75,0)</f>
        <v>0</v>
      </c>
      <c r="P75" s="30" t="str">
        <f>Other_tables!L12</f>
        <v>Skib Europa</v>
      </c>
      <c r="Q75" s="44"/>
      <c r="R75" s="159">
        <f t="shared" si="28"/>
        <v>0</v>
      </c>
      <c r="S75" s="49">
        <f t="shared" si="29"/>
        <v>0</v>
      </c>
      <c r="T75" s="49">
        <f>IF(R75&gt;0,0,(S75*VLOOKUP(P75,Other_tables!$L$5:$O$13,2,FALSE))/1000)</f>
        <v>0</v>
      </c>
      <c r="BJ75">
        <f t="shared" si="24"/>
        <v>1011</v>
      </c>
      <c r="BK75" t="str">
        <f t="shared" si="25"/>
        <v>Dairy_bull1_conv</v>
      </c>
      <c r="BL75" t="s">
        <v>127</v>
      </c>
      <c r="BM75" t="str">
        <f t="shared" ref="BM75:BM80" si="32">$B$50</f>
        <v>Loss</v>
      </c>
      <c r="BN75" t="str">
        <f>C50</f>
        <v>Kg</v>
      </c>
      <c r="BO75" s="64">
        <f>P50</f>
        <v>0</v>
      </c>
    </row>
    <row r="76" spans="1:67" x14ac:dyDescent="0.3">
      <c r="A76" s="18" t="s">
        <v>50</v>
      </c>
      <c r="B76" s="38"/>
      <c r="C76" s="19"/>
      <c r="D76" s="11"/>
      <c r="E76" s="11"/>
      <c r="F76" s="5">
        <v>100</v>
      </c>
      <c r="K76" s="49">
        <f t="shared" si="31"/>
        <v>0</v>
      </c>
      <c r="L76" s="49">
        <f>IF(E76="Diesel",VLOOKUP(D76,Other_tables!$L$5:$O$13,2,FALSE)*K76,0)</f>
        <v>0</v>
      </c>
      <c r="P76" s="30">
        <f>Other_tables!L13</f>
        <v>0</v>
      </c>
      <c r="Q76" s="44"/>
      <c r="R76" s="159">
        <f t="shared" si="28"/>
        <v>0</v>
      </c>
      <c r="S76" s="49">
        <f t="shared" si="29"/>
        <v>0</v>
      </c>
      <c r="T76" s="49">
        <f>IF(R76&gt;0,0,(S76*VLOOKUP(P76,Other_tables!$L$5:$O$13,2,FALSE))/1000)</f>
        <v>0</v>
      </c>
      <c r="BJ76">
        <f t="shared" si="24"/>
        <v>1011</v>
      </c>
      <c r="BK76" t="str">
        <f t="shared" si="25"/>
        <v>Dairy_bull1_conv</v>
      </c>
      <c r="BL76" t="s">
        <v>127</v>
      </c>
      <c r="BM76" t="str">
        <f t="shared" si="32"/>
        <v>Loss</v>
      </c>
      <c r="BN76" t="str">
        <f>$AF$34</f>
        <v/>
      </c>
      <c r="BO76" s="32" t="str">
        <f>AF$50</f>
        <v/>
      </c>
    </row>
    <row r="77" spans="1:67" x14ac:dyDescent="0.3">
      <c r="A77" s="18" t="s">
        <v>75</v>
      </c>
      <c r="B77" s="38"/>
      <c r="C77" s="19"/>
      <c r="D77" s="11"/>
      <c r="E77" s="11"/>
      <c r="F77" s="5">
        <v>100</v>
      </c>
      <c r="K77" s="49">
        <f t="shared" si="31"/>
        <v>0</v>
      </c>
      <c r="L77" s="49">
        <f>IF(E77="Diesel",VLOOKUP(D77,Other_tables!$L$5:$O$13,2,FALSE)*K77,0)</f>
        <v>0</v>
      </c>
      <c r="P77" s="59" t="s">
        <v>56</v>
      </c>
      <c r="Q77" s="45"/>
      <c r="R77" s="58">
        <f>SUM(R68:R76)</f>
        <v>0.23052255958285076</v>
      </c>
      <c r="S77" s="57"/>
      <c r="T77" s="58">
        <f>SUM(T68:T76)</f>
        <v>23.215708970492777</v>
      </c>
      <c r="BJ77">
        <f t="shared" si="24"/>
        <v>1011</v>
      </c>
      <c r="BK77" t="str">
        <f t="shared" si="25"/>
        <v>Dairy_bull1_conv</v>
      </c>
      <c r="BL77" t="s">
        <v>127</v>
      </c>
      <c r="BM77" t="str">
        <f t="shared" si="32"/>
        <v>Loss</v>
      </c>
      <c r="BN77">
        <f>$AG$34</f>
        <v>0</v>
      </c>
      <c r="BO77" s="32">
        <f>AG$50</f>
        <v>0</v>
      </c>
    </row>
    <row r="78" spans="1:67" x14ac:dyDescent="0.3">
      <c r="A78" s="18" t="s">
        <v>76</v>
      </c>
      <c r="B78" s="38"/>
      <c r="C78" s="19"/>
      <c r="D78" s="11"/>
      <c r="E78" s="11"/>
      <c r="F78" s="5">
        <v>100</v>
      </c>
      <c r="K78" s="49">
        <f t="shared" si="31"/>
        <v>0</v>
      </c>
      <c r="L78" s="49">
        <f>IF(E78="Diesel",VLOOKUP(D78,Other_tables!$L$5:$O$13,2,FALSE)*K78,0)</f>
        <v>0</v>
      </c>
      <c r="BJ78">
        <f t="shared" si="24"/>
        <v>1011</v>
      </c>
      <c r="BK78" t="str">
        <f t="shared" si="25"/>
        <v>Dairy_bull1_conv</v>
      </c>
      <c r="BL78" t="s">
        <v>127</v>
      </c>
      <c r="BM78" t="str">
        <f t="shared" si="32"/>
        <v>Loss</v>
      </c>
      <c r="BN78">
        <f>$AH$34</f>
        <v>0</v>
      </c>
      <c r="BO78" s="32">
        <f>AH$50</f>
        <v>0</v>
      </c>
    </row>
    <row r="79" spans="1:67" x14ac:dyDescent="0.3">
      <c r="A79" s="18" t="s">
        <v>77</v>
      </c>
      <c r="B79" s="38"/>
      <c r="C79" s="19"/>
      <c r="D79" s="11"/>
      <c r="E79" s="11"/>
      <c r="F79" s="5">
        <v>100</v>
      </c>
      <c r="K79" s="49">
        <f t="shared" si="31"/>
        <v>0</v>
      </c>
      <c r="L79" s="49">
        <f>IF(E79="Diesel",VLOOKUP(D79,Other_tables!$L$5:$O$13,2,FALSE)*K79,0)</f>
        <v>0</v>
      </c>
      <c r="BJ79">
        <f t="shared" si="24"/>
        <v>1011</v>
      </c>
      <c r="BK79" t="str">
        <f t="shared" si="25"/>
        <v>Dairy_bull1_conv</v>
      </c>
      <c r="BL79" t="s">
        <v>127</v>
      </c>
      <c r="BM79" t="str">
        <f t="shared" si="32"/>
        <v>Loss</v>
      </c>
      <c r="BN79">
        <f>$AI$34</f>
        <v>0</v>
      </c>
      <c r="BO79" s="32">
        <f>AI$50</f>
        <v>0</v>
      </c>
    </row>
    <row r="80" spans="1:67" x14ac:dyDescent="0.3">
      <c r="A80" s="18" t="s">
        <v>78</v>
      </c>
      <c r="B80" s="38"/>
      <c r="C80" s="19"/>
      <c r="D80" s="11"/>
      <c r="E80" s="11"/>
      <c r="F80" s="5">
        <v>100</v>
      </c>
      <c r="K80" s="49">
        <f t="shared" si="31"/>
        <v>0</v>
      </c>
      <c r="L80" s="49">
        <f>IF(E80="Diesel",VLOOKUP(D80,Other_tables!$L$5:$O$13,2,FALSE)*K80,0)</f>
        <v>0</v>
      </c>
      <c r="BJ80">
        <f t="shared" si="24"/>
        <v>1011</v>
      </c>
      <c r="BK80" t="str">
        <f t="shared" si="25"/>
        <v>Dairy_bull1_conv</v>
      </c>
      <c r="BL80" t="s">
        <v>127</v>
      </c>
      <c r="BM80" t="str">
        <f t="shared" si="32"/>
        <v>Loss</v>
      </c>
      <c r="BN80">
        <f>$AJ$34</f>
        <v>0</v>
      </c>
      <c r="BO80" s="32">
        <f>AJ$50</f>
        <v>0</v>
      </c>
    </row>
    <row r="81" spans="1:67" x14ac:dyDescent="0.3">
      <c r="A81" s="18" t="s">
        <v>79</v>
      </c>
      <c r="B81" s="38"/>
      <c r="C81" s="19"/>
      <c r="D81" s="11"/>
      <c r="E81" s="11"/>
      <c r="F81" s="5">
        <v>100</v>
      </c>
      <c r="K81" s="49">
        <f t="shared" si="31"/>
        <v>0</v>
      </c>
      <c r="L81" s="49">
        <f>IF(E81="Diesel",VLOOKUP(D81,Other_tables!$L$5:$O$13,2,FALSE)*K81,0)</f>
        <v>0</v>
      </c>
      <c r="BJ81">
        <f t="shared" si="24"/>
        <v>1011</v>
      </c>
      <c r="BK81" t="str">
        <f t="shared" si="25"/>
        <v>Dairy_bull1_conv</v>
      </c>
      <c r="BL81" t="s">
        <v>118</v>
      </c>
      <c r="BM81" t="s">
        <v>118</v>
      </c>
      <c r="BN81">
        <f>I53</f>
        <v>0</v>
      </c>
      <c r="BO81" s="47">
        <f>I59</f>
        <v>0</v>
      </c>
    </row>
    <row r="82" spans="1:67" ht="17.399999999999999" x14ac:dyDescent="0.3">
      <c r="A82" s="25"/>
      <c r="B82" s="25"/>
      <c r="C82" s="24"/>
      <c r="D82" s="24"/>
      <c r="P82" s="31" t="s">
        <v>95</v>
      </c>
      <c r="Q82" s="55"/>
      <c r="BJ82">
        <f t="shared" si="24"/>
        <v>1011</v>
      </c>
      <c r="BK82" t="str">
        <f t="shared" si="25"/>
        <v>Dairy_bull1_conv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4"/>
        <v>1011</v>
      </c>
      <c r="BK83" t="str">
        <f t="shared" si="25"/>
        <v>Dairy_bull1_conv</v>
      </c>
      <c r="BL83" t="str">
        <f>$A$67</f>
        <v>Transport</v>
      </c>
      <c r="BM83" t="str">
        <f>BL83</f>
        <v>Transport</v>
      </c>
      <c r="BN83" t="str">
        <f>R67</f>
        <v>Diesel (L)</v>
      </c>
      <c r="BO83" s="47">
        <f>R77</f>
        <v>0.23052255958285076</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3">B84</f>
        <v>Grain_conv</v>
      </c>
      <c r="Q84" s="44"/>
      <c r="R84" s="49">
        <f>IF(D84="",0,VLOOKUP(P84,$B$12:$D$18,3,FALSE)*D84)</f>
        <v>9.2370370370370356</v>
      </c>
      <c r="S84" s="49">
        <f>IF(E84="",0,VLOOKUP(P84,$B$12:$D$18,3,FALSE)*E84)</f>
        <v>1.2209876543209877</v>
      </c>
      <c r="BJ84">
        <f t="shared" si="24"/>
        <v>1011</v>
      </c>
      <c r="BK84" t="str">
        <f t="shared" si="25"/>
        <v>Dairy_bull1_conv</v>
      </c>
      <c r="BL84" t="str">
        <f>$A$67</f>
        <v>Transport</v>
      </c>
      <c r="BM84" t="str">
        <f>BL84</f>
        <v>Transport</v>
      </c>
      <c r="BN84" t="str">
        <f>T67</f>
        <v>kg CO₂eq for T/km</v>
      </c>
      <c r="BO84" s="47">
        <f>T77</f>
        <v>23.215708970492777</v>
      </c>
    </row>
    <row r="85" spans="1:67" x14ac:dyDescent="0.3">
      <c r="A85" s="18" t="s">
        <v>34</v>
      </c>
      <c r="B85" s="38"/>
      <c r="C85" s="19"/>
      <c r="D85" s="28" t="str">
        <f>IF(B85="","",VLOOKUP(C85,Other_tables!$S$5:$AA$22,7,FALSE))</f>
        <v/>
      </c>
      <c r="E85" s="28" t="str">
        <f>IF(B85="","",VLOOKUP(C85,Other_tables!$S$5:$AA$22,3,FALSE))</f>
        <v/>
      </c>
      <c r="F85" s="5">
        <v>100</v>
      </c>
      <c r="P85" s="30">
        <f t="shared" si="33"/>
        <v>0</v>
      </c>
      <c r="Q85" s="44"/>
      <c r="R85" s="49">
        <f t="shared" ref="R85:R92" si="34">IF(D85="",0,VLOOKUP(P85,$B$12:$D$18,3,FALSE)*D85)</f>
        <v>0</v>
      </c>
      <c r="S85" s="49">
        <f t="shared" ref="S85:S92" si="35">IF(E85="",0,VLOOKUP(P85,$B$12:$D$18,3,FALSE)*E85)</f>
        <v>0</v>
      </c>
      <c r="BJ85">
        <f t="shared" si="24"/>
        <v>1011</v>
      </c>
      <c r="BK85" t="str">
        <f t="shared" si="25"/>
        <v>Dairy_bull1_conv</v>
      </c>
      <c r="BL85" t="s">
        <v>120</v>
      </c>
      <c r="BM85" t="s">
        <v>120</v>
      </c>
      <c r="BN85" t="str">
        <f>R83</f>
        <v>EL (KWh)</v>
      </c>
      <c r="BO85" s="47">
        <f>R93</f>
        <v>9.2370370370370356</v>
      </c>
    </row>
    <row r="86" spans="1:67" x14ac:dyDescent="0.3">
      <c r="A86" s="18" t="s">
        <v>35</v>
      </c>
      <c r="B86" s="38"/>
      <c r="C86" s="19"/>
      <c r="D86" s="28" t="str">
        <f>IF(B86="","",VLOOKUP(C86,Other_tables!$S$5:$AA$22,7,FALSE))</f>
        <v/>
      </c>
      <c r="E86" s="28" t="str">
        <f>IF(B86="","",VLOOKUP(C86,Other_tables!$S$5:$AA$22,3,FALSE))</f>
        <v/>
      </c>
      <c r="F86" s="5">
        <v>100</v>
      </c>
      <c r="P86" s="30">
        <f t="shared" si="33"/>
        <v>0</v>
      </c>
      <c r="Q86" s="44"/>
      <c r="R86" s="49">
        <f>IF(D86="",0,VLOOKUP(P86,$B$12:$D$18,3,FALSE)*D86)</f>
        <v>0</v>
      </c>
      <c r="S86" s="49">
        <f t="shared" si="35"/>
        <v>0</v>
      </c>
      <c r="BJ86">
        <f t="shared" si="24"/>
        <v>1011</v>
      </c>
      <c r="BK86" t="str">
        <f t="shared" si="25"/>
        <v>Dairy_bull1_conv</v>
      </c>
      <c r="BL86" t="s">
        <v>120</v>
      </c>
      <c r="BM86" t="s">
        <v>120</v>
      </c>
      <c r="BN86" t="str">
        <f>S83</f>
        <v>Diesel (L)</v>
      </c>
      <c r="BO86" s="47">
        <f>S93</f>
        <v>1.2209876543209877</v>
      </c>
    </row>
    <row r="87" spans="1:67" x14ac:dyDescent="0.3">
      <c r="A87" s="18" t="s">
        <v>36</v>
      </c>
      <c r="B87" s="38"/>
      <c r="C87" s="19"/>
      <c r="D87" s="28" t="str">
        <f>IF(B87="","",VLOOKUP(C87,Other_tables!$S$5:$AA$22,7,FALSE))</f>
        <v/>
      </c>
      <c r="E87" s="28" t="str">
        <f>IF(B87="","",VLOOKUP(C87,Other_tables!$S$5:$AA$22,3,FALSE))</f>
        <v/>
      </c>
      <c r="F87" s="5">
        <v>100</v>
      </c>
      <c r="P87" s="30">
        <f t="shared" si="33"/>
        <v>0</v>
      </c>
      <c r="Q87" s="44"/>
      <c r="R87" s="49">
        <f t="shared" si="34"/>
        <v>0</v>
      </c>
      <c r="S87" s="49">
        <f t="shared" si="35"/>
        <v>0</v>
      </c>
      <c r="BJ87">
        <f t="shared" si="24"/>
        <v>1011</v>
      </c>
      <c r="BK87" t="str">
        <f t="shared" si="25"/>
        <v>Dairy_bull1_conv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3"/>
        <v>0</v>
      </c>
      <c r="Q88" s="44"/>
      <c r="R88" s="49">
        <f t="shared" si="34"/>
        <v>0</v>
      </c>
      <c r="S88" s="49">
        <f t="shared" si="35"/>
        <v>0</v>
      </c>
      <c r="BJ88">
        <f t="shared" si="24"/>
        <v>1011</v>
      </c>
      <c r="BK88" t="str">
        <f t="shared" si="25"/>
        <v>Dairy_bull1_conv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3"/>
        <v>0</v>
      </c>
      <c r="Q89" s="44"/>
      <c r="R89" s="49">
        <f t="shared" si="34"/>
        <v>0</v>
      </c>
      <c r="S89" s="49">
        <f t="shared" si="35"/>
        <v>0</v>
      </c>
      <c r="BJ89">
        <f t="shared" si="24"/>
        <v>1011</v>
      </c>
      <c r="BK89" t="str">
        <f t="shared" si="25"/>
        <v>Dairy_bull1_conv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3"/>
        <v>0</v>
      </c>
      <c r="Q90" s="44"/>
      <c r="R90" s="49">
        <f t="shared" si="34"/>
        <v>0</v>
      </c>
      <c r="S90" s="49">
        <f t="shared" si="35"/>
        <v>0</v>
      </c>
      <c r="BJ90">
        <f t="shared" si="24"/>
        <v>1011</v>
      </c>
      <c r="BK90" t="str">
        <f t="shared" si="25"/>
        <v>Dairy_bull1_conv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3"/>
        <v>0</v>
      </c>
      <c r="Q91" s="44"/>
      <c r="R91" s="49">
        <f t="shared" si="34"/>
        <v>0</v>
      </c>
      <c r="S91" s="49">
        <f t="shared" si="35"/>
        <v>0</v>
      </c>
      <c r="BJ91">
        <f t="shared" si="24"/>
        <v>1011</v>
      </c>
      <c r="BK91" t="str">
        <f t="shared" si="25"/>
        <v>Dairy_bull1_conv</v>
      </c>
      <c r="BL91" t="s">
        <v>125</v>
      </c>
      <c r="BM91" t="s">
        <v>125</v>
      </c>
      <c r="BN91" t="str">
        <f>T96</f>
        <v>Diesel (L)</v>
      </c>
      <c r="BO91">
        <f>E118</f>
        <v>0.28431468398524862</v>
      </c>
    </row>
    <row r="92" spans="1:67" x14ac:dyDescent="0.3">
      <c r="A92" s="18" t="s">
        <v>41</v>
      </c>
      <c r="B92" s="38"/>
      <c r="C92" s="19"/>
      <c r="D92" s="28" t="str">
        <f>IF(B92="","",VLOOKUP(C92,Other_tables!$S$5:$AA$22,7,FALSE))</f>
        <v/>
      </c>
      <c r="E92" s="28" t="str">
        <f>IF(B92="","",VLOOKUP(C92,Other_tables!$S$5:$AA$22,3,FALSE))</f>
        <v/>
      </c>
      <c r="F92" s="5">
        <v>100</v>
      </c>
      <c r="P92" s="30">
        <f t="shared" si="33"/>
        <v>0</v>
      </c>
      <c r="Q92" s="44"/>
      <c r="R92" s="49">
        <f t="shared" si="34"/>
        <v>0</v>
      </c>
      <c r="S92" s="49">
        <f t="shared" si="35"/>
        <v>0</v>
      </c>
    </row>
    <row r="93" spans="1:67" x14ac:dyDescent="0.3">
      <c r="P93" s="59" t="s">
        <v>56</v>
      </c>
      <c r="Q93" s="45"/>
      <c r="R93" s="58">
        <f>SUM(R84:R92)</f>
        <v>9.2370370370370356</v>
      </c>
      <c r="S93" s="58">
        <f>SUM(S84:S92)</f>
        <v>1.2209876543209877</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6">B97</f>
        <v>0</v>
      </c>
      <c r="Q97" s="56"/>
      <c r="R97" s="49">
        <f t="shared" ref="R97:R105" si="37">IF(C97="",0,VLOOKUP(P97,$B$24:$D$30,3,FALSE)*C97)</f>
        <v>0</v>
      </c>
      <c r="S97" s="49">
        <f t="shared" ref="S97:S105" si="38">IF(D97="",0,VLOOKUP(P97,$B$24:$D$30,3,FALSE)*D97)</f>
        <v>0</v>
      </c>
      <c r="T97" s="49">
        <f t="shared" ref="T97:T105" si="39">IF(E97="",0,VLOOKUP(P97,$B$24:$D$30,3,FALSE)*E97)</f>
        <v>0</v>
      </c>
    </row>
    <row r="98" spans="1:20" x14ac:dyDescent="0.3">
      <c r="A98" s="18" t="s">
        <v>87</v>
      </c>
      <c r="B98" s="38"/>
      <c r="C98" s="19"/>
      <c r="D98" s="11"/>
      <c r="E98" s="11"/>
      <c r="P98" s="30">
        <f t="shared" si="36"/>
        <v>0</v>
      </c>
      <c r="Q98" s="44"/>
      <c r="R98" s="49">
        <f t="shared" si="37"/>
        <v>0</v>
      </c>
      <c r="S98" s="49">
        <f t="shared" si="38"/>
        <v>0</v>
      </c>
      <c r="T98" s="49">
        <f t="shared" si="39"/>
        <v>0</v>
      </c>
    </row>
    <row r="99" spans="1:20" x14ac:dyDescent="0.3">
      <c r="A99" s="18" t="s">
        <v>88</v>
      </c>
      <c r="B99" s="38"/>
      <c r="C99" s="19"/>
      <c r="D99" s="11"/>
      <c r="E99" s="11"/>
      <c r="P99" s="30">
        <f t="shared" si="36"/>
        <v>0</v>
      </c>
      <c r="Q99" s="44"/>
      <c r="R99" s="49">
        <f t="shared" si="37"/>
        <v>0</v>
      </c>
      <c r="S99" s="49">
        <f t="shared" si="38"/>
        <v>0</v>
      </c>
      <c r="T99" s="49">
        <f t="shared" si="39"/>
        <v>0</v>
      </c>
    </row>
    <row r="100" spans="1:20" x14ac:dyDescent="0.3">
      <c r="A100" s="18" t="s">
        <v>89</v>
      </c>
      <c r="B100" s="38"/>
      <c r="C100" s="19"/>
      <c r="D100" s="11"/>
      <c r="E100" s="11"/>
      <c r="P100" s="30">
        <f t="shared" si="36"/>
        <v>0</v>
      </c>
      <c r="Q100" s="44"/>
      <c r="R100" s="49">
        <f t="shared" si="37"/>
        <v>0</v>
      </c>
      <c r="S100" s="49">
        <f t="shared" si="38"/>
        <v>0</v>
      </c>
      <c r="T100" s="49">
        <f t="shared" si="39"/>
        <v>0</v>
      </c>
    </row>
    <row r="101" spans="1:20" x14ac:dyDescent="0.3">
      <c r="A101" s="18" t="s">
        <v>90</v>
      </c>
      <c r="B101" s="38"/>
      <c r="C101" s="19"/>
      <c r="D101" s="11"/>
      <c r="E101" s="11"/>
      <c r="P101" s="30">
        <f t="shared" si="36"/>
        <v>0</v>
      </c>
      <c r="Q101" s="44"/>
      <c r="R101" s="49">
        <f t="shared" si="37"/>
        <v>0</v>
      </c>
      <c r="S101" s="49">
        <f t="shared" si="38"/>
        <v>0</v>
      </c>
      <c r="T101" s="49">
        <f t="shared" si="39"/>
        <v>0</v>
      </c>
    </row>
    <row r="102" spans="1:20" x14ac:dyDescent="0.3">
      <c r="A102" s="18" t="s">
        <v>91</v>
      </c>
      <c r="B102" s="38"/>
      <c r="C102" s="19"/>
      <c r="D102" s="11"/>
      <c r="E102" s="11"/>
      <c r="P102" s="30">
        <f t="shared" si="36"/>
        <v>0</v>
      </c>
      <c r="Q102" s="44"/>
      <c r="R102" s="49">
        <f t="shared" si="37"/>
        <v>0</v>
      </c>
      <c r="S102" s="49">
        <f t="shared" si="38"/>
        <v>0</v>
      </c>
      <c r="T102" s="49">
        <f t="shared" si="39"/>
        <v>0</v>
      </c>
    </row>
    <row r="103" spans="1:20" x14ac:dyDescent="0.3">
      <c r="A103" s="18" t="s">
        <v>92</v>
      </c>
      <c r="B103" s="38"/>
      <c r="C103" s="19"/>
      <c r="D103" s="11"/>
      <c r="E103" s="11"/>
      <c r="P103" s="30">
        <f t="shared" si="36"/>
        <v>0</v>
      </c>
      <c r="Q103" s="44"/>
      <c r="R103" s="49">
        <f t="shared" si="37"/>
        <v>0</v>
      </c>
      <c r="S103" s="49">
        <f t="shared" si="38"/>
        <v>0</v>
      </c>
      <c r="T103" s="49">
        <f t="shared" si="39"/>
        <v>0</v>
      </c>
    </row>
    <row r="104" spans="1:20" x14ac:dyDescent="0.3">
      <c r="A104" s="18" t="s">
        <v>93</v>
      </c>
      <c r="B104" s="38"/>
      <c r="C104" s="19"/>
      <c r="D104" s="11"/>
      <c r="E104" s="11"/>
      <c r="P104" s="30">
        <f t="shared" si="36"/>
        <v>0</v>
      </c>
      <c r="Q104" s="44"/>
      <c r="R104" s="49">
        <f t="shared" si="37"/>
        <v>0</v>
      </c>
      <c r="S104" s="49">
        <f t="shared" si="38"/>
        <v>0</v>
      </c>
      <c r="T104" s="49">
        <f t="shared" si="39"/>
        <v>0</v>
      </c>
    </row>
    <row r="105" spans="1:20" x14ac:dyDescent="0.3">
      <c r="A105" s="18" t="s">
        <v>94</v>
      </c>
      <c r="B105" s="38"/>
      <c r="C105" s="19"/>
      <c r="D105" s="11"/>
      <c r="E105" s="11"/>
      <c r="P105" s="30">
        <f t="shared" si="36"/>
        <v>0</v>
      </c>
      <c r="Q105" s="44"/>
      <c r="R105" s="49">
        <f t="shared" si="37"/>
        <v>0</v>
      </c>
      <c r="S105" s="49">
        <f t="shared" si="38"/>
        <v>0</v>
      </c>
      <c r="T105" s="49">
        <f t="shared" si="39"/>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409</v>
      </c>
      <c r="C109" s="19" t="s">
        <v>169</v>
      </c>
      <c r="D109" s="11"/>
      <c r="E109" s="206">
        <f>IF(C109="","",IF(VLOOKUP(C109,'Diesel consumption for field op'!$B$4:$E$78,3,FALSE)="L / ton",((VLOOKUP(C109,'Diesel consumption for field op'!$B$4:$E$78,2,FALSE)*1.007)*(VLOOKUP(B109,$B$12:$D$30,3,FALSE)/1000)/(VLOOKUP(B109,$B$12:$R$30,17,FALSE)/1000)),0))</f>
        <v>3.8500486546561054E-2</v>
      </c>
    </row>
    <row r="110" spans="1:20" x14ac:dyDescent="0.3">
      <c r="A110" s="18" t="s">
        <v>87</v>
      </c>
      <c r="B110" s="38" t="s">
        <v>409</v>
      </c>
      <c r="C110" s="19" t="s">
        <v>219</v>
      </c>
      <c r="D110" s="11"/>
      <c r="E110" s="206">
        <f>IF(C110="","",IF(VLOOKUP(C110,'Diesel consumption for field op'!$B$4:$E$78,3,FALSE)="L / ton",((VLOOKUP(C110,'Diesel consumption for field op'!$B$4:$E$78,2,FALSE)*1.007)*(VLOOKUP(B110,$B$12:$D$30,3,FALSE)/1000)/(VLOOKUP(B110,$B$12:$R$30,17,FALSE)/1000)),0))</f>
        <v>0.15400194618624422</v>
      </c>
    </row>
    <row r="111" spans="1:20" x14ac:dyDescent="0.3">
      <c r="A111" s="18" t="s">
        <v>88</v>
      </c>
      <c r="B111" s="38" t="s">
        <v>409</v>
      </c>
      <c r="C111" s="19" t="s">
        <v>173</v>
      </c>
      <c r="D111" s="11"/>
      <c r="E111" s="206">
        <f>IF(C111="","",IF(VLOOKUP(C111,'Diesel consumption for field op'!$B$4:$E$78,3,FALSE)="L / ton",((VLOOKUP(C111,'Diesel consumption for field op'!$B$4:$E$78,2,FALSE)*1.007)*(VLOOKUP(B111,$B$12:$D$30,3,FALSE)/1000)/(VLOOKUP(B111,$B$12:$R$30,17,FALSE)/1000)),0))</f>
        <v>3.8500486546561054E-2</v>
      </c>
    </row>
    <row r="112" spans="1:20" x14ac:dyDescent="0.3">
      <c r="A112" s="18" t="s">
        <v>89</v>
      </c>
      <c r="B112" s="38" t="s">
        <v>446</v>
      </c>
      <c r="C112" s="19" t="s">
        <v>169</v>
      </c>
      <c r="D112" s="11"/>
      <c r="E112" s="206">
        <f>IF(C112="","",IF(VLOOKUP(C112,'Diesel consumption for field op'!$B$4:$E$78,3,FALSE)="L / ton",((VLOOKUP(C112,'Diesel consumption for field op'!$B$4:$E$78,2,FALSE)*1.007)*(VLOOKUP(B112,$B$12:$D$30,3,FALSE)/1000)/(VLOOKUP(B112,$B$12:$R$30,17,FALSE)/1000)),0))</f>
        <v>8.8852941176470589E-3</v>
      </c>
    </row>
    <row r="113" spans="1:13" x14ac:dyDescent="0.3">
      <c r="A113" s="18" t="s">
        <v>90</v>
      </c>
      <c r="B113" s="38" t="s">
        <v>446</v>
      </c>
      <c r="C113" s="19" t="s">
        <v>219</v>
      </c>
      <c r="D113" s="11"/>
      <c r="E113" s="206">
        <f>IF(C113="","",IF(VLOOKUP(C113,'Diesel consumption for field op'!$B$4:$E$78,3,FALSE)="L / ton",((VLOOKUP(C113,'Diesel consumption for field op'!$B$4:$E$78,2,FALSE)*1.007)*(VLOOKUP(B113,$B$12:$D$30,3,FALSE)/1000)/(VLOOKUP(B113,$B$12:$R$30,17,FALSE)/1000)),0))</f>
        <v>3.5541176470588236E-2</v>
      </c>
    </row>
    <row r="114" spans="1:13" x14ac:dyDescent="0.3">
      <c r="A114" s="18" t="s">
        <v>91</v>
      </c>
      <c r="B114" s="38" t="s">
        <v>446</v>
      </c>
      <c r="C114" s="19" t="s">
        <v>173</v>
      </c>
      <c r="D114" s="11"/>
      <c r="E114" s="206">
        <f>IF(C114="","",IF(VLOOKUP(C114,'Diesel consumption for field op'!$B$4:$E$78,3,FALSE)="L / ton",((VLOOKUP(C114,'Diesel consumption for field op'!$B$4:$E$78,2,FALSE)*1.007)*(VLOOKUP(B114,$B$12:$D$30,3,FALSE)/1000)/(VLOOKUP(B114,$B$12:$R$30,17,FALSE)/1000)),0))</f>
        <v>8.8852941176470589E-3</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0.28431468398524862</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582</v>
      </c>
      <c r="B122" s="158"/>
      <c r="C122" s="248">
        <v>0.63685755414919354</v>
      </c>
      <c r="D122" s="6" t="s">
        <v>409</v>
      </c>
      <c r="E122" s="252">
        <v>156.84044233807265</v>
      </c>
      <c r="F122" s="164">
        <f>VLOOKUP(A122,'Stable systems'!$A$4:$AK$105,35,FALSE)</f>
        <v>0</v>
      </c>
      <c r="G122" s="164">
        <f>VLOOKUP(A122,'Stable systems'!$A$4:$AK$105,36,FALSE)</f>
        <v>0</v>
      </c>
      <c r="H122" s="164">
        <f>VLOOKUP(A122,'Stable systems'!$A$4:$AK$105,37,FALSE)</f>
        <v>0</v>
      </c>
      <c r="M122" s="173">
        <f>(C122/100)*E122</f>
        <v>0.99885020499102561</v>
      </c>
    </row>
    <row r="123" spans="1:13" x14ac:dyDescent="0.3">
      <c r="A123" s="158" t="s">
        <v>583</v>
      </c>
      <c r="B123" s="158"/>
      <c r="C123" s="248">
        <v>0.12952542846023868</v>
      </c>
      <c r="D123" s="6" t="s">
        <v>409</v>
      </c>
      <c r="E123" s="252">
        <v>156.84044233807265</v>
      </c>
      <c r="F123" s="164">
        <f>VLOOKUP(A123,'Stable systems'!$A$4:$AK$105,35,FALSE)</f>
        <v>0</v>
      </c>
      <c r="G123" s="164">
        <f>VLOOKUP(A123,'Stable systems'!$A$4:$AK$105,36,FALSE)</f>
        <v>0</v>
      </c>
      <c r="H123" s="164">
        <f>VLOOKUP(A123,'Stable systems'!$A$4:$AK$105,37,FALSE)</f>
        <v>0</v>
      </c>
      <c r="M123" s="173">
        <f t="shared" ref="M123:M131" si="40">(C123/100)*E123</f>
        <v>0.20314825493732219</v>
      </c>
    </row>
    <row r="124" spans="1:13" x14ac:dyDescent="0.3">
      <c r="A124" s="158" t="s">
        <v>584</v>
      </c>
      <c r="B124" s="158"/>
      <c r="C124" s="248">
        <v>70.925825531575001</v>
      </c>
      <c r="D124" s="6" t="s">
        <v>409</v>
      </c>
      <c r="E124" s="252">
        <v>946.35235650342293</v>
      </c>
      <c r="F124" s="164">
        <f>VLOOKUP(A124,'Stable systems'!$A$4:$AK$105,35,FALSE)</f>
        <v>0</v>
      </c>
      <c r="G124" s="164">
        <f>VLOOKUP(A124,'Stable systems'!$A$4:$AK$105,36,FALSE)</f>
        <v>0</v>
      </c>
      <c r="H124" s="164">
        <f>VLOOKUP(A124,'Stable systems'!$A$4:$AK$105,37,FALSE)</f>
        <v>0</v>
      </c>
      <c r="M124" s="173">
        <f t="shared" si="40"/>
        <v>671.2082212875664</v>
      </c>
    </row>
    <row r="125" spans="1:13" x14ac:dyDescent="0.3">
      <c r="A125" s="158" t="s">
        <v>585</v>
      </c>
      <c r="B125" s="158"/>
      <c r="C125" s="248">
        <v>2.9568594658111431</v>
      </c>
      <c r="D125" s="6" t="s">
        <v>409</v>
      </c>
      <c r="E125" s="252">
        <v>820.88000263296465</v>
      </c>
      <c r="F125" s="164">
        <f>VLOOKUP(A125,'Stable systems'!$A$4:$AK$105,35,FALSE)</f>
        <v>0</v>
      </c>
      <c r="G125" s="164">
        <f>VLOOKUP(A125,'Stable systems'!$A$4:$AK$105,36,FALSE)</f>
        <v>0</v>
      </c>
      <c r="H125" s="164">
        <f>VLOOKUP(A125,'Stable systems'!$A$4:$AK$105,37,FALSE)</f>
        <v>0</v>
      </c>
      <c r="M125" s="173">
        <f t="shared" si="40"/>
        <v>24.272268060803576</v>
      </c>
    </row>
    <row r="126" spans="1:13" x14ac:dyDescent="0.3">
      <c r="A126" s="158" t="s">
        <v>586</v>
      </c>
      <c r="B126" s="158"/>
      <c r="C126" s="248">
        <v>0.46102807155758496</v>
      </c>
      <c r="D126" s="6" t="s">
        <v>409</v>
      </c>
      <c r="E126" s="252">
        <v>648.27382833070033</v>
      </c>
      <c r="F126" s="164">
        <f>VLOOKUP(A126,'Stable systems'!$A$4:$AK$105,35,FALSE)</f>
        <v>0</v>
      </c>
      <c r="G126" s="164">
        <f>VLOOKUP(A126,'Stable systems'!$A$4:$AK$105,36,FALSE)</f>
        <v>0</v>
      </c>
      <c r="H126" s="164">
        <f>VLOOKUP(A126,'Stable systems'!$A$4:$AK$105,37,FALSE)</f>
        <v>0</v>
      </c>
      <c r="M126" s="173">
        <f t="shared" si="40"/>
        <v>2.988724329165557</v>
      </c>
    </row>
    <row r="127" spans="1:13" x14ac:dyDescent="0.3">
      <c r="A127" s="158" t="s">
        <v>587</v>
      </c>
      <c r="B127" s="158"/>
      <c r="C127" s="248">
        <v>1.1142355049968007</v>
      </c>
      <c r="D127" s="6" t="s">
        <v>409</v>
      </c>
      <c r="E127" s="252">
        <v>648.27382833070033</v>
      </c>
      <c r="F127" s="164">
        <f>VLOOKUP(A127,'Stable systems'!$A$4:$AK$105,35,FALSE)</f>
        <v>0</v>
      </c>
      <c r="G127" s="164">
        <f>VLOOKUP(A127,'Stable systems'!$A$4:$AK$105,36,FALSE)</f>
        <v>0</v>
      </c>
      <c r="H127" s="164">
        <f>VLOOKUP(A127,'Stable systems'!$A$4:$AK$105,37,FALSE)</f>
        <v>0</v>
      </c>
      <c r="M127" s="173">
        <f t="shared" si="40"/>
        <v>7.2232971648626716</v>
      </c>
    </row>
    <row r="128" spans="1:13" x14ac:dyDescent="0.3">
      <c r="A128" s="158" t="s">
        <v>588</v>
      </c>
      <c r="B128" s="158"/>
      <c r="C128" s="248">
        <v>0.82823767804196802</v>
      </c>
      <c r="D128" s="6" t="s">
        <v>409</v>
      </c>
      <c r="E128" s="252">
        <v>648.27382833070033</v>
      </c>
      <c r="F128" s="164">
        <f>VLOOKUP(A128,'Stable systems'!$A$4:$AK$105,35,FALSE)</f>
        <v>0</v>
      </c>
      <c r="G128" s="164">
        <f>VLOOKUP(A128,'Stable systems'!$A$4:$AK$105,36,FALSE)</f>
        <v>0</v>
      </c>
      <c r="H128" s="164">
        <f>VLOOKUP(A128,'Stable systems'!$A$4:$AK$105,37,FALSE)</f>
        <v>0</v>
      </c>
      <c r="M128" s="173">
        <f t="shared" si="40"/>
        <v>5.3692481031199657</v>
      </c>
    </row>
    <row r="129" spans="1:16" x14ac:dyDescent="0.3">
      <c r="A129" s="158" t="s">
        <v>589</v>
      </c>
      <c r="B129" s="158"/>
      <c r="C129" s="248">
        <v>10.983091068426006</v>
      </c>
      <c r="D129" s="6"/>
      <c r="E129" s="252">
        <v>0</v>
      </c>
      <c r="F129" s="164">
        <f>VLOOKUP(A129,'Stable systems'!$A$4:$AK$105,35,FALSE)</f>
        <v>0</v>
      </c>
      <c r="G129" s="164">
        <f>VLOOKUP(A129,'Stable systems'!$A$4:$AK$105,36,FALSE)</f>
        <v>0</v>
      </c>
      <c r="H129" s="164">
        <f>VLOOKUP(A129,'Stable systems'!$A$4:$AK$105,37,FALSE)</f>
        <v>0</v>
      </c>
      <c r="M129" s="173">
        <f t="shared" si="40"/>
        <v>0</v>
      </c>
    </row>
    <row r="130" spans="1:16" x14ac:dyDescent="0.3">
      <c r="A130" s="158" t="s">
        <v>590</v>
      </c>
      <c r="B130" s="158"/>
      <c r="C130" s="248">
        <v>2.6192466373220702</v>
      </c>
      <c r="D130" s="6" t="s">
        <v>409</v>
      </c>
      <c r="E130" s="252">
        <v>62.736176935229068</v>
      </c>
      <c r="F130" s="164">
        <f>VLOOKUP(A130,'Stable systems'!$A$4:$AK$105,35,FALSE)</f>
        <v>0</v>
      </c>
      <c r="G130" s="164">
        <f>VLOOKUP(A130,'Stable systems'!$A$4:$AK$105,36,FALSE)</f>
        <v>0</v>
      </c>
      <c r="H130" s="164">
        <f>VLOOKUP(A130,'Stable systems'!$A$4:$AK$105,37,FALSE)</f>
        <v>0</v>
      </c>
      <c r="M130" s="173">
        <f t="shared" si="40"/>
        <v>1.6432152047604116</v>
      </c>
    </row>
    <row r="131" spans="1:16" x14ac:dyDescent="0.3">
      <c r="A131" s="158" t="s">
        <v>591</v>
      </c>
      <c r="B131" s="158"/>
      <c r="C131" s="248">
        <v>2.3081101881565886</v>
      </c>
      <c r="D131" s="6" t="s">
        <v>409</v>
      </c>
      <c r="E131" s="252">
        <v>62.736176935229068</v>
      </c>
      <c r="F131" s="164">
        <f>VLOOKUP(A131,'Stable systems'!$A$4:$AK$105,35,FALSE)</f>
        <v>0</v>
      </c>
      <c r="G131" s="164">
        <f>VLOOKUP(A131,'Stable systems'!$A$4:$AK$105,36,FALSE)</f>
        <v>0</v>
      </c>
      <c r="H131" s="164">
        <f>VLOOKUP(A131,'Stable systems'!$A$4:$AK$105,37,FALSE)</f>
        <v>0</v>
      </c>
      <c r="M131" s="173">
        <f t="shared" si="40"/>
        <v>1.4480200915019659</v>
      </c>
    </row>
    <row r="132" spans="1:16" x14ac:dyDescent="0.3">
      <c r="A132" s="158" t="s">
        <v>592</v>
      </c>
      <c r="B132" s="158"/>
      <c r="C132" s="248">
        <v>6.5425075525992078</v>
      </c>
      <c r="D132" s="6" t="s">
        <v>409</v>
      </c>
      <c r="E132" s="252">
        <v>62.736176935229068</v>
      </c>
      <c r="F132" s="164">
        <f>VLOOKUP(A132,'Stable systems'!$A$4:$AK$105,35,FALSE)</f>
        <v>0</v>
      </c>
      <c r="G132" s="164">
        <f>VLOOKUP(A132,'Stable systems'!$A$4:$AK$105,36,FALSE)</f>
        <v>0</v>
      </c>
      <c r="H132" s="164">
        <f>VLOOKUP(A132,'Stable systems'!$A$4:$AK$105,37,FALSE)</f>
        <v>0</v>
      </c>
      <c r="M132" s="173">
        <f>(C132/100)*E132</f>
        <v>4.1045191141993644</v>
      </c>
    </row>
    <row r="133" spans="1:16" x14ac:dyDescent="0.3">
      <c r="A133" s="158" t="s">
        <v>593</v>
      </c>
      <c r="B133" s="158"/>
      <c r="C133" s="248">
        <v>0.494475318904186</v>
      </c>
      <c r="D133" s="6" t="s">
        <v>409</v>
      </c>
      <c r="E133" s="252">
        <v>62.736176935229068</v>
      </c>
      <c r="F133" s="164">
        <f>VLOOKUP(A133,'Stable systems'!$A$4:$AK$105,35,FALSE)</f>
        <v>0</v>
      </c>
      <c r="G133" s="164">
        <f>VLOOKUP(A133,'Stable systems'!$A$4:$AK$105,36,FALSE)</f>
        <v>0</v>
      </c>
      <c r="H133" s="164">
        <f>VLOOKUP(A133,'Stable systems'!$A$4:$AK$105,37,FALSE)</f>
        <v>0</v>
      </c>
      <c r="M133" s="173">
        <f t="shared" ref="M133:M134" si="41">(C133/100)*E133</f>
        <v>0.3102149109687683</v>
      </c>
    </row>
    <row r="134" spans="1:16" x14ac:dyDescent="0.3">
      <c r="A134" s="158"/>
      <c r="B134" s="158"/>
      <c r="C134" s="19"/>
      <c r="D134" s="6"/>
      <c r="E134" s="5">
        <v>0</v>
      </c>
      <c r="F134" s="164" t="e">
        <f>VLOOKUP(A134,'Stable systems'!$A$4:$AK$105,35,FALSE)</f>
        <v>#N/A</v>
      </c>
      <c r="G134" s="164" t="e">
        <f>VLOOKUP(A134,'Stable systems'!$A$4:$AK$105,36,FALSE)</f>
        <v>#N/A</v>
      </c>
      <c r="H134" s="164" t="e">
        <f>VLOOKUP(A134,'Stable systems'!$A$4:$AK$105,37,FALSE)</f>
        <v>#N/A</v>
      </c>
      <c r="M134" s="173">
        <f t="shared" si="41"/>
        <v>0</v>
      </c>
    </row>
    <row r="135" spans="1:16" x14ac:dyDescent="0.3">
      <c r="A135" s="202" t="s">
        <v>542</v>
      </c>
      <c r="B135" s="200"/>
      <c r="C135" s="201"/>
      <c r="D135" s="142"/>
      <c r="E135" s="35"/>
      <c r="M135" s="154"/>
    </row>
    <row r="136" spans="1:16" x14ac:dyDescent="0.3">
      <c r="A136" s="158"/>
      <c r="B136" s="158"/>
      <c r="C136" s="205">
        <f>((SUM(D24:D25)/D32)*100)</f>
        <v>0</v>
      </c>
      <c r="D136" s="12"/>
      <c r="M136" s="154"/>
    </row>
    <row r="137" spans="1:16" x14ac:dyDescent="0.3">
      <c r="B137" s="156" t="s">
        <v>56</v>
      </c>
      <c r="C137" s="204">
        <f>SUM(C122:C134)</f>
        <v>99.999999999999972</v>
      </c>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719.7697267268768</v>
      </c>
    </row>
    <row r="141" spans="1:16" x14ac:dyDescent="0.3">
      <c r="A141" s="30" t="s">
        <v>262</v>
      </c>
      <c r="B141" s="38"/>
      <c r="C141" s="4">
        <f>VLOOKUP(B141,Biomass_pool_output_Tech1_modul!$A$3:$G$100,7,FALSE)</f>
        <v>0</v>
      </c>
      <c r="D141" s="177">
        <f t="shared" ref="D141:D142" si="42">IF(B141="",0,SUMPRODUCT(($D$122:$D$134=B141)*$M$122:$M$134)*((100-$C$136)/100))</f>
        <v>0</v>
      </c>
    </row>
    <row r="142" spans="1:16" x14ac:dyDescent="0.3">
      <c r="A142" s="30" t="s">
        <v>263</v>
      </c>
      <c r="B142" s="38"/>
      <c r="C142" s="4">
        <f>VLOOKUP(B142,Biomass_pool_output_Tech1_modul!$A$3:$G$100,7,FALSE)</f>
        <v>0</v>
      </c>
      <c r="D142" s="177">
        <f t="shared" si="42"/>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4.233669647921479</v>
      </c>
      <c r="L146" s="49">
        <f>IF(E146="Diesel",VLOOKUP(D146,Other_tables!$L$5:$O$13,2,FALSE)*K146,0)</f>
        <v>0.84673392958429583</v>
      </c>
      <c r="P146" s="30" t="str">
        <f>Other_tables!L5</f>
        <v>Traktor</v>
      </c>
      <c r="Q146" s="44"/>
      <c r="R146" s="103">
        <f t="shared" ref="R146:R154" si="43">SUMPRODUCT(($D$146:$D$149=P146)*$L$146:$L$149)</f>
        <v>0.84673392958429583</v>
      </c>
      <c r="S146" s="114">
        <f t="shared" ref="S146:S154" si="44">IF(P146="","0",SUMPRODUCT(($D$146:$D$149=P146)*$K$146:$K$149))</f>
        <v>4.233669647921479</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3"/>
        <v>0</v>
      </c>
      <c r="S147" s="114">
        <f t="shared" si="44"/>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3"/>
        <v>0</v>
      </c>
      <c r="S148" s="114">
        <f t="shared" si="44"/>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3"/>
        <v>0</v>
      </c>
      <c r="S149" s="114">
        <f t="shared" si="44"/>
        <v>0</v>
      </c>
      <c r="T149" s="114">
        <f>IF(R149&gt;0,0,(S149*VLOOKUP(P149,Other_tables!$L$5:$O$13,2,FALSE))/1000)</f>
        <v>0</v>
      </c>
    </row>
    <row r="150" spans="1:20" x14ac:dyDescent="0.3">
      <c r="K150" s="47"/>
      <c r="L150" s="47"/>
      <c r="P150" s="30" t="str">
        <f>Other_tables!L9</f>
        <v>Fragttog Europa</v>
      </c>
      <c r="Q150" s="44"/>
      <c r="R150" s="103">
        <f t="shared" si="43"/>
        <v>0</v>
      </c>
      <c r="S150" s="114">
        <f t="shared" si="44"/>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3"/>
        <v>0</v>
      </c>
      <c r="S151" s="114">
        <f t="shared" si="44"/>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3"/>
        <v>0</v>
      </c>
      <c r="S152" s="114">
        <f t="shared" si="44"/>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3"/>
        <v>0</v>
      </c>
      <c r="S153" s="114">
        <f t="shared" si="44"/>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3"/>
        <v>0</v>
      </c>
      <c r="S154" s="114">
        <f t="shared" si="44"/>
        <v>0</v>
      </c>
      <c r="T154" s="114">
        <f>IF(R154&gt;0,0,(S154*VLOOKUP(P154,Other_tables!$L$5:$O$13,2,FALSE))/1000)</f>
        <v>0</v>
      </c>
    </row>
    <row r="155" spans="1:20" x14ac:dyDescent="0.3">
      <c r="A155" s="18" t="s">
        <v>89</v>
      </c>
      <c r="B155" s="38"/>
      <c r="C155" s="19"/>
      <c r="D155" s="11"/>
      <c r="E155" s="11"/>
      <c r="K155" s="47"/>
      <c r="L155" s="47"/>
      <c r="P155" s="59" t="s">
        <v>56</v>
      </c>
      <c r="R155" s="178">
        <f>SUM(R146:R154)</f>
        <v>0.84673392958429583</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0.42633053354569289</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1.7053221341827716</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0.42633053354569289</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2.5579832012741575</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5">SUMPRODUCT(($P$68:$P$76=P171)*$R$68:$R$76)+SUMPRODUCT(($P$146:$P$154=P171)*$R$146:$R$154)</f>
        <v>1.0772564891671466</v>
      </c>
      <c r="S171" s="179"/>
      <c r="T171" s="103">
        <f t="shared" ref="T171:T179" si="46">SUMPRODUCT(($P$68:$P$76=P171)*$T$68:$T$76)+SUMPRODUCT(($P$146:$P$154=P171)*$T$146:$T$154)</f>
        <v>0</v>
      </c>
    </row>
    <row r="172" spans="1:20" x14ac:dyDescent="0.3">
      <c r="A172" s="25"/>
      <c r="B172" s="138"/>
      <c r="C172" s="138"/>
      <c r="P172" s="30" t="s">
        <v>225</v>
      </c>
      <c r="Q172" s="44"/>
      <c r="R172" s="103">
        <f t="shared" si="45"/>
        <v>0</v>
      </c>
      <c r="S172" s="179"/>
      <c r="T172" s="103">
        <f t="shared" si="46"/>
        <v>9.5521507132666006</v>
      </c>
    </row>
    <row r="173" spans="1:20" x14ac:dyDescent="0.3">
      <c r="A173" s="25"/>
      <c r="B173" s="138"/>
      <c r="C173" s="138"/>
      <c r="P173" s="30" t="s">
        <v>226</v>
      </c>
      <c r="Q173" s="44"/>
      <c r="R173" s="103">
        <f t="shared" si="45"/>
        <v>0</v>
      </c>
      <c r="S173" s="179"/>
      <c r="T173" s="103">
        <f t="shared" si="46"/>
        <v>13.663558257226178</v>
      </c>
    </row>
    <row r="174" spans="1:20" x14ac:dyDescent="0.3">
      <c r="A174" s="25"/>
      <c r="B174" s="138" t="s">
        <v>391</v>
      </c>
      <c r="C174" s="138"/>
      <c r="P174" s="30" t="s">
        <v>267</v>
      </c>
      <c r="Q174" s="44"/>
      <c r="R174" s="103">
        <f t="shared" si="45"/>
        <v>0</v>
      </c>
      <c r="S174" s="179"/>
      <c r="T174" s="103">
        <f t="shared" si="46"/>
        <v>0</v>
      </c>
    </row>
    <row r="175" spans="1:20" x14ac:dyDescent="0.3">
      <c r="A175" s="25"/>
      <c r="B175" s="24"/>
      <c r="P175" s="30" t="s">
        <v>268</v>
      </c>
      <c r="Q175" s="44"/>
      <c r="R175" s="103">
        <f t="shared" si="45"/>
        <v>0</v>
      </c>
      <c r="S175" s="179"/>
      <c r="T175" s="103">
        <f t="shared" si="46"/>
        <v>0</v>
      </c>
    </row>
    <row r="176" spans="1:20" x14ac:dyDescent="0.3">
      <c r="G176" s="181" t="s">
        <v>101</v>
      </c>
      <c r="H176" s="181" t="s">
        <v>102</v>
      </c>
      <c r="I176" s="181" t="s">
        <v>103</v>
      </c>
      <c r="J176" s="182" t="s">
        <v>129</v>
      </c>
      <c r="P176" s="30" t="s">
        <v>269</v>
      </c>
      <c r="Q176" s="44"/>
      <c r="R176" s="103">
        <f t="shared" si="45"/>
        <v>0</v>
      </c>
      <c r="S176" s="179"/>
      <c r="T176" s="103">
        <f t="shared" si="46"/>
        <v>0</v>
      </c>
    </row>
    <row r="177" spans="1:20" x14ac:dyDescent="0.3">
      <c r="F177" s="183" t="s">
        <v>279</v>
      </c>
      <c r="G177" s="81">
        <f>B65+R106+C156</f>
        <v>0</v>
      </c>
      <c r="H177" s="81">
        <f>AC31+C65+R93+S106+D118+D156+D168</f>
        <v>69.237037037037041</v>
      </c>
      <c r="I177" s="81">
        <f>AB31+R77+D65+S93+T106+E118+R155+E156+E168</f>
        <v>12.024200939341579</v>
      </c>
      <c r="J177" s="114">
        <f>AD31+T77+T155</f>
        <v>23.215708970492777</v>
      </c>
      <c r="P177" s="30" t="s">
        <v>270</v>
      </c>
      <c r="Q177" s="44"/>
      <c r="R177" s="103">
        <f t="shared" si="45"/>
        <v>0</v>
      </c>
      <c r="S177" s="179"/>
      <c r="T177" s="103">
        <f t="shared" si="46"/>
        <v>0</v>
      </c>
    </row>
    <row r="178" spans="1:20" x14ac:dyDescent="0.3">
      <c r="A178" t="s">
        <v>395</v>
      </c>
      <c r="P178" s="30" t="s">
        <v>271</v>
      </c>
      <c r="Q178" s="44"/>
      <c r="R178" s="103">
        <f t="shared" si="45"/>
        <v>0</v>
      </c>
      <c r="S178" s="179"/>
      <c r="T178" s="103">
        <f t="shared" si="46"/>
        <v>0</v>
      </c>
    </row>
    <row r="179" spans="1:20" x14ac:dyDescent="0.3">
      <c r="P179" s="30">
        <v>0</v>
      </c>
      <c r="Q179" s="44"/>
      <c r="R179" s="103">
        <f t="shared" si="45"/>
        <v>0</v>
      </c>
      <c r="S179" s="179"/>
      <c r="T179" s="103">
        <f t="shared" si="46"/>
        <v>0</v>
      </c>
    </row>
    <row r="180" spans="1:20" x14ac:dyDescent="0.3">
      <c r="B180" t="s">
        <v>391</v>
      </c>
      <c r="C180" t="s">
        <v>392</v>
      </c>
      <c r="D180" t="s">
        <v>371</v>
      </c>
      <c r="P180" s="59" t="s">
        <v>56</v>
      </c>
      <c r="R180" s="178">
        <f>SUM(R171:R179)</f>
        <v>1.0772564891671466</v>
      </c>
      <c r="S180" s="47"/>
      <c r="T180" s="178">
        <f>SUM(T171:T179)</f>
        <v>23.215708970492777</v>
      </c>
    </row>
    <row r="181" spans="1:20" x14ac:dyDescent="0.3">
      <c r="A181" t="s">
        <v>393</v>
      </c>
      <c r="B181">
        <v>1.06</v>
      </c>
    </row>
    <row r="182" spans="1:20" x14ac:dyDescent="0.3">
      <c r="A182" t="s">
        <v>394</v>
      </c>
      <c r="C182">
        <v>0.5</v>
      </c>
      <c r="D182">
        <v>0.5</v>
      </c>
      <c r="E182" t="s">
        <v>396</v>
      </c>
    </row>
    <row r="183" spans="1:20" x14ac:dyDescent="0.3">
      <c r="A183" t="s">
        <v>397</v>
      </c>
      <c r="B183" t="s">
        <v>186</v>
      </c>
      <c r="C183">
        <v>5.2</v>
      </c>
      <c r="D183">
        <v>5.2</v>
      </c>
      <c r="E183" t="s">
        <v>399</v>
      </c>
    </row>
    <row r="184" spans="1:20" x14ac:dyDescent="0.3">
      <c r="A184" t="s">
        <v>401</v>
      </c>
      <c r="C184">
        <v>40</v>
      </c>
      <c r="D184">
        <v>40</v>
      </c>
    </row>
    <row r="185" spans="1:20" x14ac:dyDescent="0.3">
      <c r="A185" t="s">
        <v>400</v>
      </c>
      <c r="B185">
        <v>5.2</v>
      </c>
      <c r="C185">
        <v>4</v>
      </c>
      <c r="D185">
        <v>4</v>
      </c>
      <c r="E185" t="s">
        <v>398</v>
      </c>
    </row>
    <row r="186" spans="1:20" x14ac:dyDescent="0.3">
      <c r="A186" t="s">
        <v>401</v>
      </c>
      <c r="B186">
        <v>290</v>
      </c>
      <c r="C186">
        <v>200</v>
      </c>
      <c r="D186">
        <v>200</v>
      </c>
      <c r="E186" t="s">
        <v>402</v>
      </c>
    </row>
    <row r="188" spans="1:20" x14ac:dyDescent="0.3">
      <c r="A188" t="s">
        <v>406</v>
      </c>
      <c r="B188" t="s">
        <v>186</v>
      </c>
      <c r="C188">
        <f>(C183*C184+C185*C186)*0.01</f>
        <v>10.08</v>
      </c>
      <c r="D188">
        <f>(D183*D184+D185*D186)*0.01</f>
        <v>10.08</v>
      </c>
    </row>
    <row r="190" spans="1:20" x14ac:dyDescent="0.3">
      <c r="A190" t="s">
        <v>403</v>
      </c>
      <c r="C190">
        <v>824</v>
      </c>
      <c r="D190">
        <v>382</v>
      </c>
    </row>
    <row r="191" spans="1:20" x14ac:dyDescent="0.3">
      <c r="C191">
        <f>B181*C182*(100-C183-C185)*0.01</f>
        <v>0.48124000000000006</v>
      </c>
      <c r="D191" t="s">
        <v>186</v>
      </c>
    </row>
    <row r="192" spans="1:20" x14ac:dyDescent="0.3">
      <c r="A192" t="s">
        <v>404</v>
      </c>
      <c r="B192" s="154"/>
      <c r="C192" s="32">
        <f>C191/365*C190</f>
        <v>1.0864157808219179</v>
      </c>
      <c r="D192" s="32">
        <f>B181*D182*(100-(D183+D185))*0.01</f>
        <v>0.48124000000000006</v>
      </c>
    </row>
    <row r="193" spans="1:4" x14ac:dyDescent="0.3">
      <c r="A193" t="s">
        <v>407</v>
      </c>
      <c r="B193" s="154">
        <f>B186*B185*0.01</f>
        <v>15.08</v>
      </c>
      <c r="C193" s="154">
        <f>C188*C192</f>
        <v>10.951071070684932</v>
      </c>
      <c r="D193" s="154"/>
    </row>
    <row r="194" spans="1:4" x14ac:dyDescent="0.3">
      <c r="A194" t="s">
        <v>405</v>
      </c>
      <c r="B194" s="154" t="s">
        <v>186</v>
      </c>
      <c r="C194" s="154" t="s">
        <v>186</v>
      </c>
      <c r="D194" s="154">
        <f>D188</f>
        <v>10.08</v>
      </c>
    </row>
    <row r="200" spans="1:4" x14ac:dyDescent="0.3">
      <c r="B200" t="s">
        <v>347</v>
      </c>
      <c r="C200" t="s">
        <v>374</v>
      </c>
      <c r="D200" t="s">
        <v>375</v>
      </c>
    </row>
    <row r="201" spans="1:4" x14ac:dyDescent="0.3">
      <c r="A201" t="s">
        <v>349</v>
      </c>
      <c r="B201">
        <v>1</v>
      </c>
      <c r="C201">
        <v>1</v>
      </c>
      <c r="D201" t="s">
        <v>186</v>
      </c>
    </row>
    <row r="202" spans="1:4" x14ac:dyDescent="0.3">
      <c r="A202" t="s">
        <v>8</v>
      </c>
      <c r="B202">
        <v>619</v>
      </c>
      <c r="C202">
        <v>1280</v>
      </c>
      <c r="D202" s="110">
        <f>$B$201*B202+$C$201*C202</f>
        <v>1899</v>
      </c>
    </row>
    <row r="203" spans="1:4" x14ac:dyDescent="0.3">
      <c r="A203" t="s">
        <v>354</v>
      </c>
      <c r="B203">
        <v>619</v>
      </c>
      <c r="C203">
        <v>1280</v>
      </c>
      <c r="D203" s="110">
        <f>$B$201*B203+$C$201*C203</f>
        <v>1899</v>
      </c>
    </row>
    <row r="204" spans="1:4" x14ac:dyDescent="0.3">
      <c r="A204" t="s">
        <v>350</v>
      </c>
      <c r="B204">
        <v>169</v>
      </c>
      <c r="C204">
        <v>145</v>
      </c>
      <c r="D204" s="110" t="s">
        <v>186</v>
      </c>
    </row>
    <row r="205" spans="1:4" x14ac:dyDescent="0.3">
      <c r="A205" t="s">
        <v>351</v>
      </c>
      <c r="B205">
        <f>B202*B204</f>
        <v>104611</v>
      </c>
      <c r="C205">
        <f>C202*C204</f>
        <v>185600</v>
      </c>
      <c r="D205" s="110">
        <f t="shared" ref="D205" si="47">$B$201*B205+$C$201*C205</f>
        <v>290211</v>
      </c>
    </row>
    <row r="206" spans="1:4" x14ac:dyDescent="0.3">
      <c r="A206" t="s">
        <v>350</v>
      </c>
      <c r="D206" s="110">
        <f>D205/D202</f>
        <v>152.82306477093206</v>
      </c>
    </row>
    <row r="207" spans="1:4" x14ac:dyDescent="0.3">
      <c r="A207" t="s">
        <v>366</v>
      </c>
      <c r="D207" s="110">
        <f>D205/D203</f>
        <v>152.82306477093206</v>
      </c>
    </row>
    <row r="208" spans="1:4" x14ac:dyDescent="0.3">
      <c r="A208" t="s">
        <v>356</v>
      </c>
      <c r="B208">
        <v>4.4000000000000004</v>
      </c>
      <c r="C208">
        <v>4.2</v>
      </c>
      <c r="D208" s="110"/>
    </row>
    <row r="209" spans="1:8" x14ac:dyDescent="0.3">
      <c r="A209" t="s">
        <v>64</v>
      </c>
      <c r="B209">
        <f>B205*B208</f>
        <v>460288.4</v>
      </c>
      <c r="C209">
        <f>C205*C208</f>
        <v>779520</v>
      </c>
      <c r="D209" s="110">
        <f t="shared" ref="D209" si="48">$B$201*B209+$C$201*C209</f>
        <v>1239808.3999999999</v>
      </c>
    </row>
    <row r="210" spans="1:8" x14ac:dyDescent="0.3">
      <c r="A210" t="s">
        <v>356</v>
      </c>
      <c r="D210" s="154">
        <f>D209/D205</f>
        <v>4.2720930633228926</v>
      </c>
    </row>
    <row r="211" spans="1:8" x14ac:dyDescent="0.3">
      <c r="A211" t="s">
        <v>357</v>
      </c>
      <c r="B211">
        <v>15</v>
      </c>
      <c r="C211">
        <v>10</v>
      </c>
      <c r="D211" s="110"/>
    </row>
    <row r="212" spans="1:8" x14ac:dyDescent="0.3">
      <c r="A212" t="s">
        <v>357</v>
      </c>
      <c r="B212">
        <f>B209*B211</f>
        <v>6904326</v>
      </c>
      <c r="C212">
        <f>C209*C211</f>
        <v>7795200</v>
      </c>
      <c r="D212" s="110">
        <f t="shared" ref="D212" si="49">$B$201*B212+$C$201*C212</f>
        <v>14699526</v>
      </c>
    </row>
    <row r="213" spans="1:8" x14ac:dyDescent="0.3">
      <c r="A213" t="s">
        <v>358</v>
      </c>
      <c r="D213" s="154">
        <f>D212/D209</f>
        <v>11.856288439407251</v>
      </c>
    </row>
    <row r="214" spans="1:8" x14ac:dyDescent="0.3">
      <c r="A214" t="s">
        <v>353</v>
      </c>
      <c r="B214">
        <v>180</v>
      </c>
      <c r="C214">
        <v>220</v>
      </c>
      <c r="D214" s="110">
        <f>$B$201*B214+$C$201*C214</f>
        <v>400</v>
      </c>
    </row>
    <row r="215" spans="1:8" x14ac:dyDescent="0.3">
      <c r="A215" t="s">
        <v>355</v>
      </c>
      <c r="B215">
        <v>0</v>
      </c>
      <c r="C215">
        <v>0</v>
      </c>
      <c r="D215" s="110">
        <f>$B$201*B215+$C$201*C215</f>
        <v>0</v>
      </c>
    </row>
    <row r="216" spans="1:8" x14ac:dyDescent="0.3">
      <c r="F216" t="s">
        <v>367</v>
      </c>
      <c r="G216" t="s">
        <v>368</v>
      </c>
    </row>
    <row r="217" spans="1:8" x14ac:dyDescent="0.3">
      <c r="A217" t="s">
        <v>365</v>
      </c>
      <c r="D217">
        <f>SUM(D218:D224)</f>
        <v>1899</v>
      </c>
    </row>
    <row r="218" spans="1:8" x14ac:dyDescent="0.3">
      <c r="A218" t="s">
        <v>359</v>
      </c>
      <c r="D218">
        <v>44</v>
      </c>
      <c r="E218" t="s">
        <v>359</v>
      </c>
    </row>
    <row r="219" spans="1:8" x14ac:dyDescent="0.3">
      <c r="A219" t="s">
        <v>351</v>
      </c>
      <c r="D219">
        <v>500</v>
      </c>
      <c r="E219" t="s">
        <v>351</v>
      </c>
    </row>
    <row r="220" spans="1:8" x14ac:dyDescent="0.3">
      <c r="A220" t="s">
        <v>360</v>
      </c>
      <c r="D220">
        <v>425</v>
      </c>
      <c r="E220" t="s">
        <v>360</v>
      </c>
      <c r="H220" t="s">
        <v>377</v>
      </c>
    </row>
    <row r="221" spans="1:8" x14ac:dyDescent="0.3">
      <c r="A221" t="s">
        <v>361</v>
      </c>
      <c r="D221">
        <v>850</v>
      </c>
      <c r="E221" t="s">
        <v>361</v>
      </c>
    </row>
    <row r="222" spans="1:8" x14ac:dyDescent="0.3">
      <c r="A222" t="s">
        <v>362</v>
      </c>
      <c r="D222">
        <v>0</v>
      </c>
      <c r="E222" t="s">
        <v>362</v>
      </c>
    </row>
    <row r="223" spans="1:8" x14ac:dyDescent="0.3">
      <c r="A223" t="s">
        <v>376</v>
      </c>
      <c r="D223">
        <v>15</v>
      </c>
      <c r="E223" t="s">
        <v>363</v>
      </c>
    </row>
    <row r="224" spans="1:8" x14ac:dyDescent="0.3">
      <c r="A224" t="s">
        <v>364</v>
      </c>
      <c r="D224">
        <v>65</v>
      </c>
      <c r="E224" t="s">
        <v>364</v>
      </c>
    </row>
    <row r="225" spans="1:8" x14ac:dyDescent="0.3">
      <c r="A225" t="s">
        <v>369</v>
      </c>
      <c r="D225">
        <v>34</v>
      </c>
      <c r="E225" t="s">
        <v>369</v>
      </c>
    </row>
    <row r="228" spans="1:8" x14ac:dyDescent="0.3">
      <c r="D228" t="s">
        <v>378</v>
      </c>
      <c r="E228" t="s">
        <v>526</v>
      </c>
      <c r="F228" t="s">
        <v>526</v>
      </c>
      <c r="G228" t="s">
        <v>526</v>
      </c>
    </row>
    <row r="229" spans="1:8" x14ac:dyDescent="0.3">
      <c r="A229" t="s">
        <v>514</v>
      </c>
      <c r="C229" s="154">
        <v>0.94483788697603011</v>
      </c>
      <c r="D229" s="110">
        <f>($B$202*B229+$C$202*C229)/$D$202</f>
        <v>0.63685755414919354</v>
      </c>
      <c r="F229">
        <v>0.75</v>
      </c>
      <c r="G229" s="32">
        <f>($B$202*E229+$C$202*F229)/$D$202</f>
        <v>0.50552922590837279</v>
      </c>
      <c r="H229" s="154">
        <f>G229*365*0.85</f>
        <v>156.84044233807265</v>
      </c>
    </row>
    <row r="230" spans="1:8" x14ac:dyDescent="0.3">
      <c r="A230" t="s">
        <v>515</v>
      </c>
      <c r="C230" s="154">
        <v>0.19216311612968223</v>
      </c>
      <c r="D230" s="110">
        <f t="shared" ref="D230:D240" si="50">($B$202*B230+$C$202*C230)/$D$202</f>
        <v>0.12952542846023868</v>
      </c>
      <c r="F230">
        <v>0.75</v>
      </c>
      <c r="G230" s="32">
        <f t="shared" ref="G230:G240" si="51">($B$202*E230+$C$202*F230)/$D$202</f>
        <v>0.50552922590837279</v>
      </c>
      <c r="H230" s="154">
        <f t="shared" ref="H230:H240" si="52">G230*365*0.85</f>
        <v>156.84044233807265</v>
      </c>
    </row>
    <row r="231" spans="1:8" x14ac:dyDescent="0.3">
      <c r="A231" t="s">
        <v>519</v>
      </c>
      <c r="B231" s="110">
        <v>96.0136841624807</v>
      </c>
      <c r="C231" s="154">
        <v>58.793493896785463</v>
      </c>
      <c r="D231" s="110">
        <f t="shared" si="50"/>
        <v>70.925825531575001</v>
      </c>
      <c r="E231">
        <v>1.5</v>
      </c>
      <c r="F231">
        <v>3.8</v>
      </c>
      <c r="G231" s="32">
        <f t="shared" si="51"/>
        <v>3.0502896261190102</v>
      </c>
      <c r="H231" s="154">
        <f t="shared" si="52"/>
        <v>946.35235650342293</v>
      </c>
    </row>
    <row r="232" spans="1:8" x14ac:dyDescent="0.3">
      <c r="A232" s="207" t="s">
        <v>520</v>
      </c>
      <c r="B232" s="110">
        <v>3.9863158375192915</v>
      </c>
      <c r="C232" s="154">
        <v>2.4590207985554051</v>
      </c>
      <c r="D232" s="110">
        <f t="shared" si="50"/>
        <v>2.9568594658111431</v>
      </c>
      <c r="E232">
        <v>1.5</v>
      </c>
      <c r="F232">
        <v>3.2</v>
      </c>
      <c r="G232" s="32">
        <f t="shared" si="51"/>
        <v>2.6458662453923116</v>
      </c>
      <c r="H232" s="154">
        <f t="shared" si="52"/>
        <v>820.88000263296465</v>
      </c>
    </row>
    <row r="233" spans="1:8" x14ac:dyDescent="0.3">
      <c r="A233" t="s">
        <v>521</v>
      </c>
      <c r="C233" s="154">
        <v>0.68397836553738578</v>
      </c>
      <c r="D233" s="110">
        <f t="shared" si="50"/>
        <v>0.46102807155758496</v>
      </c>
      <c r="F233">
        <v>3.1</v>
      </c>
      <c r="G233" s="32">
        <f t="shared" si="51"/>
        <v>2.0895208004212744</v>
      </c>
      <c r="H233" s="154">
        <f t="shared" si="52"/>
        <v>648.27382833070033</v>
      </c>
    </row>
    <row r="234" spans="1:8" x14ac:dyDescent="0.3">
      <c r="A234" t="s">
        <v>522</v>
      </c>
      <c r="C234" s="154">
        <v>1.6530728312413474</v>
      </c>
      <c r="D234" s="110">
        <f t="shared" si="50"/>
        <v>1.1142355049968007</v>
      </c>
      <c r="F234" s="154">
        <v>3.1</v>
      </c>
      <c r="G234" s="32">
        <f t="shared" si="51"/>
        <v>2.0895208004212744</v>
      </c>
      <c r="H234" s="154">
        <f t="shared" si="52"/>
        <v>648.27382833070033</v>
      </c>
    </row>
    <row r="235" spans="1:8" x14ac:dyDescent="0.3">
      <c r="A235" t="s">
        <v>523</v>
      </c>
      <c r="C235" s="154">
        <v>1.2287682426575759</v>
      </c>
      <c r="D235" s="110">
        <f t="shared" si="50"/>
        <v>0.82823767804196802</v>
      </c>
      <c r="F235" s="154">
        <v>3.1</v>
      </c>
      <c r="G235" s="32">
        <f t="shared" si="51"/>
        <v>2.0895208004212744</v>
      </c>
      <c r="H235" s="154">
        <f t="shared" si="52"/>
        <v>648.27382833070033</v>
      </c>
    </row>
    <row r="236" spans="1:8" x14ac:dyDescent="0.3">
      <c r="A236" t="s">
        <v>524</v>
      </c>
      <c r="C236" s="154">
        <v>16.294445264797645</v>
      </c>
      <c r="D236" s="110">
        <f t="shared" si="50"/>
        <v>10.983091068426006</v>
      </c>
      <c r="F236">
        <v>0</v>
      </c>
      <c r="G236" s="32">
        <f t="shared" si="51"/>
        <v>0</v>
      </c>
      <c r="H236" s="154">
        <f t="shared" si="52"/>
        <v>0</v>
      </c>
    </row>
    <row r="237" spans="1:8" x14ac:dyDescent="0.3">
      <c r="A237" t="s">
        <v>516</v>
      </c>
      <c r="C237" s="154">
        <v>3.8858979408395395</v>
      </c>
      <c r="D237" s="110">
        <f t="shared" si="50"/>
        <v>2.6192466373220702</v>
      </c>
      <c r="F237">
        <v>0.3</v>
      </c>
      <c r="G237" s="32">
        <f t="shared" si="51"/>
        <v>0.20221169036334913</v>
      </c>
      <c r="H237" s="154">
        <f t="shared" si="52"/>
        <v>62.736176935229068</v>
      </c>
    </row>
    <row r="238" spans="1:8" x14ac:dyDescent="0.3">
      <c r="A238" t="s">
        <v>579</v>
      </c>
      <c r="C238" s="154">
        <v>3.424297849460439</v>
      </c>
      <c r="D238" s="110">
        <f t="shared" si="50"/>
        <v>2.3081101881565886</v>
      </c>
      <c r="F238">
        <v>0.3</v>
      </c>
      <c r="G238" s="32">
        <f t="shared" si="51"/>
        <v>0.20221169036334913</v>
      </c>
      <c r="H238" s="154">
        <f t="shared" si="52"/>
        <v>62.736176935229068</v>
      </c>
    </row>
    <row r="239" spans="1:8" x14ac:dyDescent="0.3">
      <c r="A239" t="s">
        <v>580</v>
      </c>
      <c r="C239" s="154">
        <v>9.7064233143639811</v>
      </c>
      <c r="D239" s="110">
        <f t="shared" si="50"/>
        <v>6.5425075525992078</v>
      </c>
      <c r="F239">
        <v>0.3</v>
      </c>
      <c r="G239" s="32">
        <f t="shared" si="51"/>
        <v>0.20221169036334913</v>
      </c>
      <c r="H239" s="154">
        <f t="shared" si="52"/>
        <v>62.736176935229068</v>
      </c>
    </row>
    <row r="240" spans="1:8" x14ac:dyDescent="0.3">
      <c r="A240" t="s">
        <v>525</v>
      </c>
      <c r="C240" s="154">
        <v>0.7336004926555072</v>
      </c>
      <c r="D240" s="110">
        <f t="shared" si="50"/>
        <v>0.494475318904186</v>
      </c>
      <c r="F240">
        <v>0.3</v>
      </c>
      <c r="G240" s="32">
        <f t="shared" si="51"/>
        <v>0.20221169036334913</v>
      </c>
      <c r="H240" s="154">
        <f t="shared" si="52"/>
        <v>62.736176935229068</v>
      </c>
    </row>
    <row r="241" spans="2:4" x14ac:dyDescent="0.3">
      <c r="B241" s="32">
        <f>SUM(B229:B240)</f>
        <v>99.999999999999986</v>
      </c>
      <c r="C241" s="47">
        <f>SUM(C229:C240)</f>
        <v>100.00000000000003</v>
      </c>
      <c r="D241" s="32">
        <f>SUM(D229:D240)</f>
        <v>99.999999999999972</v>
      </c>
    </row>
  </sheetData>
  <scenarios current="0">
    <scenario name="Test1" count="1" user="Author" comment="Created by Author on 1/17/2022">
      <inputCells r="D15" val="261.747273174708" numFmtId="164"/>
    </scenario>
  </scenarios>
  <dataConsolidate link="1"/>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97:B105 B82 B144:B145" xr:uid="{00000000-0002-0000-0200-000000000000}">
      <formula1>$B$24:$B$30</formula1>
    </dataValidation>
    <dataValidation type="list" allowBlank="1" showInputMessage="1" showErrorMessage="1" sqref="B68:B81 B84:B92 B109:B117" xr:uid="{00000000-0002-0000-0200-000001000000}">
      <formula1>$AF$3:$AF$51</formula1>
    </dataValidation>
    <dataValidation type="list" allowBlank="1" showInputMessage="1" showErrorMessage="1" sqref="B146:B149 B152:B155 B159:B167" xr:uid="{00000000-0002-0000-0200-000002000000}">
      <formula1>$B$140:$B$143</formula1>
    </dataValidation>
  </dataValidation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3000000}">
          <x14:formula1>
            <xm:f>Other_tables!$Q$5:$Q$6</xm:f>
          </x14:formula1>
          <xm:sqref>E68:E82 E146:E149</xm:sqref>
        </x14:dataValidation>
        <x14:dataValidation type="list" allowBlank="1" showInputMessage="1" showErrorMessage="1" xr:uid="{00000000-0002-0000-0200-000004000000}">
          <x14:formula1>
            <xm:f>Other_tables!$L$5:$L$13</xm:f>
          </x14:formula1>
          <xm:sqref>D68:D82 D146:D149</xm:sqref>
        </x14:dataValidation>
        <x14:dataValidation type="list" allowBlank="1" showInputMessage="1" showErrorMessage="1" xr:uid="{00000000-0002-0000-0200-000006000000}">
          <x14:formula1>
            <xm:f>Biomass_pool_output_Tech1_modul!$A$3:$A$100</xm:f>
          </x14:formula1>
          <xm:sqref>F24:F30 E12:E18 B12:B16 B140:B143 D122:D135</xm:sqref>
        </x14:dataValidation>
        <x14:dataValidation type="list" allowBlank="1" showInputMessage="1" showErrorMessage="1" xr:uid="{00000000-0002-0000-0200-000007000000}">
          <x14:formula1>
            <xm:f>Other_tables!$A$5:$A$50</xm:f>
          </x14:formula1>
          <xm:sqref>C19 C33</xm:sqref>
        </x14:dataValidation>
        <x14:dataValidation type="list" allowBlank="1" showInputMessage="1" showErrorMessage="1" xr:uid="{00000000-0002-0000-0200-000008000000}">
          <x14:formula1>
            <xm:f>'Processed products'!$B$5:$B$104</xm:f>
          </x14:formula1>
          <xm:sqref>B35:B42 L35:M37</xm:sqref>
        </x14:dataValidation>
        <x14:dataValidation type="list" allowBlank="1" showInputMessage="1" showErrorMessage="1" xr:uid="{00000000-0002-0000-0200-000009000000}">
          <x14:formula1>
            <xm:f>Other_tables!$S$5:$S$22</xm:f>
          </x14:formula1>
          <xm:sqref>C84:C92</xm:sqref>
        </x14:dataValidation>
        <x14:dataValidation type="list" allowBlank="1" showInputMessage="1" showErrorMessage="1" xr:uid="{00000000-0002-0000-0200-00000A000000}">
          <x14:formula1>
            <xm:f>'Diesel consumption for field op'!$B$4:$B$78</xm:f>
          </x14:formula1>
          <xm:sqref>C109:C117 C159:C167</xm:sqref>
        </x14:dataValidation>
        <x14:dataValidation type="list" allowBlank="1" showInputMessage="1" showErrorMessage="1" xr:uid="{00000000-0002-0000-0200-00000B000000}">
          <x14:formula1>
            <xm:f>Other_tables!$G$5:$G$12</xm:f>
          </x14:formula1>
          <xm:sqref>C54:C58</xm:sqref>
        </x14:dataValidation>
        <x14:dataValidation type="list" allowBlank="1" showInputMessage="1" showErrorMessage="1" xr:uid="{00000000-0002-0000-0200-00000C000000}">
          <x14:formula1>
            <xm:f>Converted_feedstuff!$C$5:$C$54</xm:f>
          </x14:formula1>
          <xm:sqref>B24:B30 E24:E30</xm:sqref>
        </x14:dataValidation>
        <x14:dataValidation type="list" allowBlank="1" showInputMessage="1" showErrorMessage="1" xr:uid="{00000000-0002-0000-0200-00000D000000}">
          <x14:formula1>
            <xm:f>'Imported products'!$B$5:$B$54</xm:f>
          </x14:formula1>
          <xm:sqref>F12:F18 B17:B18 G24:G30</xm:sqref>
        </x14:dataValidation>
        <x14:dataValidation type="list" allowBlank="1" showInputMessage="1" showErrorMessage="1" xr:uid="{00000000-0002-0000-0200-00000F000000}">
          <x14:formula1>
            <xm:f>'Respiration and enteric gas los'!$M$4:$M$35</xm:f>
          </x14:formula1>
          <xm:sqref>B55</xm:sqref>
        </x14:dataValidation>
        <x14:dataValidation type="list" allowBlank="1" showInputMessage="1" showErrorMessage="1" xr:uid="{00000000-0002-0000-0200-000010000000}">
          <x14:formula1>
            <xm:f>'Respiration and enteric gas los'!$A$4:$A$35</xm:f>
          </x14:formula1>
          <xm:sqref>B54</xm:sqref>
        </x14:dataValidation>
        <x14:dataValidation type="list" allowBlank="1" showInputMessage="1" showErrorMessage="1" xr:uid="{00000000-0002-0000-0200-000011000000}">
          <x14:formula1>
            <xm:f>'Processed products'!$C$5:$C$104</xm:f>
          </x14:formula1>
          <xm:sqref>D4</xm:sqref>
        </x14:dataValidation>
        <x14:dataValidation type="list" allowBlank="1" showInputMessage="1" showErrorMessage="1" xr:uid="{00000000-0002-0000-0200-000012000000}">
          <x14:formula1>
            <xm:f>'Processed products'!$AJ$5:$AJ$104</xm:f>
          </x14:formula1>
          <xm:sqref>A136</xm:sqref>
        </x14:dataValidation>
        <x14:dataValidation type="list" allowBlank="1" showInputMessage="1" showErrorMessage="1" xr:uid="{59E9AEED-B333-4B62-B62B-E7ADB902BBC9}">
          <x14:formula1>
            <xm:f>'Processed products'!$AJ$5:$AJ$250</xm:f>
          </x14:formula1>
          <xm:sqref>B45:B49</xm:sqref>
        </x14:dataValidation>
        <x14:dataValidation type="list" allowBlank="1" showInputMessage="1" showErrorMessage="1" xr:uid="{00000000-0002-0000-0200-00000E000000}">
          <x14:formula1>
            <xm:f>'Stable systems'!$A$4:$A$105</xm:f>
          </x14:formula1>
          <xm:sqref>A122:A134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BO239"/>
  <sheetViews>
    <sheetView workbookViewId="0">
      <selection activeCell="D202" sqref="D202"/>
    </sheetView>
  </sheetViews>
  <sheetFormatPr defaultRowHeight="14.4" x14ac:dyDescent="0.3"/>
  <cols>
    <col min="1" max="1" width="42.33203125" customWidth="1"/>
    <col min="2" max="2" width="38" customWidth="1"/>
    <col min="3" max="3" width="22.6640625" bestFit="1" customWidth="1"/>
    <col min="4" max="4" width="29.33203125" bestFit="1" customWidth="1"/>
    <col min="5" max="5" width="29.6640625" customWidth="1"/>
    <col min="6" max="7" width="30.6640625" bestFit="1" customWidth="1"/>
    <col min="8" max="8" width="29" bestFit="1" customWidth="1"/>
    <col min="9" max="9" width="30.5546875" bestFit="1" customWidth="1"/>
    <col min="10" max="10" width="30.6640625" customWidth="1"/>
    <col min="11" max="11" width="28.44140625" bestFit="1" customWidth="1"/>
    <col min="12" max="12" width="32" bestFit="1" customWidth="1"/>
    <col min="13" max="13" width="32.33203125" bestFit="1" customWidth="1"/>
    <col min="14" max="14" width="15.33203125" customWidth="1"/>
    <col min="15" max="15" width="29" bestFit="1" customWidth="1"/>
    <col min="16" max="16" width="28.5546875" bestFit="1" customWidth="1"/>
    <col min="17" max="17" width="15.33203125" bestFit="1" customWidth="1"/>
    <col min="18" max="18" width="17.44140625" bestFit="1" customWidth="1"/>
    <col min="19" max="19" width="13.33203125" customWidth="1"/>
    <col min="20" max="20" width="19.6640625" bestFit="1" customWidth="1"/>
    <col min="22" max="22" width="10.33203125" bestFit="1" customWidth="1"/>
    <col min="23" max="23" width="10.6640625" bestFit="1" customWidth="1"/>
    <col min="24" max="25" width="10.33203125" bestFit="1" customWidth="1"/>
    <col min="26" max="27" width="11.6640625" bestFit="1" customWidth="1"/>
    <col min="28" max="28" width="11.6640625" customWidth="1"/>
    <col min="29" max="29" width="14.33203125" customWidth="1"/>
    <col min="30" max="30" width="14.44140625" customWidth="1"/>
    <col min="31" max="31" width="9.33203125" customWidth="1"/>
    <col min="32" max="32" width="54" bestFit="1" customWidth="1"/>
    <col min="35" max="38" width="15.33203125" bestFit="1" customWidth="1"/>
    <col min="41" max="41" width="12.44140625" customWidth="1"/>
    <col min="42" max="46" width="12.33203125" bestFit="1" customWidth="1"/>
    <col min="47" max="60" width="12.33203125" customWidth="1"/>
    <col min="63" max="63" width="15.5546875" bestFit="1" customWidth="1"/>
    <col min="64" max="64" width="12.5546875" bestFit="1" customWidth="1"/>
  </cols>
  <sheetData>
    <row r="1" spans="1:36" ht="32.4" thickBot="1" x14ac:dyDescent="0.6">
      <c r="A1" s="13" t="s">
        <v>165</v>
      </c>
      <c r="B1" s="13"/>
    </row>
    <row r="2" spans="1:36" ht="15" thickBot="1" x14ac:dyDescent="0.35">
      <c r="AF2" s="143" t="s">
        <v>218</v>
      </c>
    </row>
    <row r="3" spans="1:36" ht="15" thickBot="1" x14ac:dyDescent="0.35">
      <c r="A3" s="14" t="s">
        <v>52</v>
      </c>
      <c r="B3" s="298" t="s">
        <v>30</v>
      </c>
      <c r="C3" s="298"/>
      <c r="D3" s="17" t="s">
        <v>478</v>
      </c>
      <c r="F3" s="300" t="s">
        <v>222</v>
      </c>
      <c r="G3" s="301"/>
      <c r="AF3" s="144" t="str">
        <f>IF(B12="","",B12)</f>
        <v>Protein_2_conv</v>
      </c>
    </row>
    <row r="4" spans="1:36" x14ac:dyDescent="0.3">
      <c r="A4" s="15" t="s">
        <v>31</v>
      </c>
      <c r="B4" s="299">
        <v>101</v>
      </c>
      <c r="C4" s="299"/>
      <c r="D4" s="5" t="s">
        <v>490</v>
      </c>
      <c r="F4" s="150" t="s">
        <v>223</v>
      </c>
      <c r="G4" s="149">
        <v>14.3</v>
      </c>
      <c r="I4" s="302" t="s">
        <v>158</v>
      </c>
      <c r="J4" s="303"/>
      <c r="K4" s="128"/>
      <c r="L4" s="134" t="s">
        <v>207</v>
      </c>
      <c r="AF4" s="144" t="str">
        <f t="shared" ref="AF4:AF9" si="0">IF(B13="","",B13)</f>
        <v/>
      </c>
    </row>
    <row r="5" spans="1:36" x14ac:dyDescent="0.3">
      <c r="A5" s="15" t="s">
        <v>32</v>
      </c>
      <c r="B5" s="299" t="s">
        <v>345</v>
      </c>
      <c r="C5" s="299"/>
      <c r="D5" s="17" t="s">
        <v>627</v>
      </c>
      <c r="E5" t="s">
        <v>186</v>
      </c>
      <c r="F5" s="150" t="s">
        <v>224</v>
      </c>
      <c r="G5" s="149">
        <v>15.3</v>
      </c>
      <c r="I5" s="86" t="s">
        <v>159</v>
      </c>
      <c r="J5" s="5"/>
      <c r="L5" s="90">
        <v>3.14</v>
      </c>
      <c r="AF5" s="144" t="str">
        <f t="shared" si="0"/>
        <v/>
      </c>
    </row>
    <row r="6" spans="1:36" x14ac:dyDescent="0.3">
      <c r="A6" s="15" t="s">
        <v>3</v>
      </c>
      <c r="B6" s="299" t="s">
        <v>346</v>
      </c>
      <c r="C6" s="299"/>
      <c r="D6" s="5">
        <v>0.53</v>
      </c>
      <c r="F6" s="151" t="s">
        <v>147</v>
      </c>
      <c r="G6" s="88">
        <f>(Y32/D32)*100</f>
        <v>15.681128561082453</v>
      </c>
      <c r="I6" s="86" t="s">
        <v>160</v>
      </c>
      <c r="J6" s="5"/>
      <c r="L6" s="129"/>
      <c r="AF6" s="144" t="str">
        <f t="shared" si="0"/>
        <v>Grain_conv</v>
      </c>
    </row>
    <row r="7" spans="1:36" ht="14.7" customHeight="1" x14ac:dyDescent="0.3">
      <c r="A7" s="295" t="s">
        <v>55</v>
      </c>
      <c r="B7" s="296" t="s">
        <v>537</v>
      </c>
      <c r="C7" s="296"/>
      <c r="D7" s="42"/>
      <c r="F7" s="152" t="s">
        <v>187</v>
      </c>
      <c r="G7" s="209">
        <v>293</v>
      </c>
      <c r="I7" s="86" t="s">
        <v>161</v>
      </c>
      <c r="J7" s="5"/>
      <c r="L7" s="131" t="s">
        <v>198</v>
      </c>
      <c r="AF7" s="144" t="str">
        <f t="shared" si="0"/>
        <v>Straw_conv</v>
      </c>
    </row>
    <row r="8" spans="1:36" ht="15" thickBot="1" x14ac:dyDescent="0.35">
      <c r="A8" s="295"/>
      <c r="B8" s="296"/>
      <c r="C8" s="296"/>
      <c r="D8" s="47"/>
      <c r="F8" s="153" t="s">
        <v>197</v>
      </c>
      <c r="G8" s="102">
        <v>2283</v>
      </c>
      <c r="I8" s="86" t="s">
        <v>162</v>
      </c>
      <c r="J8" s="80">
        <f>(383 *J6 + 242 *J7 + 783.2) *J5 / 3140</f>
        <v>0</v>
      </c>
      <c r="L8" s="90">
        <v>6.38</v>
      </c>
      <c r="AF8" s="144" t="str">
        <f t="shared" si="0"/>
        <v>Skim_milk_powder_imp_conv</v>
      </c>
    </row>
    <row r="9" spans="1:36" ht="30" customHeight="1" x14ac:dyDescent="0.3">
      <c r="A9" s="295"/>
      <c r="B9" s="296"/>
      <c r="C9" s="296"/>
      <c r="I9" s="130"/>
      <c r="L9" s="129"/>
      <c r="AF9" s="144" t="str">
        <f t="shared" si="0"/>
        <v>Mineral_Type_3_grann_imp_conv</v>
      </c>
    </row>
    <row r="10" spans="1:36" ht="15.6" customHeight="1" x14ac:dyDescent="0.3">
      <c r="E10" s="297" t="s">
        <v>188</v>
      </c>
      <c r="F10" s="297"/>
      <c r="G10" s="127"/>
      <c r="I10" s="86" t="s">
        <v>195</v>
      </c>
      <c r="J10" s="35" t="s">
        <v>193</v>
      </c>
      <c r="K10" s="35" t="s">
        <v>194</v>
      </c>
      <c r="L10" s="131" t="s">
        <v>196</v>
      </c>
      <c r="R10" s="65" t="s">
        <v>1</v>
      </c>
      <c r="S10" s="292" t="s">
        <v>179</v>
      </c>
      <c r="T10" s="293"/>
      <c r="U10" s="293"/>
      <c r="V10" s="293"/>
      <c r="W10" s="293"/>
      <c r="X10" s="293"/>
      <c r="Y10" s="294"/>
      <c r="AA10" s="118"/>
      <c r="AB10" s="122"/>
      <c r="AC10" s="122"/>
      <c r="AD10" s="122"/>
      <c r="AF10" s="144" t="str">
        <f>IF(E12="","",E12)</f>
        <v/>
      </c>
      <c r="AG10" s="122"/>
      <c r="AH10" s="122"/>
    </row>
    <row r="11" spans="1:36" ht="15.6" customHeight="1" thickBot="1" x14ac:dyDescent="0.35">
      <c r="A11" s="210" t="s">
        <v>53</v>
      </c>
      <c r="B11" s="182" t="s">
        <v>29</v>
      </c>
      <c r="C11" s="182" t="s">
        <v>28</v>
      </c>
      <c r="D11" s="182" t="s">
        <v>138</v>
      </c>
      <c r="E11" s="182" t="s">
        <v>190</v>
      </c>
      <c r="F11" s="182" t="s">
        <v>189</v>
      </c>
      <c r="G11" s="182" t="s">
        <v>314</v>
      </c>
      <c r="I11" s="86" t="s">
        <v>200</v>
      </c>
      <c r="J11" s="30">
        <v>1.08</v>
      </c>
      <c r="K11" s="30">
        <v>0.96</v>
      </c>
      <c r="L11" s="90">
        <v>0.96</v>
      </c>
      <c r="R11" s="65"/>
      <c r="S11" s="66" t="s">
        <v>8</v>
      </c>
      <c r="T11" s="66" t="s">
        <v>181</v>
      </c>
      <c r="U11" s="66" t="s">
        <v>182</v>
      </c>
      <c r="V11" s="66" t="s">
        <v>183</v>
      </c>
      <c r="W11" s="66" t="s">
        <v>184</v>
      </c>
      <c r="X11" s="66" t="s">
        <v>13</v>
      </c>
      <c r="Y11" s="66" t="s">
        <v>185</v>
      </c>
      <c r="AB11" s="119"/>
      <c r="AC11" s="119"/>
      <c r="AD11" s="119"/>
      <c r="AF11" s="144" t="str">
        <f t="shared" ref="AF11:AF16" si="1">IF(E13="","",E13)</f>
        <v/>
      </c>
      <c r="AG11" s="119"/>
      <c r="AH11" s="119"/>
    </row>
    <row r="12" spans="1:36" ht="15" thickBot="1" x14ac:dyDescent="0.35">
      <c r="A12" s="215" t="s">
        <v>312</v>
      </c>
      <c r="B12" s="216" t="s">
        <v>285</v>
      </c>
      <c r="C12" s="217" t="s">
        <v>43</v>
      </c>
      <c r="D12" s="227">
        <v>293</v>
      </c>
      <c r="E12" s="218"/>
      <c r="F12" s="218" t="s">
        <v>209</v>
      </c>
      <c r="G12" s="219"/>
      <c r="I12" s="87" t="s">
        <v>201</v>
      </c>
      <c r="J12" s="107">
        <v>1.54</v>
      </c>
      <c r="K12" s="107">
        <v>1.58</v>
      </c>
      <c r="L12" s="102">
        <v>1.58</v>
      </c>
      <c r="R12" s="51">
        <f>(IF($T12=0,"0",VLOOKUP($B12,Biomass_pool_output_Tech1_modul!$A$3:$G$100,7,FALSE)))</f>
        <v>879.383109851227</v>
      </c>
      <c r="S12" s="44"/>
      <c r="T12" s="34">
        <f>IF($B12="","0",(VLOOKUP($B12,Biomass_pool_output_Tech1_modul!$A$3:$F$100,2,FALSE)*($D12)/1000))</f>
        <v>131.85</v>
      </c>
      <c r="U12" s="34">
        <f>IF($B12="","0",(VLOOKUP($B12,Biomass_pool_output_Tech1_modul!$A$3:$F$100,3,FALSE)*($D12)/1000))</f>
        <v>14.047863653725143</v>
      </c>
      <c r="V12" s="34">
        <f>IF($B12="","0",(VLOOKUP($B12,Biomass_pool_output_Tech1_modul!$A$3:$F$100,4,FALSE)*($D12)/1000))</f>
        <v>3.3063757891945404</v>
      </c>
      <c r="W12" s="34">
        <f>IF($B12="","0",(VLOOKUP($B12,Biomass_pool_output_Tech1_modul!$A$3:$F$100,5,FALSE)*($D12)/1000))</f>
        <v>4.5759054765626761</v>
      </c>
      <c r="X12" s="34">
        <f>IF($B12="","0",(VLOOKUP($B12,Biomass_pool_output_Tech1_modul!$A$3:$F$100,6,FALSE)*$D12))</f>
        <v>6341.1521858213819</v>
      </c>
      <c r="Y12" s="34">
        <f>U12*6.25</f>
        <v>87.799147835782136</v>
      </c>
      <c r="AA12" s="53"/>
      <c r="AB12" s="53"/>
      <c r="AC12" s="53"/>
      <c r="AD12" s="53"/>
      <c r="AF12" s="144" t="str">
        <f t="shared" si="1"/>
        <v/>
      </c>
      <c r="AG12" s="53"/>
      <c r="AH12" s="53"/>
      <c r="AI12" s="53"/>
      <c r="AJ12" s="53"/>
    </row>
    <row r="13" spans="1:36" x14ac:dyDescent="0.3">
      <c r="A13" s="211" t="s">
        <v>318</v>
      </c>
      <c r="B13" s="212"/>
      <c r="C13" s="213" t="s">
        <v>43</v>
      </c>
      <c r="D13" s="228"/>
      <c r="E13" s="214"/>
      <c r="F13" s="214"/>
      <c r="R13" s="51">
        <f>(IF($T13=0,"0",VLOOKUP($B13,Biomass_pool_output_Tech1_modul!$A$3:$G$100,7,FALSE)))</f>
        <v>0</v>
      </c>
      <c r="S13" s="44"/>
      <c r="T13" s="34" t="str">
        <f>IF($B13="","0",(VLOOKUP($B13,Biomass_pool_output_Tech1_modul!$A$3:$F$100,2,FALSE)*($D13)/1000))</f>
        <v>0</v>
      </c>
      <c r="U13" s="34" t="str">
        <f>IF($B13="","0",(VLOOKUP($B13,Biomass_pool_output_Tech1_modul!$A$3:$F$100,3,FALSE)*($D13)/1000))</f>
        <v>0</v>
      </c>
      <c r="V13" s="34" t="str">
        <f>IF($B13="","0",(VLOOKUP($B13,Biomass_pool_output_Tech1_modul!$A$3:$F$100,4,FALSE)*($D13)/1000))</f>
        <v>0</v>
      </c>
      <c r="W13" s="34" t="str">
        <f>IF($B13="","0",(VLOOKUP($B13,Biomass_pool_output_Tech1_modul!$A$3:$F$100,5,FALSE)*($D13)/1000))</f>
        <v>0</v>
      </c>
      <c r="X13" s="34" t="str">
        <f>IF($B13="","0",(VLOOKUP($B13,Biomass_pool_output_Tech1_modul!$A$3:$F$100,6,FALSE)*$D13))</f>
        <v>0</v>
      </c>
      <c r="Y13" s="34">
        <f t="shared" ref="Y13:Y16" si="2">U13*6.25</f>
        <v>0</v>
      </c>
      <c r="AA13" s="53"/>
      <c r="AB13" s="53"/>
      <c r="AC13" s="53"/>
      <c r="AD13" s="53"/>
      <c r="AF13" s="144" t="str">
        <f t="shared" si="1"/>
        <v/>
      </c>
      <c r="AG13" s="53"/>
      <c r="AH13" s="53"/>
      <c r="AI13" s="53"/>
      <c r="AJ13" s="53"/>
    </row>
    <row r="14" spans="1:36" ht="15" thickBot="1" x14ac:dyDescent="0.35">
      <c r="A14" s="220" t="s">
        <v>319</v>
      </c>
      <c r="B14" s="221"/>
      <c r="C14" s="222" t="s">
        <v>43</v>
      </c>
      <c r="D14" s="229"/>
      <c r="E14" s="223"/>
      <c r="F14" s="224"/>
      <c r="G14" s="154"/>
      <c r="I14" s="203"/>
      <c r="J14" s="203"/>
      <c r="K14" s="203"/>
      <c r="R14" s="51">
        <f>(IF($T14=0,"0",VLOOKUP($B14,Biomass_pool_output_Tech1_modul!$A$3:$G$100,7,FALSE)))</f>
        <v>0</v>
      </c>
      <c r="S14" s="44"/>
      <c r="T14" s="34" t="str">
        <f>IF($B14="","0",(VLOOKUP($B14,Biomass_pool_output_Tech1_modul!$A$3:$F$100,2,FALSE)*($D14)/1000))</f>
        <v>0</v>
      </c>
      <c r="U14" s="34" t="str">
        <f>IF($B14="","0",(VLOOKUP($B14,Biomass_pool_output_Tech1_modul!$A$3:$F$100,3,FALSE)*($D14)/1000))</f>
        <v>0</v>
      </c>
      <c r="V14" s="34" t="str">
        <f>IF($B14="","0",(VLOOKUP($B14,Biomass_pool_output_Tech1_modul!$A$3:$F$100,4,FALSE)*($D14)/1000))</f>
        <v>0</v>
      </c>
      <c r="W14" s="34" t="str">
        <f>IF($B14="","0",(VLOOKUP($B14,Biomass_pool_output_Tech1_modul!$A$3:$F$100,5,FALSE)*($D14)/1000))</f>
        <v>0</v>
      </c>
      <c r="X14" s="34" t="str">
        <f>IF($B14="","0",(VLOOKUP($B14,Biomass_pool_output_Tech1_modul!$A$3:$F$100,6,FALSE)*$D14))</f>
        <v>0</v>
      </c>
      <c r="Y14" s="34">
        <f t="shared" si="2"/>
        <v>0</v>
      </c>
      <c r="AA14" s="53"/>
      <c r="AB14" s="53"/>
      <c r="AC14" s="53"/>
      <c r="AD14" s="53"/>
      <c r="AF14" s="144" t="str">
        <f t="shared" si="1"/>
        <v/>
      </c>
      <c r="AG14" s="53"/>
      <c r="AH14" s="53"/>
      <c r="AI14" s="53"/>
      <c r="AJ14" s="53"/>
    </row>
    <row r="15" spans="1:36" ht="15" thickBot="1" x14ac:dyDescent="0.35">
      <c r="A15" s="215" t="s">
        <v>313</v>
      </c>
      <c r="B15" s="216" t="s">
        <v>408</v>
      </c>
      <c r="C15" s="217" t="s">
        <v>43</v>
      </c>
      <c r="D15" s="227">
        <v>45</v>
      </c>
      <c r="E15" s="218"/>
      <c r="F15" s="226" t="s">
        <v>344</v>
      </c>
      <c r="G15" s="219"/>
      <c r="R15" s="51">
        <f>(IF($T15=0,"0",VLOOKUP($B15,Biomass_pool_output_Tech1_modul!$A$3:$G$100,7,FALSE)))</f>
        <v>850.51110268835396</v>
      </c>
      <c r="S15" s="44"/>
      <c r="T15" s="34">
        <f>IF($B15="","0",(VLOOKUP($B15,Biomass_pool_output_Tech1_modul!$A$3:$F$100,2,FALSE)*($D15)/1000))</f>
        <v>20.25</v>
      </c>
      <c r="U15" s="34">
        <f>IF($B15="","0",(VLOOKUP($B15,Biomass_pool_output_Tech1_modul!$A$3:$F$100,3,FALSE)*($D15)/1000))</f>
        <v>0.75436005637025105</v>
      </c>
      <c r="V15" s="34">
        <f>IF($B15="","0",(VLOOKUP($B15,Biomass_pool_output_Tech1_modul!$A$3:$F$100,4,FALSE)*($D15)/1000))</f>
        <v>0.1396488907892979</v>
      </c>
      <c r="W15" s="34">
        <f>IF($B15="","0",(VLOOKUP($B15,Biomass_pool_output_Tech1_modul!$A$3:$F$100,5,FALSE)*($D15)/1000))</f>
        <v>0.21940283033598779</v>
      </c>
      <c r="X15" s="34">
        <f>IF($B15="","0",(VLOOKUP($B15,Biomass_pool_output_Tech1_modul!$A$3:$F$100,6,FALSE)*$D15))</f>
        <v>865.57009830957907</v>
      </c>
      <c r="Y15" s="34">
        <f t="shared" si="2"/>
        <v>4.714750352314069</v>
      </c>
      <c r="AA15" s="53"/>
      <c r="AB15" s="53"/>
      <c r="AC15" s="53"/>
      <c r="AD15" s="53"/>
      <c r="AF15" s="144" t="str">
        <f t="shared" si="1"/>
        <v/>
      </c>
      <c r="AG15" s="53"/>
      <c r="AH15" s="53"/>
      <c r="AI15" s="53"/>
      <c r="AJ15" s="53"/>
    </row>
    <row r="16" spans="1:36" x14ac:dyDescent="0.3">
      <c r="A16" s="211" t="s">
        <v>107</v>
      </c>
      <c r="B16" s="212" t="s">
        <v>409</v>
      </c>
      <c r="C16" s="213" t="s">
        <v>43</v>
      </c>
      <c r="D16" s="228">
        <v>40</v>
      </c>
      <c r="E16" s="214"/>
      <c r="F16" s="225"/>
      <c r="R16" s="51">
        <f>(IF($T16=0,"0",VLOOKUP($B16,Biomass_pool_output_Tech1_modul!$A$3:$G$100,7,FALSE)))</f>
        <v>850.05419244301197</v>
      </c>
      <c r="S16" s="44"/>
      <c r="T16" s="34">
        <f>IF($B16="","0",(VLOOKUP($B16,Biomass_pool_output_Tech1_modul!$A$3:$F$100,2,FALSE)*($D16)/1000))</f>
        <v>18</v>
      </c>
      <c r="U16" s="34">
        <f>IF($B16="","0",(VLOOKUP($B16,Biomass_pool_output_Tech1_modul!$A$3:$F$100,3,FALSE)*($D16)/1000))</f>
        <v>0.26068722027405761</v>
      </c>
      <c r="V16" s="34">
        <f>IF($B16="","0",(VLOOKUP($B16,Biomass_pool_output_Tech1_modul!$A$3:$F$100,4,FALSE)*($D16)/1000))</f>
        <v>3.6005702720178605E-2</v>
      </c>
      <c r="W16" s="34">
        <f>IF($B16="","0",(VLOOKUP($B16,Biomass_pool_output_Tech1_modul!$A$3:$F$100,5,FALSE)*($D16)/1000))</f>
        <v>0.65217442894450806</v>
      </c>
      <c r="X16" s="34">
        <f>IF($B16="","0",(VLOOKUP($B16,Biomass_pool_output_Tech1_modul!$A$3:$F$100,6,FALSE)*$D16))</f>
        <v>729.50638854915201</v>
      </c>
      <c r="Y16" s="34">
        <f t="shared" si="2"/>
        <v>1.6292951267128601</v>
      </c>
      <c r="AA16" s="120"/>
      <c r="AB16" s="120"/>
      <c r="AC16" s="120"/>
      <c r="AD16" s="120"/>
      <c r="AE16" s="120"/>
      <c r="AF16" s="144" t="str">
        <f t="shared" si="1"/>
        <v/>
      </c>
      <c r="AG16" s="120"/>
      <c r="AH16" s="120"/>
      <c r="AI16" s="121"/>
      <c r="AJ16" s="121"/>
    </row>
    <row r="17" spans="1:65" x14ac:dyDescent="0.3">
      <c r="A17" s="18" t="s">
        <v>420</v>
      </c>
      <c r="B17" s="19" t="s">
        <v>421</v>
      </c>
      <c r="C17" s="28" t="s">
        <v>43</v>
      </c>
      <c r="D17" s="230">
        <v>25</v>
      </c>
      <c r="E17" s="5"/>
      <c r="F17" s="126"/>
      <c r="R17" s="51">
        <f>(IF(B17="",0,VLOOKUP($B17,'Imported products'!$B$5:$O$54,5,FALSE)))</f>
        <v>960</v>
      </c>
      <c r="S17" s="44"/>
      <c r="T17" s="34">
        <f>IF($B17="","0",(VLOOKUP($B17,'Imported products'!$B$5:$O$54,9,FALSE)*($D17)/1000))</f>
        <v>11.25</v>
      </c>
      <c r="U17" s="34">
        <f>IF($B17="","0",(VLOOKUP($B17,'Imported products'!$B$5:$O$54,10,FALSE)*($D17)/1000))</f>
        <v>1.4459247648902822</v>
      </c>
      <c r="V17" s="34">
        <f>IF($B17="","0",(VLOOKUP($B17,'Imported products'!$B$5:$O$54,11,FALSE)*($D17)/1000))</f>
        <v>0.25499999999999995</v>
      </c>
      <c r="W17" s="34">
        <f>IF($B17="","0",(VLOOKUP($B17,'Imported products'!$B$5:$O$54,12,FALSE)*($D17)/1000))</f>
        <v>0.35</v>
      </c>
      <c r="X17" s="34">
        <f>IF($B17="","0",(VLOOKUP($B17,'Imported products'!$B$5:$O$54,13,FALSE)*($D17)/1000))</f>
        <v>0.47750000000000004</v>
      </c>
      <c r="Y17" s="34">
        <f>IF($B17="","0",(VLOOKUP($B17,'Imported products'!$B$5:$O$54,14,FALSE)*($D17)/1000))</f>
        <v>9.2249999999999996</v>
      </c>
      <c r="AA17" s="110"/>
      <c r="AF17" s="144" t="str">
        <f>IF(F12="","",F12)</f>
        <v>Rapskage_imp_conv</v>
      </c>
      <c r="AH17" s="110"/>
    </row>
    <row r="18" spans="1:65" x14ac:dyDescent="0.3">
      <c r="A18" s="18" t="s">
        <v>414</v>
      </c>
      <c r="B18" s="19" t="s">
        <v>680</v>
      </c>
      <c r="C18" s="28" t="s">
        <v>43</v>
      </c>
      <c r="D18" s="230">
        <v>37</v>
      </c>
      <c r="E18" s="5"/>
      <c r="F18" s="126"/>
      <c r="I18" s="47"/>
      <c r="R18" s="51">
        <f>(IF(B18="",0,VLOOKUP($B18,'Imported products'!$B$5:$O$54,5,FALSE)))</f>
        <v>1000</v>
      </c>
      <c r="S18" s="44"/>
      <c r="T18" s="34">
        <f>IF($B18="","0",(VLOOKUP($B18,'Imported products'!$B$5:$O$54,9,FALSE)*($D18)/1000))</f>
        <v>0</v>
      </c>
      <c r="U18" s="34">
        <f>IF($B18="","0",(VLOOKUP($B18,'Imported products'!$B$5:$O$54,10,FALSE)*($D18)/1000))</f>
        <v>0</v>
      </c>
      <c r="V18" s="34">
        <f>IF($B18="","0",(VLOOKUP($B18,'Imported products'!$B$5:$O$54,11,FALSE)*($D18)/1000))</f>
        <v>0</v>
      </c>
      <c r="W18" s="34">
        <f>IF($B18="","0",(VLOOKUP($B18,'Imported products'!$B$5:$O$54,12,FALSE)*($D18)/1000))</f>
        <v>0</v>
      </c>
      <c r="X18" s="34">
        <f>IF($B18="","0",(VLOOKUP($B18,'Imported products'!$B$5:$O$54,13,FALSE)*($D18)/1000))</f>
        <v>0</v>
      </c>
      <c r="Y18" s="34">
        <f>IF($B18="","0",(VLOOKUP($B18,'Imported products'!$B$5:$O$54,14,FALSE)*($D18)/1000))</f>
        <v>0</v>
      </c>
      <c r="AA18" s="110"/>
      <c r="AF18" s="144" t="str">
        <f t="shared" ref="AF18:AF23" si="3">IF(F13="","",F13)</f>
        <v/>
      </c>
      <c r="AH18" s="110"/>
    </row>
    <row r="19" spans="1:65" x14ac:dyDescent="0.3">
      <c r="A19" s="25"/>
      <c r="B19" s="243"/>
      <c r="C19" s="244"/>
      <c r="D19" s="244"/>
      <c r="R19" s="52"/>
      <c r="AA19" s="110"/>
      <c r="AF19" s="144" t="str">
        <f t="shared" si="3"/>
        <v/>
      </c>
    </row>
    <row r="20" spans="1:65" x14ac:dyDescent="0.3">
      <c r="A20" s="18" t="s">
        <v>113</v>
      </c>
      <c r="B20" s="40"/>
      <c r="C20" s="28" t="s">
        <v>43</v>
      </c>
      <c r="D20" s="28">
        <f>SUM(D12:D18)</f>
        <v>440</v>
      </c>
      <c r="R20" s="82">
        <f>(D12*R12+D13*R13+D14*R14+D15*R15+D16*R16+D17*R17+D18*R18)/D20</f>
        <v>888.4873147843316</v>
      </c>
      <c r="S20" s="45"/>
      <c r="T20" s="116">
        <f t="shared" ref="T20:X20" si="4">SUM(T12:T18)</f>
        <v>181.35</v>
      </c>
      <c r="U20" s="116">
        <f t="shared" si="4"/>
        <v>16.508835695259734</v>
      </c>
      <c r="V20" s="116">
        <f t="shared" si="4"/>
        <v>3.7370303827040172</v>
      </c>
      <c r="W20" s="116">
        <f t="shared" si="4"/>
        <v>5.7974827358431718</v>
      </c>
      <c r="X20" s="116">
        <f t="shared" si="4"/>
        <v>7936.706172680113</v>
      </c>
      <c r="Y20" s="116">
        <f>SUM(Y12:Y18)</f>
        <v>103.36819331480906</v>
      </c>
      <c r="AF20" s="144" t="str">
        <f t="shared" si="3"/>
        <v>Korn_standard_imp_conv</v>
      </c>
    </row>
    <row r="21" spans="1:65" ht="15.6" x14ac:dyDescent="0.3">
      <c r="AF21" s="144" t="str">
        <f t="shared" si="3"/>
        <v/>
      </c>
      <c r="AO21" s="291" t="s">
        <v>155</v>
      </c>
      <c r="AP21" s="291"/>
      <c r="AQ21" s="291"/>
      <c r="AR21" s="291"/>
      <c r="AS21" s="291"/>
      <c r="AT21" s="291"/>
      <c r="AU21" s="291"/>
      <c r="AV21" s="291"/>
      <c r="AW21" s="291"/>
      <c r="AX21" s="291"/>
      <c r="AY21" s="291"/>
      <c r="AZ21" s="291"/>
      <c r="BA21" s="291"/>
      <c r="BB21" s="291"/>
      <c r="BC21" s="291"/>
      <c r="BD21" s="291"/>
      <c r="BE21" s="291"/>
      <c r="BF21" s="291"/>
      <c r="BG21" s="291"/>
      <c r="BH21" s="291"/>
    </row>
    <row r="22" spans="1:65" ht="15.6" x14ac:dyDescent="0.3">
      <c r="E22" s="297" t="s">
        <v>188</v>
      </c>
      <c r="F22" s="297"/>
      <c r="G22" s="297"/>
      <c r="H22" s="297" t="s">
        <v>139</v>
      </c>
      <c r="I22" s="297"/>
      <c r="J22" s="125"/>
      <c r="K22" s="298" t="s">
        <v>287</v>
      </c>
      <c r="L22" s="298"/>
      <c r="M22" s="298"/>
      <c r="N22" s="298"/>
      <c r="O22" s="298"/>
      <c r="P22" s="298"/>
      <c r="R22" s="65" t="s">
        <v>1</v>
      </c>
      <c r="S22" s="292" t="s">
        <v>180</v>
      </c>
      <c r="T22" s="293"/>
      <c r="U22" s="293"/>
      <c r="V22" s="293"/>
      <c r="W22" s="293"/>
      <c r="X22" s="293"/>
      <c r="Y22" s="294"/>
      <c r="AB22" s="292" t="s">
        <v>176</v>
      </c>
      <c r="AC22" s="293"/>
      <c r="AD22" s="294"/>
      <c r="AF22" s="144" t="str">
        <f t="shared" si="3"/>
        <v/>
      </c>
      <c r="AO22" s="291" t="s">
        <v>132</v>
      </c>
      <c r="AP22" s="291"/>
      <c r="AQ22" s="291" t="s">
        <v>62</v>
      </c>
      <c r="AR22" s="291"/>
      <c r="AS22" s="291"/>
      <c r="AT22" s="291"/>
      <c r="AU22" s="291" t="s">
        <v>63</v>
      </c>
      <c r="AV22" s="291"/>
      <c r="AW22" s="291"/>
      <c r="AX22" s="291"/>
      <c r="AY22" s="291"/>
      <c r="AZ22" s="291"/>
      <c r="BA22" s="292" t="s">
        <v>64</v>
      </c>
      <c r="BB22" s="293"/>
      <c r="BC22" s="294"/>
      <c r="BD22" s="292" t="s">
        <v>65</v>
      </c>
      <c r="BE22" s="293"/>
      <c r="BF22" s="294"/>
      <c r="BG22" s="292" t="s">
        <v>51</v>
      </c>
      <c r="BH22" s="294"/>
    </row>
    <row r="23" spans="1:65" ht="15.6" x14ac:dyDescent="0.3">
      <c r="A23" s="16" t="s">
        <v>141</v>
      </c>
      <c r="B23" s="17" t="s">
        <v>29</v>
      </c>
      <c r="C23" s="17" t="s">
        <v>28</v>
      </c>
      <c r="D23" s="17" t="s">
        <v>138</v>
      </c>
      <c r="E23" s="17" t="s">
        <v>191</v>
      </c>
      <c r="F23" s="17" t="s">
        <v>190</v>
      </c>
      <c r="G23" s="182" t="s">
        <v>189</v>
      </c>
      <c r="H23" s="17" t="s">
        <v>4</v>
      </c>
      <c r="I23" s="17" t="s">
        <v>140</v>
      </c>
      <c r="K23" s="17" t="s">
        <v>174</v>
      </c>
      <c r="L23" s="17" t="s">
        <v>143</v>
      </c>
      <c r="M23" s="17" t="s">
        <v>144</v>
      </c>
      <c r="N23" s="17" t="s">
        <v>145</v>
      </c>
      <c r="O23" s="17" t="s">
        <v>146</v>
      </c>
      <c r="P23" s="17" t="s">
        <v>66</v>
      </c>
      <c r="R23" s="65"/>
      <c r="S23" s="66" t="s">
        <v>8</v>
      </c>
      <c r="T23" s="66" t="s">
        <v>181</v>
      </c>
      <c r="U23" s="66" t="s">
        <v>182</v>
      </c>
      <c r="V23" s="66" t="s">
        <v>183</v>
      </c>
      <c r="W23" s="66" t="s">
        <v>184</v>
      </c>
      <c r="X23" s="66" t="s">
        <v>13</v>
      </c>
      <c r="Y23" s="66" t="s">
        <v>185</v>
      </c>
      <c r="AB23" s="66" t="s">
        <v>17</v>
      </c>
      <c r="AC23" s="66" t="s">
        <v>177</v>
      </c>
      <c r="AD23" s="66" t="s">
        <v>178</v>
      </c>
      <c r="AF23" s="144" t="str">
        <f t="shared" si="3"/>
        <v/>
      </c>
      <c r="AO23" s="89" t="s">
        <v>148</v>
      </c>
      <c r="AP23" s="89" t="s">
        <v>149</v>
      </c>
      <c r="AQ23" s="89" t="s">
        <v>148</v>
      </c>
      <c r="AR23" s="89" t="s">
        <v>149</v>
      </c>
      <c r="AS23" s="89" t="s">
        <v>156</v>
      </c>
      <c r="AT23" s="89" t="s">
        <v>157</v>
      </c>
      <c r="AU23" s="89" t="s">
        <v>148</v>
      </c>
      <c r="AV23" s="89" t="s">
        <v>149</v>
      </c>
      <c r="AW23" s="89" t="s">
        <v>150</v>
      </c>
      <c r="AX23" s="89" t="s">
        <v>154</v>
      </c>
      <c r="AY23" s="89" t="s">
        <v>151</v>
      </c>
      <c r="AZ23" s="89" t="s">
        <v>152</v>
      </c>
      <c r="BA23" s="89" t="s">
        <v>148</v>
      </c>
      <c r="BB23" s="89" t="s">
        <v>149</v>
      </c>
      <c r="BC23" s="89" t="s">
        <v>153</v>
      </c>
      <c r="BD23" s="89" t="s">
        <v>148</v>
      </c>
      <c r="BE23" s="89" t="s">
        <v>149</v>
      </c>
      <c r="BF23" s="89" t="s">
        <v>153</v>
      </c>
      <c r="BG23" s="89" t="s">
        <v>148</v>
      </c>
      <c r="BH23" s="89" t="s">
        <v>149</v>
      </c>
    </row>
    <row r="24" spans="1:65" x14ac:dyDescent="0.3">
      <c r="A24" s="18" t="s">
        <v>667</v>
      </c>
      <c r="B24" s="19" t="s">
        <v>782</v>
      </c>
      <c r="C24" s="28" t="s">
        <v>43</v>
      </c>
      <c r="D24" s="6">
        <v>618</v>
      </c>
      <c r="E24" s="5"/>
      <c r="F24" s="5"/>
      <c r="G24" s="5"/>
      <c r="H24" s="30" t="str">
        <f>IF(B24="","",VLOOKUP(B24,Converted_feedstuff!$C$5:$E$54,3,FALSE))</f>
        <v>Grass_and_grass_clover_conv</v>
      </c>
      <c r="I24" s="80">
        <f>D24/((100-VLOOKUP(B24,Converted_feedstuff!$C$5:$F$54,4,FALSE))/100)</f>
        <v>686.66666666666663</v>
      </c>
      <c r="K24" s="30">
        <f>IF(B24="",0,VLOOKUP(B24,Converted_feedstuff!$C$5:$D$54,2,FALSE))</f>
        <v>180</v>
      </c>
      <c r="L24" s="80">
        <f>IF($B24="","",((VLOOKUP($B24,Converted_feedstuff!$C$5:$AM$54,33,FALSE))*((100-VLOOKUP($B24,Converted_feedstuff!$C$5:$K$54,5,FALSE))/100))/((100-VLOOKUP($B24,Converted_feedstuff!$C$5:$K$54,4,FALSE))/100))</f>
        <v>450.00000233204003</v>
      </c>
      <c r="M24" s="81">
        <f>IF($B24="","",((VLOOKUP($B24,Converted_feedstuff!$C$5:$AM$54,34,FALSE))*((100-VLOOKUP($B24,Converted_feedstuff!$C$5:$K$54,6,FALSE))/100))/((100-VLOOKUP($B24,Converted_feedstuff!$C$5:$K$54,4,FALSE))/100))</f>
        <v>27.0203229895893</v>
      </c>
      <c r="N24" s="81">
        <f>IF($B24="","",((VLOOKUP($B24,Converted_feedstuff!$C$5:$AM$54,35,FALSE))*((100-VLOOKUP($B24,Converted_feedstuff!$C$5:$K$54,7,FALSE))/100))/((100-VLOOKUP($B24,Converted_feedstuff!$C$5:$K$54,4,FALSE))/100))</f>
        <v>3.6646866480221498</v>
      </c>
      <c r="O24" s="81">
        <f>IF($B24="","",((VLOOKUP($B24,Converted_feedstuff!$C$5:$AM$54,36,FALSE))*((100-VLOOKUP($B24,Converted_feedstuff!$C$5:$K$54,8,FALSE))/100))/((100-VLOOKUP($B24,Converted_feedstuff!$C$5:$K$54,4,FALSE))/100))</f>
        <v>28.092453829169798</v>
      </c>
      <c r="P24" s="81">
        <f>IF($B24="","",((VLOOKUP($B24,Converted_feedstuff!$C$5:$AM$49,37,FALSE))*((100-VLOOKUP($B24,Converted_feedstuff!$C$5:$K$54,9,FALSE))/100))/((100-VLOOKUP($B24,Converted_feedstuff!$C$5:$K$54,4,FALSE))/100))</f>
        <v>16.549135894677399</v>
      </c>
      <c r="R24" s="51">
        <f>K24</f>
        <v>180</v>
      </c>
      <c r="S24" s="44"/>
      <c r="T24" s="34">
        <f t="shared" ref="T24:W30" si="5">IF($D24="",0,$D24*(L24/1000))</f>
        <v>278.10000144120073</v>
      </c>
      <c r="U24" s="34">
        <f t="shared" si="5"/>
        <v>16.698559607566185</v>
      </c>
      <c r="V24" s="34">
        <f t="shared" si="5"/>
        <v>2.2647763484776884</v>
      </c>
      <c r="W24" s="34">
        <f t="shared" si="5"/>
        <v>17.361136466426935</v>
      </c>
      <c r="X24" s="34">
        <f>IF($D24="",0,$D24*P24)</f>
        <v>10227.365982910633</v>
      </c>
      <c r="Y24" s="81">
        <f>U24*6.25</f>
        <v>104.36599754728866</v>
      </c>
      <c r="AB24" s="114">
        <f>IF(B24="",0,(VLOOKUP(B24,Converted_feedstuff!$C$5:$BH$54,58,FALSE)*$I24))</f>
        <v>-8.3174579333346408</v>
      </c>
      <c r="AC24" s="30"/>
      <c r="AD24" s="30"/>
      <c r="AF24" s="144" t="str">
        <f>IF(B24="","",B24)</f>
        <v>Afgraesning_1_grazed_conv</v>
      </c>
      <c r="AO24" s="80" t="e">
        <f>IF($B24="","",(((((Converted_feedstuff!#REF!/100)*Converted_feedstuff!F5)/100)*1000)*$I24)/1000)</f>
        <v>#REF!</v>
      </c>
      <c r="AP24" s="80" t="e">
        <f>IF($B24="","",(((((Converted_feedstuff!#REF!/100)*Converted_feedstuff!F5)/100)*1000)*$I24)/1000)</f>
        <v>#REF!</v>
      </c>
      <c r="AQ24" s="80" t="e">
        <f>IF($B24="","",(((((Converted_feedstuff!#REF!/100)*Converted_feedstuff!G5)/100)*Converted_feedstuff!AI5)*$I24)/1000)</f>
        <v>#REF!</v>
      </c>
      <c r="AR24" s="80">
        <f>IF($B24="","",(((((Converted_feedstuff!U5/100)*Converted_feedstuff!G5)/100)*Converted_feedstuff!AI5)*$I24)/1000)</f>
        <v>0</v>
      </c>
      <c r="AS24" s="80">
        <f>IF($B24="","",(((((Converted_feedstuff!V5/100)*Converted_feedstuff!G5)/100)*Converted_feedstuff!AI5)*$I24)/1000)</f>
        <v>0</v>
      </c>
      <c r="AT24" s="80">
        <f>IF($B24="","",(((((Converted_feedstuff!W5/100)*Converted_feedstuff!G5)/100)*Converted_feedstuff!AI5)*$I24)/1000)</f>
        <v>0</v>
      </c>
      <c r="AU24" s="80" t="e">
        <f>IF($B24="","",(((((Converted_feedstuff!#REF!/100)*Converted_feedstuff!H5)/100)*Converted_feedstuff!AJ5)*$I24)/1000)</f>
        <v>#REF!</v>
      </c>
      <c r="AV24" s="80">
        <f>IF($B24="","",(((((Converted_feedstuff!X5/100)*Converted_feedstuff!H5)/100)*Converted_feedstuff!AJ5)*$I24)/1000)</f>
        <v>0</v>
      </c>
      <c r="AW24" s="80">
        <f>IF($B24="","",(((((Converted_feedstuff!Y5/100)*Converted_feedstuff!H5)/100)*Converted_feedstuff!AJ5)*$I24)/1000)</f>
        <v>0</v>
      </c>
      <c r="AX24" s="80">
        <f>IF($B24="","",(((((Converted_feedstuff!Z5/100)*Converted_feedstuff!H5)/100)*Converted_feedstuff!AJ5)*$I24)/1000)</f>
        <v>0</v>
      </c>
      <c r="AY24" s="80">
        <f>IF($B24="","",(((((Converted_feedstuff!AA5/100)*Converted_feedstuff!H5)/100)*Converted_feedstuff!AJ5)*$I24)/1000)</f>
        <v>0</v>
      </c>
      <c r="AZ24" s="80">
        <f>IF($B24="","",(((((Converted_feedstuff!AB5/100)*Converted_feedstuff!H5)/100)*Converted_feedstuff!AJ5)*$I24)/1000)</f>
        <v>0</v>
      </c>
      <c r="BA24" s="80" t="e">
        <f>IF($B24="","",(((((Converted_feedstuff!#REF!/100)*Converted_feedstuff!I5)/100)*Converted_feedstuff!AK5)*$I24)/1000)</f>
        <v>#REF!</v>
      </c>
      <c r="BB24" s="80">
        <f>IF($B24="","",(((((Converted_feedstuff!AC5/100)*Converted_feedstuff!I5)/100)*Converted_feedstuff!AK5)*$I24)/1000)</f>
        <v>0</v>
      </c>
      <c r="BC24" s="80">
        <f>IF($B24="","",(((((Converted_feedstuff!AD5/100)*Converted_feedstuff!I5)/100)*Converted_feedstuff!AK5)*$I24)/1000)</f>
        <v>0</v>
      </c>
      <c r="BD24" s="80" t="e">
        <f>IF($B24="","",(((((Converted_feedstuff!#REF!/100)*Converted_feedstuff!J5)/100)*Converted_feedstuff!AL5)*$I24)/1000)</f>
        <v>#REF!</v>
      </c>
      <c r="BE24" s="80">
        <f>IF($B24="","",(((((Converted_feedstuff!AE5/100)*Converted_feedstuff!J5)/100)*Converted_feedstuff!AL5)*$I24)/1000)</f>
        <v>0</v>
      </c>
      <c r="BF24" s="80">
        <f>IF($B24="","",(((((Converted_feedstuff!AF5/100)*Converted_feedstuff!J5)/100)*Converted_feedstuff!AL5)*$I24)/1000)</f>
        <v>0</v>
      </c>
      <c r="BG24" s="80" t="e">
        <f>IF($B24="","",((((Converted_feedstuff!#REF!/100)*Converted_feedstuff!K5)/100)*Converted_feedstuff!AM5)*$I24)</f>
        <v>#REF!</v>
      </c>
      <c r="BH24" s="80" t="e">
        <f>IF($B24="","",((((Converted_feedstuff!#REF!/100)*Converted_feedstuff!K5)/100)*Converted_feedstuff!AM5)*$I24)</f>
        <v>#REF!</v>
      </c>
    </row>
    <row r="25" spans="1:65" x14ac:dyDescent="0.3">
      <c r="A25" s="18" t="s">
        <v>668</v>
      </c>
      <c r="B25" s="19"/>
      <c r="C25" s="28" t="s">
        <v>43</v>
      </c>
      <c r="D25" s="6"/>
      <c r="E25" s="5"/>
      <c r="F25" s="5"/>
      <c r="G25" s="5"/>
      <c r="H25" s="30" t="str">
        <f>IF(B25="","",VLOOKUP(B25,Converted_feedstuff!$C$5:$E$54,3,FALSE))</f>
        <v/>
      </c>
      <c r="I25" s="80" t="e">
        <f>D25/((100-VLOOKUP(B25,Converted_feedstuff!$C$5:$F$54,4,FALSE))/100)</f>
        <v>#N/A</v>
      </c>
      <c r="K25" s="30">
        <f>IF(B25="",0,VLOOKUP(B25,Converted_feedstuff!$C$5:$D$54,2,FALSE))</f>
        <v>0</v>
      </c>
      <c r="L25" s="80" t="str">
        <f>IF($B25="","",((VLOOKUP($B25,Converted_feedstuff!$C$5:$AM$54,33,FALSE))*((100-VLOOKUP($B25,Converted_feedstuff!$C$5:$K$54,5,FALSE))/100))/((100-VLOOKUP($B25,Converted_feedstuff!$C$5:$K$54,4,FALSE))/100))</f>
        <v/>
      </c>
      <c r="M25" s="81" t="str">
        <f>IF($B25="","",((VLOOKUP($B25,Converted_feedstuff!$C$5:$AM$54,34,FALSE))*((100-VLOOKUP($B25,Converted_feedstuff!$C$5:$K$54,6,FALSE))/100))/((100-VLOOKUP($B25,Converted_feedstuff!$C$5:$K$54,4,FALSE))/100))</f>
        <v/>
      </c>
      <c r="N25" s="81" t="str">
        <f>IF($B25="","",((VLOOKUP($B25,Converted_feedstuff!$C$5:$AM$54,35,FALSE))*((100-VLOOKUP($B25,Converted_feedstuff!$C$5:$K$54,7,FALSE))/100))/((100-VLOOKUP($B25,Converted_feedstuff!$C$5:$K$54,4,FALSE))/100))</f>
        <v/>
      </c>
      <c r="O25" s="81" t="str">
        <f>IF($B25="","",((VLOOKUP($B25,Converted_feedstuff!$C$5:$AM$54,36,FALSE))*((100-VLOOKUP($B25,Converted_feedstuff!$C$5:$K$54,8,FALSE))/100))/((100-VLOOKUP($B25,Converted_feedstuff!$C$5:$K$54,4,FALSE))/100))</f>
        <v/>
      </c>
      <c r="P25" s="81" t="str">
        <f>IF($B25="","",((VLOOKUP($B25,Converted_feedstuff!$C$5:$AM$49,37,FALSE))*((100-VLOOKUP($B25,Converted_feedstuff!$C$5:$K$54,9,FALSE))/100))/((100-VLOOKUP($B25,Converted_feedstuff!$C$5:$K$54,4,FALSE))/100))</f>
        <v/>
      </c>
      <c r="Q25" s="26"/>
      <c r="R25" s="51">
        <f t="shared" ref="R25:R30" si="6">K25</f>
        <v>0</v>
      </c>
      <c r="S25" s="44"/>
      <c r="T25" s="34">
        <f t="shared" si="5"/>
        <v>0</v>
      </c>
      <c r="U25" s="34">
        <f t="shared" si="5"/>
        <v>0</v>
      </c>
      <c r="V25" s="34">
        <f t="shared" si="5"/>
        <v>0</v>
      </c>
      <c r="W25" s="34">
        <f t="shared" si="5"/>
        <v>0</v>
      </c>
      <c r="X25" s="34">
        <f t="shared" ref="X25:X30" si="7">IF($D25="",0,$D25*P25)</f>
        <v>0</v>
      </c>
      <c r="Y25" s="81">
        <f t="shared" ref="Y25:Y30" si="8">U25*6.25</f>
        <v>0</v>
      </c>
      <c r="AB25" s="114">
        <f>IF(B25="",0,(VLOOKUP(B25,Converted_feedstuff!$C$5:$BH$54,58,FALSE)*$I25))</f>
        <v>0</v>
      </c>
      <c r="AC25" s="30"/>
      <c r="AD25" s="30"/>
      <c r="AF25" s="144" t="str">
        <f t="shared" ref="AF25:AF30" si="9">IF(B25="","",B25)</f>
        <v/>
      </c>
      <c r="AO25" s="80" t="str">
        <f>IF($B25="","",(((((Converted_feedstuff!#REF!/100)*Converted_feedstuff!F6)/100)*1000)*$I25)/1000)</f>
        <v/>
      </c>
      <c r="AP25" s="80" t="str">
        <f>IF($B25="","",(((((Converted_feedstuff!#REF!/100)*Converted_feedstuff!F6)/100)*1000)*$I25)/1000)</f>
        <v/>
      </c>
      <c r="AQ25" s="80" t="str">
        <f>IF($B25="","",(((((Converted_feedstuff!#REF!/100)*Converted_feedstuff!G6)/100)*Converted_feedstuff!AI6)*$I25)/1000)</f>
        <v/>
      </c>
      <c r="AR25" s="80" t="str">
        <f>IF($B25="","",(((((Converted_feedstuff!U6/100)*Converted_feedstuff!G6)/100)*Converted_feedstuff!AI6)*$I25)/1000)</f>
        <v/>
      </c>
      <c r="AS25" s="80" t="str">
        <f>IF($B25="","",(((((Converted_feedstuff!V6/100)*Converted_feedstuff!G6)/100)*Converted_feedstuff!AI6)*$I25)/1000)</f>
        <v/>
      </c>
      <c r="AT25" s="80" t="str">
        <f>IF($B25="","",(((((Converted_feedstuff!W6/100)*Converted_feedstuff!G6)/100)*Converted_feedstuff!AI6)*$I25)/1000)</f>
        <v/>
      </c>
      <c r="AU25" s="80" t="str">
        <f>IF($B25="","",(((((Converted_feedstuff!#REF!/100)*Converted_feedstuff!H6)/100)*Converted_feedstuff!AJ6)*$I25)/1000)</f>
        <v/>
      </c>
      <c r="AV25" s="80" t="str">
        <f>IF($B25="","",(((((Converted_feedstuff!X6/100)*Converted_feedstuff!H6)/100)*Converted_feedstuff!AJ6)*$I25)/1000)</f>
        <v/>
      </c>
      <c r="AW25" s="80" t="str">
        <f>IF($B25="","",(((((Converted_feedstuff!Y6/100)*Converted_feedstuff!H6)/100)*Converted_feedstuff!AJ6)*$I25)/1000)</f>
        <v/>
      </c>
      <c r="AX25" s="80" t="str">
        <f>IF($B25="","",(((((Converted_feedstuff!Z6/100)*Converted_feedstuff!H6)/100)*Converted_feedstuff!AJ6)*$I25)/1000)</f>
        <v/>
      </c>
      <c r="AY25" s="80" t="str">
        <f>IF($B25="","",(((((Converted_feedstuff!AA6/100)*Converted_feedstuff!H6)/100)*Converted_feedstuff!AJ6)*$I25)/1000)</f>
        <v/>
      </c>
      <c r="AZ25" s="80" t="str">
        <f>IF($B25="","",(((((Converted_feedstuff!AB6/100)*Converted_feedstuff!H6)/100)*Converted_feedstuff!AJ6)*$I25)/1000)</f>
        <v/>
      </c>
      <c r="BA25" s="80" t="str">
        <f>IF($B25="","",(((((Converted_feedstuff!#REF!/100)*Converted_feedstuff!I6)/100)*Converted_feedstuff!AK6)*$I25)/1000)</f>
        <v/>
      </c>
      <c r="BB25" s="80" t="str">
        <f>IF($B25="","",(((((Converted_feedstuff!AC6/100)*Converted_feedstuff!I6)/100)*Converted_feedstuff!AK6)*$I25)/1000)</f>
        <v/>
      </c>
      <c r="BC25" s="80" t="str">
        <f>IF($B25="","",(((((Converted_feedstuff!AD6/100)*Converted_feedstuff!I6)/100)*Converted_feedstuff!AK6)*$I25)/1000)</f>
        <v/>
      </c>
      <c r="BD25" s="80" t="str">
        <f>IF($B25="","",(((((Converted_feedstuff!#REF!/100)*Converted_feedstuff!J6)/100)*Converted_feedstuff!AL6)*$I25)/1000)</f>
        <v/>
      </c>
      <c r="BE25" s="80" t="str">
        <f>IF($B25="","",(((((Converted_feedstuff!AE6/100)*Converted_feedstuff!J6)/100)*Converted_feedstuff!AL6)*$I25)/1000)</f>
        <v/>
      </c>
      <c r="BF25" s="80" t="str">
        <f>IF($B25="","",(((((Converted_feedstuff!AF6/100)*Converted_feedstuff!J6)/100)*Converted_feedstuff!AL6)*$I25)/1000)</f>
        <v/>
      </c>
      <c r="BG25" s="80" t="str">
        <f>IF($B25="","",((((Converted_feedstuff!#REF!/100)*Converted_feedstuff!K6)/100)*Converted_feedstuff!AM6)*$I25)</f>
        <v/>
      </c>
      <c r="BH25" s="80" t="str">
        <f>IF($B25="","",((((Converted_feedstuff!#REF!/100)*Converted_feedstuff!K6)/100)*Converted_feedstuff!AM6)*$I25)</f>
        <v/>
      </c>
    </row>
    <row r="26" spans="1:65" x14ac:dyDescent="0.3">
      <c r="A26" s="18" t="s">
        <v>319</v>
      </c>
      <c r="B26" s="19" t="s">
        <v>437</v>
      </c>
      <c r="C26" s="28" t="s">
        <v>43</v>
      </c>
      <c r="D26" s="6">
        <v>185</v>
      </c>
      <c r="E26" s="126" t="s">
        <v>131</v>
      </c>
      <c r="F26" s="5"/>
      <c r="G26" s="126"/>
      <c r="H26" s="30" t="str">
        <f>IF(B26="","",VLOOKUP(B26,Converted_feedstuff!$C$5:$E$54,3,FALSE))</f>
        <v>Whole_crop_conv</v>
      </c>
      <c r="I26" s="80">
        <f>D26/((100-VLOOKUP(B26,Converted_feedstuff!$C$5:$F$54,4,FALSE))/100)</f>
        <v>217.90341578327443</v>
      </c>
      <c r="K26" s="30">
        <f>IF(B26="",0,VLOOKUP(B26,Converted_feedstuff!$C$5:$D$54,2,FALSE))</f>
        <v>333</v>
      </c>
      <c r="L26" s="80">
        <f>IF($B26="","",((VLOOKUP($B26,Converted_feedstuff!$C$5:$AM$54,33,FALSE))*((100-VLOOKUP($B26,Converted_feedstuff!$C$5:$K$54,5,FALSE))/100))/((100-VLOOKUP($B26,Converted_feedstuff!$C$5:$K$54,4,FALSE))/100))</f>
        <v>449.99999999999994</v>
      </c>
      <c r="M26" s="81">
        <f>IF($B26="","",((VLOOKUP($B26,Converted_feedstuff!$C$5:$AM$54,34,FALSE))*((100-VLOOKUP($B26,Converted_feedstuff!$C$5:$K$54,6,FALSE))/100))/((100-VLOOKUP($B26,Converted_feedstuff!$C$5:$K$54,4,FALSE))/100))</f>
        <v>23.72504122497055</v>
      </c>
      <c r="N26" s="81">
        <f>IF($B26="","",((VLOOKUP($B26,Converted_feedstuff!$C$5:$AM$54,35,FALSE))*((100-VLOOKUP($B26,Converted_feedstuff!$C$5:$K$54,7,FALSE))/100))/((100-VLOOKUP($B26,Converted_feedstuff!$C$5:$K$54,4,FALSE))/100))</f>
        <v>3.6513545347467606</v>
      </c>
      <c r="O26" s="81">
        <f>IF($B26="","",((VLOOKUP($B26,Converted_feedstuff!$C$5:$AM$54,36,FALSE))*((100-VLOOKUP($B26,Converted_feedstuff!$C$5:$K$54,8,FALSE))/100))/((100-VLOOKUP($B26,Converted_feedstuff!$C$5:$K$54,4,FALSE))/100))</f>
        <v>22.025912838633683</v>
      </c>
      <c r="P26" s="81">
        <f>IF($B26="","",((VLOOKUP($B26,Converted_feedstuff!$C$5:$AM$49,37,FALSE))*((100-VLOOKUP($B26,Converted_feedstuff!$C$5:$K$54,9,FALSE))/100))/((100-VLOOKUP($B26,Converted_feedstuff!$C$5:$K$54,4,FALSE))/100))</f>
        <v>18.399999999999999</v>
      </c>
      <c r="R26" s="51">
        <f t="shared" si="6"/>
        <v>333</v>
      </c>
      <c r="S26" s="44"/>
      <c r="T26" s="34">
        <f t="shared" si="5"/>
        <v>83.249999999999986</v>
      </c>
      <c r="U26" s="34">
        <f t="shared" si="5"/>
        <v>4.3891326266195518</v>
      </c>
      <c r="V26" s="34">
        <f t="shared" si="5"/>
        <v>0.67550058892815068</v>
      </c>
      <c r="W26" s="34">
        <f t="shared" si="5"/>
        <v>4.0747938751472317</v>
      </c>
      <c r="X26" s="34">
        <f t="shared" si="7"/>
        <v>3403.9999999999995</v>
      </c>
      <c r="Y26" s="81">
        <f t="shared" si="8"/>
        <v>27.432078916372198</v>
      </c>
      <c r="AB26" s="114">
        <f>IF(B26="",0,(VLOOKUP(B26,Converted_feedstuff!$C$5:$BH$54,58,FALSE)*$I26))</f>
        <v>0.96989650942110262</v>
      </c>
      <c r="AC26" s="30"/>
      <c r="AD26" s="30"/>
      <c r="AF26" s="144" t="str">
        <f t="shared" si="9"/>
        <v>Ensilage_whole_crop_conv</v>
      </c>
      <c r="AO26" s="80" t="e">
        <f>IF($B26="","",(((((Converted_feedstuff!#REF!/100)*Converted_feedstuff!F7)/100)*1000)*$I26)/1000)</f>
        <v>#REF!</v>
      </c>
      <c r="AP26" s="80" t="e">
        <f>IF($B26="","",(((((Converted_feedstuff!#REF!/100)*Converted_feedstuff!F7)/100)*1000)*$I26)/1000)</f>
        <v>#REF!</v>
      </c>
      <c r="AQ26" s="80" t="e">
        <f>IF($B26="","",(((((Converted_feedstuff!#REF!/100)*Converted_feedstuff!G7)/100)*Converted_feedstuff!AI7)*$I26)/1000)</f>
        <v>#REF!</v>
      </c>
      <c r="AR26" s="80">
        <f>IF($B26="","",(((((Converted_feedstuff!U7/100)*Converted_feedstuff!G7)/100)*Converted_feedstuff!AI7)*$I26)/1000)</f>
        <v>14.806537102473497</v>
      </c>
      <c r="AS26" s="80">
        <f>IF($B26="","",(((((Converted_feedstuff!V7/100)*Converted_feedstuff!G7)/100)*Converted_feedstuff!AI7)*$I26)/1000)</f>
        <v>0</v>
      </c>
      <c r="AT26" s="80">
        <f>IF($B26="","",(((((Converted_feedstuff!W7/100)*Converted_feedstuff!G7)/100)*Converted_feedstuff!AI7)*$I26)/1000)</f>
        <v>0</v>
      </c>
      <c r="AU26" s="80" t="e">
        <f>IF($B26="","",(((((Converted_feedstuff!#REF!/100)*Converted_feedstuff!H7)/100)*Converted_feedstuff!AJ7)*$I26)/1000)</f>
        <v>#REF!</v>
      </c>
      <c r="AV26" s="80">
        <f>IF($B26="","",(((((Converted_feedstuff!X7/100)*Converted_feedstuff!H7)/100)*Converted_feedstuff!AJ7)*$I26)/1000)</f>
        <v>9.9259363957597158E-2</v>
      </c>
      <c r="AW26" s="80">
        <f>IF($B26="","",(((((Converted_feedstuff!Y7/100)*Converted_feedstuff!H7)/100)*Converted_feedstuff!AJ7)*$I26)/1000)</f>
        <v>0</v>
      </c>
      <c r="AX26" s="80">
        <f>IF($B26="","",(((((Converted_feedstuff!Z7/100)*Converted_feedstuff!H7)/100)*Converted_feedstuff!AJ7)*$I26)/1000)</f>
        <v>0</v>
      </c>
      <c r="AY26" s="80">
        <f>IF($B26="","",(((((Converted_feedstuff!AA7/100)*Converted_feedstuff!H7)/100)*Converted_feedstuff!AJ7)*$I26)/1000)</f>
        <v>0</v>
      </c>
      <c r="AZ26" s="80">
        <f>IF($B26="","",(((((Converted_feedstuff!AB7/100)*Converted_feedstuff!H7)/100)*Converted_feedstuff!AJ7)*$I26)/1000)</f>
        <v>0</v>
      </c>
      <c r="BA26" s="80" t="e">
        <f>IF($B26="","",(((((Converted_feedstuff!#REF!/100)*Converted_feedstuff!I7)/100)*Converted_feedstuff!AK7)*$I26)/1000)</f>
        <v>#REF!</v>
      </c>
      <c r="BB26" s="80">
        <f>IF($B26="","",(((((Converted_feedstuff!AC7/100)*Converted_feedstuff!I7)/100)*Converted_feedstuff!AK7)*$I26)/1000)</f>
        <v>0</v>
      </c>
      <c r="BC26" s="80">
        <f>IF($B26="","",(((((Converted_feedstuff!AD7/100)*Converted_feedstuff!I7)/100)*Converted_feedstuff!AK7)*$I26)/1000)</f>
        <v>0</v>
      </c>
      <c r="BD26" s="80" t="e">
        <f>IF($B26="","",(((((Converted_feedstuff!#REF!/100)*Converted_feedstuff!J7)/100)*Converted_feedstuff!AL7)*$I26)/1000)</f>
        <v>#REF!</v>
      </c>
      <c r="BE26" s="80">
        <f>IF($B26="","",(((((Converted_feedstuff!AE7/100)*Converted_feedstuff!J7)/100)*Converted_feedstuff!AL7)*$I26)/1000)</f>
        <v>0</v>
      </c>
      <c r="BF26" s="80">
        <f>IF($B26="","",(((((Converted_feedstuff!AF7/100)*Converted_feedstuff!J7)/100)*Converted_feedstuff!AL7)*$I26)/1000)</f>
        <v>0</v>
      </c>
      <c r="BG26" s="80" t="e">
        <f>IF($B26="","",((((Converted_feedstuff!#REF!/100)*Converted_feedstuff!K7)/100)*Converted_feedstuff!AM7)*$I26)</f>
        <v>#REF!</v>
      </c>
      <c r="BH26" s="80" t="e">
        <f>IF($B26="","",((((Converted_feedstuff!#REF!/100)*Converted_feedstuff!K7)/100)*Converted_feedstuff!AM7)*$I26)</f>
        <v>#REF!</v>
      </c>
    </row>
    <row r="27" spans="1:65" x14ac:dyDescent="0.3">
      <c r="A27" s="18" t="s">
        <v>106</v>
      </c>
      <c r="B27" s="19" t="s">
        <v>131</v>
      </c>
      <c r="C27" s="28" t="s">
        <v>43</v>
      </c>
      <c r="D27" s="6">
        <v>340</v>
      </c>
      <c r="E27" s="126" t="s">
        <v>133</v>
      </c>
      <c r="F27" s="5"/>
      <c r="G27" s="126"/>
      <c r="H27" s="30" t="str">
        <f>IF(B27="","",VLOOKUP(B27,Converted_feedstuff!$C$5:$E$54,3,FALSE))</f>
        <v>Grass_and_grass_clover_conv</v>
      </c>
      <c r="I27" s="80">
        <f>D27/((100-VLOOKUP(B27,Converted_feedstuff!$C$5:$F$54,4,FALSE))/100)</f>
        <v>400.47114252061243</v>
      </c>
      <c r="K27" s="30">
        <f>IF(B27="",0,VLOOKUP(B27,Converted_feedstuff!$C$5:$D$54,2,FALSE))</f>
        <v>359</v>
      </c>
      <c r="L27" s="80">
        <f>IF($B27="","",((VLOOKUP($B27,Converted_feedstuff!$C$5:$AM$54,33,FALSE))*((100-VLOOKUP($B27,Converted_feedstuff!$C$5:$K$54,5,FALSE))/100))/((100-VLOOKUP($B27,Converted_feedstuff!$C$5:$K$54,4,FALSE))/100))</f>
        <v>450.00000233204008</v>
      </c>
      <c r="M27" s="81">
        <f>IF($B27="","",((VLOOKUP($B27,Converted_feedstuff!$C$5:$AM$54,34,FALSE))*((100-VLOOKUP($B27,Converted_feedstuff!$C$5:$K$54,6,FALSE))/100))/((100-VLOOKUP($B27,Converted_feedstuff!$C$5:$K$54,4,FALSE))/100))</f>
        <v>30.5848414522913</v>
      </c>
      <c r="N27" s="81">
        <f>IF($B27="","",((VLOOKUP($B27,Converted_feedstuff!$C$5:$AM$54,35,FALSE))*((100-VLOOKUP($B27,Converted_feedstuff!$C$5:$K$54,7,FALSE))/100))/((100-VLOOKUP($B27,Converted_feedstuff!$C$5:$K$54,4,FALSE))/100))</f>
        <v>4.3164742615101881</v>
      </c>
      <c r="O27" s="81">
        <f>IF($B27="","",((VLOOKUP($B27,Converted_feedstuff!$C$5:$AM$54,36,FALSE))*((100-VLOOKUP($B27,Converted_feedstuff!$C$5:$K$54,8,FALSE))/100))/((100-VLOOKUP($B27,Converted_feedstuff!$C$5:$K$54,4,FALSE))/100))</f>
        <v>33.088873768162301</v>
      </c>
      <c r="P27" s="81">
        <f>IF($B27="","",((VLOOKUP($B27,Converted_feedstuff!$C$5:$AM$49,37,FALSE))*((100-VLOOKUP($B27,Converted_feedstuff!$C$5:$K$54,9,FALSE))/100))/((100-VLOOKUP($B27,Converted_feedstuff!$C$5:$K$54,4,FALSE))/100))</f>
        <v>16.549135894677399</v>
      </c>
      <c r="R27" s="51">
        <f t="shared" si="6"/>
        <v>359</v>
      </c>
      <c r="S27" s="44"/>
      <c r="T27" s="34">
        <f t="shared" si="5"/>
        <v>153.00000079289362</v>
      </c>
      <c r="U27" s="34">
        <f t="shared" si="5"/>
        <v>10.398846093779042</v>
      </c>
      <c r="V27" s="34">
        <f t="shared" si="5"/>
        <v>1.467601248913464</v>
      </c>
      <c r="W27" s="34">
        <f t="shared" si="5"/>
        <v>11.250217081175183</v>
      </c>
      <c r="X27" s="34">
        <f t="shared" si="7"/>
        <v>5626.7062041903155</v>
      </c>
      <c r="Y27" s="81">
        <f t="shared" si="8"/>
        <v>64.99278808611902</v>
      </c>
      <c r="AB27" s="114">
        <f>IF(B27="",0,(VLOOKUP(B27,Converted_feedstuff!$C$5:$BH$54,58,FALSE)*$I27))</f>
        <v>3.3073827154531004</v>
      </c>
      <c r="AC27" s="30"/>
      <c r="AD27" s="30"/>
      <c r="AF27" s="144" t="str">
        <f t="shared" si="9"/>
        <v>Ensilage_graes_conv</v>
      </c>
      <c r="AO27" s="80" t="e">
        <f>IF($B27="","",(((((Converted_feedstuff!#REF!/100)*Converted_feedstuff!F8)/100)*1000)*$I27)/1000)</f>
        <v>#REF!</v>
      </c>
      <c r="AP27" s="80" t="e">
        <f>IF($B27="","",(((((Converted_feedstuff!#REF!/100)*Converted_feedstuff!F8)/100)*1000)*$I27)/1000)</f>
        <v>#REF!</v>
      </c>
      <c r="AQ27" s="80" t="e">
        <f>IF($B27="","",(((((Converted_feedstuff!#REF!/100)*Converted_feedstuff!G8)/100)*Converted_feedstuff!AI8)*$I27)/1000)</f>
        <v>#REF!</v>
      </c>
      <c r="AR27" s="80">
        <f>IF($B27="","",(((((Converted_feedstuff!U8/100)*Converted_feedstuff!G8)/100)*Converted_feedstuff!AI8)*$I27)/1000)</f>
        <v>0</v>
      </c>
      <c r="AS27" s="80">
        <f>IF($B27="","",(((((Converted_feedstuff!V8/100)*Converted_feedstuff!G8)/100)*Converted_feedstuff!AI8)*$I27)/1000)</f>
        <v>0</v>
      </c>
      <c r="AT27" s="80">
        <f>IF($B27="","",(((((Converted_feedstuff!W8/100)*Converted_feedstuff!G8)/100)*Converted_feedstuff!AI8)*$I27)/1000)</f>
        <v>0</v>
      </c>
      <c r="AU27" s="80" t="e">
        <f>IF($B27="","",(((((Converted_feedstuff!#REF!/100)*Converted_feedstuff!H8)/100)*Converted_feedstuff!AJ8)*$I27)/1000)</f>
        <v>#REF!</v>
      </c>
      <c r="AV27" s="80">
        <f>IF($B27="","",(((((Converted_feedstuff!X8/100)*Converted_feedstuff!H8)/100)*Converted_feedstuff!AJ8)*$I27)/1000)</f>
        <v>0</v>
      </c>
      <c r="AW27" s="80">
        <f>IF($B27="","",(((((Converted_feedstuff!Y8/100)*Converted_feedstuff!H8)/100)*Converted_feedstuff!AJ8)*$I27)/1000)</f>
        <v>0</v>
      </c>
      <c r="AX27" s="80">
        <f>IF($B27="","",(((((Converted_feedstuff!Z8/100)*Converted_feedstuff!H8)/100)*Converted_feedstuff!AJ8)*$I27)/1000)</f>
        <v>0</v>
      </c>
      <c r="AY27" s="80">
        <f>IF($B27="","",(((((Converted_feedstuff!AA8/100)*Converted_feedstuff!H8)/100)*Converted_feedstuff!AJ8)*$I27)/1000)</f>
        <v>0</v>
      </c>
      <c r="AZ27" s="80">
        <f>IF($B27="","",(((((Converted_feedstuff!AB8/100)*Converted_feedstuff!H8)/100)*Converted_feedstuff!AJ8)*$I27)/1000)</f>
        <v>0</v>
      </c>
      <c r="BA27" s="80" t="e">
        <f>IF($B27="","",(((((Converted_feedstuff!#REF!/100)*Converted_feedstuff!I8)/100)*Converted_feedstuff!AK8)*$I27)/1000)</f>
        <v>#REF!</v>
      </c>
      <c r="BB27" s="80">
        <f>IF($B27="","",(((((Converted_feedstuff!AC8/100)*Converted_feedstuff!I8)/100)*Converted_feedstuff!AK8)*$I27)/1000)</f>
        <v>0</v>
      </c>
      <c r="BC27" s="80">
        <f>IF($B27="","",(((((Converted_feedstuff!AD8/100)*Converted_feedstuff!I8)/100)*Converted_feedstuff!AK8)*$I27)/1000)</f>
        <v>0</v>
      </c>
      <c r="BD27" s="80" t="e">
        <f>IF($B27="","",(((((Converted_feedstuff!#REF!/100)*Converted_feedstuff!J8)/100)*Converted_feedstuff!AL8)*$I27)/1000)</f>
        <v>#REF!</v>
      </c>
      <c r="BE27" s="80">
        <f>IF($B27="","",(((((Converted_feedstuff!AE8/100)*Converted_feedstuff!J8)/100)*Converted_feedstuff!AL8)*$I27)/1000)</f>
        <v>0</v>
      </c>
      <c r="BF27" s="80">
        <f>IF($B27="","",(((((Converted_feedstuff!AF8/100)*Converted_feedstuff!J8)/100)*Converted_feedstuff!AL8)*$I27)/1000)</f>
        <v>0</v>
      </c>
      <c r="BG27" s="80" t="e">
        <f>IF($B27="","",((((Converted_feedstuff!#REF!/100)*Converted_feedstuff!K8)/100)*Converted_feedstuff!AM8)*$I27)</f>
        <v>#REF!</v>
      </c>
      <c r="BH27" s="80" t="e">
        <f>IF($B27="","",((((Converted_feedstuff!#REF!/100)*Converted_feedstuff!K8)/100)*Converted_feedstuff!AM8)*$I27)</f>
        <v>#REF!</v>
      </c>
    </row>
    <row r="28" spans="1:65" x14ac:dyDescent="0.3">
      <c r="A28" s="18" t="s">
        <v>107</v>
      </c>
      <c r="B28" s="19" t="s">
        <v>133</v>
      </c>
      <c r="C28" s="28" t="s">
        <v>43</v>
      </c>
      <c r="D28" s="6">
        <v>700</v>
      </c>
      <c r="E28" s="5" t="s">
        <v>131</v>
      </c>
      <c r="F28" s="5"/>
      <c r="G28" s="126"/>
      <c r="H28" s="30" t="str">
        <f>IF(B28="","",VLOOKUP(B28,Converted_feedstuff!$C$5:$E$54,3,FALSE))</f>
        <v>Maize_whole_crop_fresh_conv</v>
      </c>
      <c r="I28" s="80">
        <f>D28/((100-VLOOKUP(B28,Converted_feedstuff!$C$5:$F$54,4,FALSE))/100)</f>
        <v>824.49941107184918</v>
      </c>
      <c r="K28" s="30">
        <f>IF(B28="",0,VLOOKUP(B28,Converted_feedstuff!$C$5:$D$54,2,FALSE))</f>
        <v>349</v>
      </c>
      <c r="L28" s="80">
        <f>IF($B28="","",((VLOOKUP($B28,Converted_feedstuff!$C$5:$AM$54,33,FALSE))*((100-VLOOKUP($B28,Converted_feedstuff!$C$5:$K$54,5,FALSE))/100))/((100-VLOOKUP($B28,Converted_feedstuff!$C$5:$K$54,4,FALSE))/100))</f>
        <v>449.99999999999994</v>
      </c>
      <c r="M28" s="81">
        <f>IF($B28="","",((VLOOKUP($B28,Converted_feedstuff!$C$5:$AM$54,34,FALSE))*((100-VLOOKUP($B28,Converted_feedstuff!$C$5:$K$54,6,FALSE))/100))/((100-VLOOKUP($B28,Converted_feedstuff!$C$5:$K$54,4,FALSE))/100))</f>
        <v>13.220824499411071</v>
      </c>
      <c r="N28" s="81">
        <f>IF($B28="","",((VLOOKUP($B28,Converted_feedstuff!$C$5:$AM$54,35,FALSE))*((100-VLOOKUP($B28,Converted_feedstuff!$C$5:$K$54,7,FALSE))/100))/((100-VLOOKUP($B28,Converted_feedstuff!$C$5:$K$54,4,FALSE))/100))</f>
        <v>2.5912838633686688</v>
      </c>
      <c r="O28" s="81">
        <f>IF($B28="","",((VLOOKUP($B28,Converted_feedstuff!$C$5:$AM$54,36,FALSE))*((100-VLOOKUP($B28,Converted_feedstuff!$C$5:$K$54,8,FALSE))/100))/((100-VLOOKUP($B28,Converted_feedstuff!$C$5:$K$54,4,FALSE))/100))</f>
        <v>13.309776207302708</v>
      </c>
      <c r="P28" s="81">
        <f>IF($B28="","",((VLOOKUP($B28,Converted_feedstuff!$C$5:$AM$49,37,FALSE))*((100-VLOOKUP($B28,Converted_feedstuff!$C$5:$K$54,9,FALSE))/100))/((100-VLOOKUP($B28,Converted_feedstuff!$C$5:$K$54,4,FALSE))/100))</f>
        <v>17.7</v>
      </c>
      <c r="R28" s="51">
        <f t="shared" si="6"/>
        <v>349</v>
      </c>
      <c r="S28" s="44"/>
      <c r="T28" s="34">
        <f t="shared" si="5"/>
        <v>314.99999999999994</v>
      </c>
      <c r="U28" s="34">
        <f t="shared" si="5"/>
        <v>9.2545771495877496</v>
      </c>
      <c r="V28" s="34">
        <f t="shared" si="5"/>
        <v>1.8138987043580681</v>
      </c>
      <c r="W28" s="34">
        <f t="shared" si="5"/>
        <v>9.3168433451118968</v>
      </c>
      <c r="X28" s="34">
        <f t="shared" si="7"/>
        <v>12390</v>
      </c>
      <c r="Y28" s="81">
        <f t="shared" si="8"/>
        <v>57.841107184923438</v>
      </c>
      <c r="AB28" s="114">
        <f>IF(B28="",0,(VLOOKUP(B28,Converted_feedstuff!$C$5:$BH$54,58,FALSE)*$I28))</f>
        <v>3.8891481654332516</v>
      </c>
      <c r="AC28" s="30"/>
      <c r="AD28" s="30"/>
      <c r="AF28" s="144" t="str">
        <f t="shared" si="9"/>
        <v>Ensilage_majs_conv</v>
      </c>
      <c r="AO28" s="80" t="e">
        <f>IF($B28="","",(((((Converted_feedstuff!#REF!/100)*Converted_feedstuff!F9)/100)*1000)*$I28)/1000)</f>
        <v>#REF!</v>
      </c>
      <c r="AP28" s="80" t="e">
        <f>IF($B28="","",(((((Converted_feedstuff!#REF!/100)*Converted_feedstuff!F9)/100)*1000)*$I28)/1000)</f>
        <v>#REF!</v>
      </c>
      <c r="AQ28" s="80" t="e">
        <f>IF($B28="","",(((((Converted_feedstuff!#REF!/100)*Converted_feedstuff!G9)/100)*Converted_feedstuff!AI9)*$I28)/1000)</f>
        <v>#REF!</v>
      </c>
      <c r="AR28" s="80">
        <f>IF($B28="","",(((((Converted_feedstuff!U9/100)*Converted_feedstuff!G9)/100)*Converted_feedstuff!AI9)*$I28)/1000)</f>
        <v>56.02474390356354</v>
      </c>
      <c r="AS28" s="80">
        <f>IF($B28="","",(((((Converted_feedstuff!V9/100)*Converted_feedstuff!G9)/100)*Converted_feedstuff!AI9)*$I28)/1000)</f>
        <v>0</v>
      </c>
      <c r="AT28" s="80">
        <f>IF($B28="","",(((((Converted_feedstuff!W9/100)*Converted_feedstuff!G9)/100)*Converted_feedstuff!AI9)*$I28)/1000)</f>
        <v>0</v>
      </c>
      <c r="AU28" s="80" t="e">
        <f>IF($B28="","",(((((Converted_feedstuff!#REF!/100)*Converted_feedstuff!H9)/100)*Converted_feedstuff!AJ9)*$I28)/1000)</f>
        <v>#REF!</v>
      </c>
      <c r="AV28" s="80">
        <f>IF($B28="","",(((((Converted_feedstuff!X9/100)*Converted_feedstuff!H9)/100)*Converted_feedstuff!AJ9)*$I28)/1000)</f>
        <v>0.85289067047091371</v>
      </c>
      <c r="AW28" s="80">
        <f>IF($B28="","",(((((Converted_feedstuff!Y9/100)*Converted_feedstuff!H9)/100)*Converted_feedstuff!AJ9)*$I28)/1000)</f>
        <v>0</v>
      </c>
      <c r="AX28" s="80">
        <f>IF($B28="","",(((((Converted_feedstuff!Z9/100)*Converted_feedstuff!H9)/100)*Converted_feedstuff!AJ9)*$I28)/1000)</f>
        <v>0</v>
      </c>
      <c r="AY28" s="80">
        <f>IF($B28="","",(((((Converted_feedstuff!AA9/100)*Converted_feedstuff!H9)/100)*Converted_feedstuff!AJ9)*$I28)/1000)</f>
        <v>0</v>
      </c>
      <c r="AZ28" s="80">
        <f>IF($B28="","",(((((Converted_feedstuff!AB9/100)*Converted_feedstuff!H9)/100)*Converted_feedstuff!AJ9)*$I28)/1000)</f>
        <v>0</v>
      </c>
      <c r="BA28" s="80" t="e">
        <f>IF($B28="","",(((((Converted_feedstuff!#REF!/100)*Converted_feedstuff!I9)/100)*Converted_feedstuff!AK9)*$I28)/1000)</f>
        <v>#REF!</v>
      </c>
      <c r="BB28" s="80">
        <f>IF($B28="","",(((((Converted_feedstuff!AC9/100)*Converted_feedstuff!I9)/100)*Converted_feedstuff!AK9)*$I28)/1000)</f>
        <v>0</v>
      </c>
      <c r="BC28" s="80">
        <f>IF($B28="","",(((((Converted_feedstuff!AD9/100)*Converted_feedstuff!I9)/100)*Converted_feedstuff!AK9)*$I28)/1000)</f>
        <v>0</v>
      </c>
      <c r="BD28" s="80" t="e">
        <f>IF($B28="","",(((((Converted_feedstuff!#REF!/100)*Converted_feedstuff!J9)/100)*Converted_feedstuff!AL9)*$I28)/1000)</f>
        <v>#REF!</v>
      </c>
      <c r="BE28" s="80">
        <f>IF($B28="","",(((((Converted_feedstuff!AE9/100)*Converted_feedstuff!J9)/100)*Converted_feedstuff!AL9)*$I28)/1000)</f>
        <v>0</v>
      </c>
      <c r="BF28" s="80">
        <f>IF($B28="","",(((((Converted_feedstuff!AF9/100)*Converted_feedstuff!J9)/100)*Converted_feedstuff!AL9)*$I28)/1000)</f>
        <v>0</v>
      </c>
      <c r="BG28" s="80" t="e">
        <f>IF($B28="","",((((Converted_feedstuff!#REF!/100)*Converted_feedstuff!K9)/100)*Converted_feedstuff!AM9)*$I28)</f>
        <v>#REF!</v>
      </c>
      <c r="BH28" s="80" t="e">
        <f>IF($B28="","",((((Converted_feedstuff!#REF!/100)*Converted_feedstuff!K9)/100)*Converted_feedstuff!AM9)*$I28)</f>
        <v>#REF!</v>
      </c>
    </row>
    <row r="29" spans="1:65" x14ac:dyDescent="0.3">
      <c r="A29" s="18" t="s">
        <v>108</v>
      </c>
      <c r="B29" s="19"/>
      <c r="C29" s="28" t="s">
        <v>43</v>
      </c>
      <c r="D29" s="6"/>
      <c r="E29" s="5"/>
      <c r="F29" s="5"/>
      <c r="G29" s="126"/>
      <c r="H29" s="30" t="str">
        <f>IF(B29="","",VLOOKUP(B29,Converted_feedstuff!$C$5:$E$54,3,FALSE))</f>
        <v/>
      </c>
      <c r="I29" s="80" t="e">
        <f>D29/((100-VLOOKUP(B29,Converted_feedstuff!$C$5:$F$54,4,FALSE))/100)</f>
        <v>#N/A</v>
      </c>
      <c r="K29" s="30">
        <f>IF(B29="",0,VLOOKUP(B29,Converted_feedstuff!$C$5:$D$54,2,FALSE))</f>
        <v>0</v>
      </c>
      <c r="L29" s="80" t="str">
        <f>IF($B29="","",((VLOOKUP($B29,Converted_feedstuff!$C$5:$AM$54,33,FALSE))*((100-VLOOKUP($B29,Converted_feedstuff!$C$5:$K$54,5,FALSE))/100))/((100-VLOOKUP($B29,Converted_feedstuff!$C$5:$K$54,4,FALSE))/100))</f>
        <v/>
      </c>
      <c r="M29" s="81" t="str">
        <f>IF($B29="","",((VLOOKUP($B29,Converted_feedstuff!$C$5:$AM$54,34,FALSE))*((100-VLOOKUP($B29,Converted_feedstuff!$C$5:$K$54,6,FALSE))/100))/((100-VLOOKUP($B29,Converted_feedstuff!$C$5:$K$54,4,FALSE))/100))</f>
        <v/>
      </c>
      <c r="N29" s="81" t="str">
        <f>IF($B29="","",((VLOOKUP($B29,Converted_feedstuff!$C$5:$AM$54,35,FALSE))*((100-VLOOKUP($B29,Converted_feedstuff!$C$5:$K$54,7,FALSE))/100))/((100-VLOOKUP($B29,Converted_feedstuff!$C$5:$K$54,4,FALSE))/100))</f>
        <v/>
      </c>
      <c r="O29" s="81" t="str">
        <f>IF($B29="","",((VLOOKUP($B29,Converted_feedstuff!$C$5:$AM$54,36,FALSE))*((100-VLOOKUP($B29,Converted_feedstuff!$C$5:$K$54,8,FALSE))/100))/((100-VLOOKUP($B29,Converted_feedstuff!$C$5:$K$54,4,FALSE))/100))</f>
        <v/>
      </c>
      <c r="P29" s="81" t="str">
        <f>IF($B29="","",((VLOOKUP($B29,Converted_feedstuff!$C$5:$AM$49,37,FALSE))*((100-VLOOKUP($B29,Converted_feedstuff!$C$5:$K$54,9,FALSE))/100))/((100-VLOOKUP($B29,Converted_feedstuff!$C$5:$K$54,4,FALSE))/100))</f>
        <v/>
      </c>
      <c r="R29" s="51">
        <f t="shared" si="6"/>
        <v>0</v>
      </c>
      <c r="S29" s="44"/>
      <c r="T29" s="34">
        <f t="shared" si="5"/>
        <v>0</v>
      </c>
      <c r="U29" s="34">
        <f t="shared" si="5"/>
        <v>0</v>
      </c>
      <c r="V29" s="34">
        <f t="shared" si="5"/>
        <v>0</v>
      </c>
      <c r="W29" s="34">
        <f t="shared" si="5"/>
        <v>0</v>
      </c>
      <c r="X29" s="34">
        <f t="shared" si="7"/>
        <v>0</v>
      </c>
      <c r="Y29" s="81">
        <f t="shared" si="8"/>
        <v>0</v>
      </c>
      <c r="AB29" s="114">
        <f>IF(B29="",0,(VLOOKUP(B29,Converted_feedstuff!$C$5:$BH$54,58,FALSE)*$I29))</f>
        <v>0</v>
      </c>
      <c r="AC29" s="30"/>
      <c r="AD29" s="30"/>
      <c r="AF29" s="144" t="str">
        <f t="shared" si="9"/>
        <v/>
      </c>
      <c r="AO29" s="80" t="str">
        <f>IF($B29="","",(((((Converted_feedstuff!#REF!/100)*Converted_feedstuff!F10)/100)*1000)*$I29)/1000)</f>
        <v/>
      </c>
      <c r="AP29" s="80" t="str">
        <f>IF($B29="","",(((((Converted_feedstuff!#REF!/100)*Converted_feedstuff!F10)/100)*1000)*$I29)/1000)</f>
        <v/>
      </c>
      <c r="AQ29" s="80" t="str">
        <f>IF($B29="","",(((((Converted_feedstuff!#REF!/100)*Converted_feedstuff!G10)/100)*Converted_feedstuff!AI10)*$I29)/1000)</f>
        <v/>
      </c>
      <c r="AR29" s="80" t="str">
        <f>IF($B29="","",(((((Converted_feedstuff!U10/100)*Converted_feedstuff!G10)/100)*Converted_feedstuff!AI10)*$I29)/1000)</f>
        <v/>
      </c>
      <c r="AS29" s="80" t="str">
        <f>IF($B29="","",(((((Converted_feedstuff!V10/100)*Converted_feedstuff!G10)/100)*Converted_feedstuff!AI10)*$I29)/1000)</f>
        <v/>
      </c>
      <c r="AT29" s="80" t="str">
        <f>IF($B29="","",(((((Converted_feedstuff!W10/100)*Converted_feedstuff!G10)/100)*Converted_feedstuff!AI10)*$I29)/1000)</f>
        <v/>
      </c>
      <c r="AU29" s="80" t="str">
        <f>IF($B29="","",(((((Converted_feedstuff!#REF!/100)*Converted_feedstuff!H10)/100)*Converted_feedstuff!AJ10)*$I29)/1000)</f>
        <v/>
      </c>
      <c r="AV29" s="80" t="str">
        <f>IF($B29="","",(((((Converted_feedstuff!X10/100)*Converted_feedstuff!H10)/100)*Converted_feedstuff!AJ10)*$I29)/1000)</f>
        <v/>
      </c>
      <c r="AW29" s="80" t="str">
        <f>IF($B29="","",(((((Converted_feedstuff!Y10/100)*Converted_feedstuff!H10)/100)*Converted_feedstuff!AJ10)*$I29)/1000)</f>
        <v/>
      </c>
      <c r="AX29" s="80" t="str">
        <f>IF($B29="","",(((((Converted_feedstuff!Z10/100)*Converted_feedstuff!H10)/100)*Converted_feedstuff!AJ10)*$I29)/1000)</f>
        <v/>
      </c>
      <c r="AY29" s="80" t="str">
        <f>IF($B29="","",(((((Converted_feedstuff!AA10/100)*Converted_feedstuff!H10)/100)*Converted_feedstuff!AJ10)*$I29)/1000)</f>
        <v/>
      </c>
      <c r="AZ29" s="80" t="str">
        <f>IF($B29="","",(((((Converted_feedstuff!AB10/100)*Converted_feedstuff!H10)/100)*Converted_feedstuff!AJ10)*$I29)/1000)</f>
        <v/>
      </c>
      <c r="BA29" s="80" t="str">
        <f>IF($B29="","",(((((Converted_feedstuff!#REF!/100)*Converted_feedstuff!I10)/100)*Converted_feedstuff!AK10)*$I29)/1000)</f>
        <v/>
      </c>
      <c r="BB29" s="80" t="str">
        <f>IF($B29="","",(((((Converted_feedstuff!AC10/100)*Converted_feedstuff!I10)/100)*Converted_feedstuff!AK10)*$I29)/1000)</f>
        <v/>
      </c>
      <c r="BC29" s="80" t="str">
        <f>IF($B29="","",(((((Converted_feedstuff!AD10/100)*Converted_feedstuff!I10)/100)*Converted_feedstuff!AK10)*$I29)/1000)</f>
        <v/>
      </c>
      <c r="BD29" s="80" t="str">
        <f>IF($B29="","",(((((Converted_feedstuff!#REF!/100)*Converted_feedstuff!J10)/100)*Converted_feedstuff!AL10)*$I29)/1000)</f>
        <v/>
      </c>
      <c r="BE29" s="80" t="str">
        <f>IF($B29="","",(((((Converted_feedstuff!AE10/100)*Converted_feedstuff!J10)/100)*Converted_feedstuff!AL10)*$I29)/1000)</f>
        <v/>
      </c>
      <c r="BF29" s="80" t="str">
        <f>IF($B29="","",(((((Converted_feedstuff!AF10/100)*Converted_feedstuff!J10)/100)*Converted_feedstuff!AL10)*$I29)/1000)</f>
        <v/>
      </c>
      <c r="BG29" s="80" t="str">
        <f>IF($B29="","",((((Converted_feedstuff!#REF!/100)*Converted_feedstuff!K10)/100)*Converted_feedstuff!AM10)*$I29)</f>
        <v/>
      </c>
      <c r="BH29" s="80" t="str">
        <f>IF($B29="","",((((Converted_feedstuff!#REF!/100)*Converted_feedstuff!K10)/100)*Converted_feedstuff!AM10)*$I29)</f>
        <v/>
      </c>
    </row>
    <row r="30" spans="1:65" x14ac:dyDescent="0.3">
      <c r="A30" s="18" t="s">
        <v>109</v>
      </c>
      <c r="B30" s="19"/>
      <c r="C30" s="28" t="s">
        <v>43</v>
      </c>
      <c r="D30" s="6"/>
      <c r="E30" s="5"/>
      <c r="F30" s="5"/>
      <c r="G30" s="126"/>
      <c r="H30" s="30" t="str">
        <f>IF(B30="","",VLOOKUP(B30,Converted_feedstuff!$C$5:$E$54,3,FALSE))</f>
        <v/>
      </c>
      <c r="I30" s="80" t="e">
        <f>D30/((100-VLOOKUP(B30,Converted_feedstuff!$C$5:$F$54,4,FALSE))/100)</f>
        <v>#N/A</v>
      </c>
      <c r="K30" s="30">
        <f>IF(B30="",0,VLOOKUP(B30,Converted_feedstuff!$C$5:$D$54,2,FALSE))</f>
        <v>0</v>
      </c>
      <c r="L30" s="80" t="str">
        <f>IF($B30="","",((VLOOKUP($B30,Converted_feedstuff!$C$5:$AM$54,33,FALSE))*((100-VLOOKUP($B30,Converted_feedstuff!$C$5:$K$54,5,FALSE))/100))/((100-VLOOKUP($B30,Converted_feedstuff!$C$5:$K$54,4,FALSE))/100))</f>
        <v/>
      </c>
      <c r="M30" s="81" t="str">
        <f>IF($B30="","",((VLOOKUP($B30,Converted_feedstuff!$C$5:$AM$54,34,FALSE))*((100-VLOOKUP($B30,Converted_feedstuff!$C$5:$K$54,6,FALSE))/100))/((100-VLOOKUP($B30,Converted_feedstuff!$C$5:$K$54,4,FALSE))/100))</f>
        <v/>
      </c>
      <c r="N30" s="81" t="str">
        <f>IF($B30="","",((VLOOKUP($B30,Converted_feedstuff!$C$5:$AM$54,35,FALSE))*((100-VLOOKUP($B30,Converted_feedstuff!$C$5:$K$54,7,FALSE))/100))/((100-VLOOKUP($B30,Converted_feedstuff!$C$5:$K$54,4,FALSE))/100))</f>
        <v/>
      </c>
      <c r="O30" s="81" t="str">
        <f>IF($B30="","",((VLOOKUP($B30,Converted_feedstuff!$C$5:$AM$54,36,FALSE))*((100-VLOOKUP($B30,Converted_feedstuff!$C$5:$K$54,8,FALSE))/100))/((100-VLOOKUP($B30,Converted_feedstuff!$C$5:$K$54,4,FALSE))/100))</f>
        <v/>
      </c>
      <c r="P30" s="81" t="str">
        <f>IF($B30="","",((VLOOKUP($B30,Converted_feedstuff!$C$5:$AM$49,37,FALSE))*((100-VLOOKUP($B30,Converted_feedstuff!$C$5:$K$54,9,FALSE))/100))/((100-VLOOKUP($B30,Converted_feedstuff!$C$5:$K$54,4,FALSE))/100))</f>
        <v/>
      </c>
      <c r="R30" s="51">
        <f t="shared" si="6"/>
        <v>0</v>
      </c>
      <c r="S30" s="44"/>
      <c r="T30" s="34">
        <f t="shared" si="5"/>
        <v>0</v>
      </c>
      <c r="U30" s="34">
        <f t="shared" si="5"/>
        <v>0</v>
      </c>
      <c r="V30" s="34">
        <f t="shared" si="5"/>
        <v>0</v>
      </c>
      <c r="W30" s="34">
        <f t="shared" si="5"/>
        <v>0</v>
      </c>
      <c r="X30" s="34">
        <f t="shared" si="7"/>
        <v>0</v>
      </c>
      <c r="Y30" s="81">
        <f t="shared" si="8"/>
        <v>0</v>
      </c>
      <c r="AB30" s="114">
        <f>IF(B30="",0,(VLOOKUP(B30,Converted_feedstuff!$C$5:$BH$54,58,FALSE)*$I30))</f>
        <v>0</v>
      </c>
      <c r="AC30" s="30"/>
      <c r="AD30" s="30"/>
      <c r="AF30" s="144" t="str">
        <f t="shared" si="9"/>
        <v/>
      </c>
      <c r="AO30" s="91" t="str">
        <f>IF($B30="","",(((((Converted_feedstuff!#REF!/100)*Converted_feedstuff!F11)/100)*1000)*$I30)/1000)</f>
        <v/>
      </c>
      <c r="AP30" s="91" t="str">
        <f>IF($B30="","",(((((Converted_feedstuff!#REF!/100)*Converted_feedstuff!F11)/100)*1000)*$I30)/1000)</f>
        <v/>
      </c>
      <c r="AQ30" s="91" t="str">
        <f>IF($B30="","",(((((Converted_feedstuff!#REF!/100)*Converted_feedstuff!G11)/100)*Converted_feedstuff!AI11)*$I30)/1000)</f>
        <v/>
      </c>
      <c r="AR30" s="91" t="str">
        <f>IF($B30="","",(((((Converted_feedstuff!U11/100)*Converted_feedstuff!G11)/100)*Converted_feedstuff!AI11)*$I30)/1000)</f>
        <v/>
      </c>
      <c r="AS30" s="91" t="str">
        <f>IF($B30="","",(((((Converted_feedstuff!V11/100)*Converted_feedstuff!G11)/100)*Converted_feedstuff!AI11)*$I30)/1000)</f>
        <v/>
      </c>
      <c r="AT30" s="91" t="str">
        <f>IF($B30="","",(((((Converted_feedstuff!W11/100)*Converted_feedstuff!G11)/100)*Converted_feedstuff!AI11)*$I30)/1000)</f>
        <v/>
      </c>
      <c r="AU30" s="91" t="str">
        <f>IF($B30="","",(((((Converted_feedstuff!#REF!/100)*Converted_feedstuff!H11)/100)*Converted_feedstuff!AJ11)*$I30)/1000)</f>
        <v/>
      </c>
      <c r="AV30" s="91" t="str">
        <f>IF($B30="","",(((((Converted_feedstuff!X11/100)*Converted_feedstuff!H11)/100)*Converted_feedstuff!AJ11)*$I30)/1000)</f>
        <v/>
      </c>
      <c r="AW30" s="91" t="str">
        <f>IF($B30="","",(((((Converted_feedstuff!Y11/100)*Converted_feedstuff!H11)/100)*Converted_feedstuff!AJ11)*$I30)/1000)</f>
        <v/>
      </c>
      <c r="AX30" s="91" t="str">
        <f>IF($B30="","",(((((Converted_feedstuff!Z11/100)*Converted_feedstuff!H11)/100)*Converted_feedstuff!AJ11)*$I30)/1000)</f>
        <v/>
      </c>
      <c r="AY30" s="91" t="str">
        <f>IF($B30="","",(((((Converted_feedstuff!AA11/100)*Converted_feedstuff!H11)/100)*Converted_feedstuff!AJ11)*$I30)/1000)</f>
        <v/>
      </c>
      <c r="AZ30" s="91" t="str">
        <f>IF($B30="","",(((((Converted_feedstuff!AB11/100)*Converted_feedstuff!H11)/100)*Converted_feedstuff!AJ11)*$I30)/1000)</f>
        <v/>
      </c>
      <c r="BA30" s="91" t="str">
        <f>IF($B30="","",(((((Converted_feedstuff!#REF!/100)*Converted_feedstuff!I11)/100)*Converted_feedstuff!AK11)*$I30)/1000)</f>
        <v/>
      </c>
      <c r="BB30" s="91" t="str">
        <f>IF($B30="","",(((((Converted_feedstuff!AC11/100)*Converted_feedstuff!I11)/100)*Converted_feedstuff!AK11)*$I30)/1000)</f>
        <v/>
      </c>
      <c r="BC30" s="91" t="str">
        <f>IF($B30="","",(((((Converted_feedstuff!AD11/100)*Converted_feedstuff!I11)/100)*Converted_feedstuff!AK11)*$I30)/1000)</f>
        <v/>
      </c>
      <c r="BD30" s="91" t="str">
        <f>IF($B30="","",(((((Converted_feedstuff!#REF!/100)*Converted_feedstuff!J11)/100)*Converted_feedstuff!AL11)*$I30)/1000)</f>
        <v/>
      </c>
      <c r="BE30" s="91" t="str">
        <f>IF($B30="","",(((((Converted_feedstuff!AE11/100)*Converted_feedstuff!J11)/100)*Converted_feedstuff!AL11)*$I30)/1000)</f>
        <v/>
      </c>
      <c r="BF30" s="91" t="str">
        <f>IF($B30="","",(((((Converted_feedstuff!AF11/100)*Converted_feedstuff!J11)/100)*Converted_feedstuff!AL11)*$I30)/1000)</f>
        <v/>
      </c>
      <c r="BG30" s="91" t="str">
        <f>IF($B30="","",((((Converted_feedstuff!#REF!/100)*Converted_feedstuff!K11)/100)*Converted_feedstuff!AM11)*$I30)</f>
        <v/>
      </c>
      <c r="BH30" s="91" t="str">
        <f>IF($B30="","",((((Converted_feedstuff!#REF!/100)*Converted_feedstuff!K11)/100)*Converted_feedstuff!AM11)*$I30)</f>
        <v/>
      </c>
    </row>
    <row r="31" spans="1:65" x14ac:dyDescent="0.3">
      <c r="A31" s="25"/>
      <c r="B31" s="25"/>
      <c r="C31" s="28" t="s">
        <v>43</v>
      </c>
      <c r="D31" s="83">
        <f>SUM(D24:D30)</f>
        <v>1843</v>
      </c>
      <c r="E31" s="24"/>
      <c r="K31" t="s">
        <v>175</v>
      </c>
      <c r="L31" s="24"/>
      <c r="M31" s="24"/>
      <c r="N31" s="24"/>
      <c r="O31" s="24"/>
      <c r="P31" s="24"/>
      <c r="Q31" s="25"/>
      <c r="R31" s="82">
        <f>(D24*R24+D25*R25+D26*R26+D27*R27+D28*R28+D29*R29+D30*R30)/D31</f>
        <v>292.56918068366792</v>
      </c>
      <c r="S31" s="45"/>
      <c r="T31" s="116">
        <f t="shared" ref="T31:Y31" si="10">SUM(T24:T30)</f>
        <v>829.35000223409429</v>
      </c>
      <c r="U31" s="116">
        <f t="shared" si="10"/>
        <v>40.741115477552526</v>
      </c>
      <c r="V31" s="116">
        <f t="shared" si="10"/>
        <v>6.2217768906773712</v>
      </c>
      <c r="W31" s="116">
        <f t="shared" si="10"/>
        <v>42.002990767861249</v>
      </c>
      <c r="X31" s="116">
        <f>SUM(X24:X30)</f>
        <v>31648.072187100948</v>
      </c>
      <c r="Y31" s="116">
        <f t="shared" si="10"/>
        <v>254.63197173470331</v>
      </c>
      <c r="AA31" s="113" t="s">
        <v>61</v>
      </c>
      <c r="AB31" s="115">
        <f>SUM(AB24:AB30)</f>
        <v>-0.15103054302718633</v>
      </c>
      <c r="AC31" s="115">
        <f>SUM(AC24:AC30)</f>
        <v>0</v>
      </c>
      <c r="AD31" s="115">
        <f>SUM(AD24:AD30)</f>
        <v>0</v>
      </c>
      <c r="AF31" s="144" t="str">
        <f>IF(E24="","",E24)</f>
        <v/>
      </c>
      <c r="AN31" s="35" t="s">
        <v>61</v>
      </c>
      <c r="AO31" s="92" t="e">
        <f>SUM(AO24:AO30)</f>
        <v>#REF!</v>
      </c>
      <c r="AP31" s="92" t="e">
        <f t="shared" ref="AP31:BH31" si="11">SUM(AP24:AP30)</f>
        <v>#REF!</v>
      </c>
      <c r="AQ31" s="92" t="e">
        <f t="shared" si="11"/>
        <v>#REF!</v>
      </c>
      <c r="AR31" s="92">
        <f t="shared" si="11"/>
        <v>70.831281006037031</v>
      </c>
      <c r="AS31" s="92">
        <f t="shared" si="11"/>
        <v>0</v>
      </c>
      <c r="AT31" s="92">
        <f t="shared" si="11"/>
        <v>0</v>
      </c>
      <c r="AU31" s="92" t="e">
        <f t="shared" si="11"/>
        <v>#REF!</v>
      </c>
      <c r="AV31" s="92">
        <f t="shared" si="11"/>
        <v>0.95215003442851087</v>
      </c>
      <c r="AW31" s="92">
        <f t="shared" si="11"/>
        <v>0</v>
      </c>
      <c r="AX31" s="92">
        <f t="shared" si="11"/>
        <v>0</v>
      </c>
      <c r="AY31" s="92">
        <f t="shared" si="11"/>
        <v>0</v>
      </c>
      <c r="AZ31" s="92">
        <f t="shared" si="11"/>
        <v>0</v>
      </c>
      <c r="BA31" s="92" t="e">
        <f t="shared" si="11"/>
        <v>#REF!</v>
      </c>
      <c r="BB31" s="92">
        <f t="shared" si="11"/>
        <v>0</v>
      </c>
      <c r="BC31" s="92">
        <f t="shared" si="11"/>
        <v>0</v>
      </c>
      <c r="BD31" s="92" t="e">
        <f t="shared" si="11"/>
        <v>#REF!</v>
      </c>
      <c r="BE31" s="92">
        <f t="shared" si="11"/>
        <v>0</v>
      </c>
      <c r="BF31" s="92">
        <f t="shared" si="11"/>
        <v>0</v>
      </c>
      <c r="BG31" s="92" t="e">
        <f t="shared" si="11"/>
        <v>#REF!</v>
      </c>
      <c r="BH31" s="92" t="e">
        <f t="shared" si="11"/>
        <v>#REF!</v>
      </c>
    </row>
    <row r="32" spans="1:65" ht="15" thickBot="1" x14ac:dyDescent="0.35">
      <c r="A32" s="18" t="s">
        <v>113</v>
      </c>
      <c r="B32" s="40"/>
      <c r="C32" s="28" t="s">
        <v>43</v>
      </c>
      <c r="D32" s="83">
        <f>D20+D31</f>
        <v>2283</v>
      </c>
      <c r="E32" s="24"/>
      <c r="I32" s="24"/>
      <c r="J32" s="24"/>
      <c r="K32" s="24"/>
      <c r="L32" s="24"/>
      <c r="M32" s="24"/>
      <c r="N32" s="24"/>
      <c r="P32" s="25"/>
      <c r="Q32" s="25"/>
      <c r="R32" s="84">
        <f>(D20*R20+D31*R31)/D32</f>
        <v>407.41980661634074</v>
      </c>
      <c r="S32" s="85"/>
      <c r="T32" s="117">
        <f>T20+T31</f>
        <v>1010.7000022340943</v>
      </c>
      <c r="U32" s="117">
        <f t="shared" ref="U32:Y32" si="12">U20+U31</f>
        <v>57.24995117281226</v>
      </c>
      <c r="V32" s="117">
        <f t="shared" si="12"/>
        <v>9.9588072733813888</v>
      </c>
      <c r="W32" s="117">
        <f t="shared" si="12"/>
        <v>47.800473503704424</v>
      </c>
      <c r="X32" s="117">
        <f t="shared" si="12"/>
        <v>39584.778359781063</v>
      </c>
      <c r="Y32" s="117">
        <f t="shared" si="12"/>
        <v>358.00016504951236</v>
      </c>
      <c r="AF32" s="144" t="str">
        <f t="shared" ref="AF32:AF37" si="13">IF(E25="","",E25)</f>
        <v/>
      </c>
      <c r="BL32" t="str">
        <f>A4</f>
        <v>ID-nummer</v>
      </c>
      <c r="BM32">
        <f>B4</f>
        <v>101</v>
      </c>
    </row>
    <row r="33" spans="1:67" ht="15.6" x14ac:dyDescent="0.3">
      <c r="A33" s="25"/>
      <c r="B33" s="25"/>
      <c r="C33" s="24"/>
      <c r="D33" s="24" t="str">
        <f>IF(C33="","",VLOOKUP(C33,'Crop definitions'!B11:H85,6,FALSE))</f>
        <v/>
      </c>
      <c r="E33" s="24"/>
      <c r="J33" s="271"/>
      <c r="K33" s="186" t="s">
        <v>635</v>
      </c>
      <c r="L33" s="274"/>
      <c r="M33" s="274"/>
      <c r="N33" s="275"/>
      <c r="P33" s="125"/>
      <c r="Q33" s="125"/>
      <c r="Z33" s="29"/>
      <c r="AF33" s="144" t="str">
        <f t="shared" si="13"/>
        <v>Ensilage_graes_conv</v>
      </c>
      <c r="AK33" s="29"/>
      <c r="BL33" t="str">
        <f>A5</f>
        <v>Kode</v>
      </c>
      <c r="BM33" t="str">
        <f>B5</f>
        <v>Dairy_heifer1_conv</v>
      </c>
    </row>
    <row r="34" spans="1:67" ht="15.6" x14ac:dyDescent="0.3">
      <c r="A34" s="16" t="s">
        <v>58</v>
      </c>
      <c r="B34" s="17" t="s">
        <v>29</v>
      </c>
      <c r="C34" s="17" t="s">
        <v>28</v>
      </c>
      <c r="D34" s="17" t="s">
        <v>164</v>
      </c>
      <c r="E34" s="66" t="s">
        <v>4</v>
      </c>
      <c r="F34" s="69" t="s">
        <v>54</v>
      </c>
      <c r="G34" s="66" t="s">
        <v>6</v>
      </c>
      <c r="H34" s="69" t="s">
        <v>470</v>
      </c>
      <c r="I34" s="66" t="s">
        <v>628</v>
      </c>
      <c r="J34" s="119"/>
      <c r="K34" s="97"/>
      <c r="L34" s="66" t="s">
        <v>657</v>
      </c>
      <c r="M34" s="66" t="s">
        <v>658</v>
      </c>
      <c r="N34" s="98" t="s">
        <v>630</v>
      </c>
      <c r="O34" s="119"/>
      <c r="P34" s="119"/>
      <c r="Q34" s="119"/>
      <c r="R34" s="65" t="s">
        <v>1</v>
      </c>
      <c r="T34" s="291" t="s">
        <v>212</v>
      </c>
      <c r="U34" s="291"/>
      <c r="V34" s="291"/>
      <c r="W34" s="291"/>
      <c r="X34" s="291"/>
      <c r="Y34" s="122"/>
      <c r="AF34" s="144" t="str">
        <f t="shared" si="13"/>
        <v>Ensilage_majs_conv</v>
      </c>
      <c r="AM34" s="29"/>
      <c r="AN34" s="29"/>
      <c r="BJ34">
        <f t="shared" ref="BI34:BJ62" si="14">$BM$32</f>
        <v>101</v>
      </c>
      <c r="BK34" t="str">
        <f t="shared" ref="BJ34:BK62" si="15">$BM$33</f>
        <v>Dairy_heifer1_conv</v>
      </c>
      <c r="BL34" t="s">
        <v>69</v>
      </c>
      <c r="BM34" t="str">
        <f>$B$24</f>
        <v>Afgraesning_1_grazed_conv</v>
      </c>
      <c r="BN34" t="str">
        <f t="shared" ref="BN34:BO40" si="16">C24</f>
        <v>Kg</v>
      </c>
      <c r="BO34">
        <f t="shared" si="16"/>
        <v>618</v>
      </c>
    </row>
    <row r="35" spans="1:67" ht="15.6" x14ac:dyDescent="0.3">
      <c r="A35" s="18" t="s">
        <v>631</v>
      </c>
      <c r="B35" s="19" t="s">
        <v>422</v>
      </c>
      <c r="C35" s="28" t="s">
        <v>43</v>
      </c>
      <c r="D35" s="34">
        <f>H35*(R35/1000)</f>
        <v>1.6974999999999998</v>
      </c>
      <c r="E35" s="30" t="str">
        <f>IF(B35="","",VLOOKUP(B35,'Processed products'!$B$5:$E$104,2,FALSE))</f>
        <v>Dead_meat_conv</v>
      </c>
      <c r="F35" s="30" t="str">
        <f>IF(B35="","",VLOOKUP(B35,'Processed products'!$B$5:$E$104,3,FALSE))</f>
        <v>Dead_meat</v>
      </c>
      <c r="G35" s="30" t="str">
        <f>IF(B35="","",VLOOKUP(B35,'Processed products'!$B$5:$E$104,4,FALSE))</f>
        <v>Exit_model</v>
      </c>
      <c r="H35" s="5">
        <v>4.8499999999999996</v>
      </c>
      <c r="I35" s="4"/>
      <c r="K35" s="97" t="s">
        <v>654</v>
      </c>
      <c r="L35" s="132" t="s">
        <v>489</v>
      </c>
      <c r="M35" s="132" t="s">
        <v>640</v>
      </c>
      <c r="N35" s="272">
        <v>1.21</v>
      </c>
      <c r="R35" s="51">
        <f>(IF($B35="",0,VLOOKUP($B35,'Processed products'!$B$5:$O$104,5,FALSE)))</f>
        <v>350</v>
      </c>
      <c r="S35" s="44"/>
      <c r="T35" s="28">
        <f>(IF($B35="","",VLOOKUP($B35,'Processed products'!$B$5:$O$104,9,FALSE)))</f>
        <v>680</v>
      </c>
      <c r="U35" s="34">
        <f>(IF($B35="","",VLOOKUP($B35,'Processed products'!$B$5:$O$104,10,FALSE)))</f>
        <v>73.14</v>
      </c>
      <c r="V35" s="28">
        <f>(IF($B35="","",VLOOKUP($B35,'Processed products'!$B$5:$O$104,11,FALSE)))</f>
        <v>17.43</v>
      </c>
      <c r="W35" s="28">
        <f>(IF($B35="","",VLOOKUP($B35,'Processed products'!$B$5:$O$104,12,FALSE)))</f>
        <v>5.14</v>
      </c>
      <c r="X35" s="28">
        <f>(IF($B35="","",VLOOKUP($B35,'Processed products'!$B$5:$O$104,13,FALSE)))</f>
        <v>19.63</v>
      </c>
      <c r="Z35" s="53"/>
      <c r="AA35" s="53"/>
      <c r="AB35" s="53"/>
      <c r="AC35" s="53"/>
      <c r="AD35" s="53"/>
      <c r="AF35" s="144" t="str">
        <f t="shared" si="13"/>
        <v>Ensilage_graes_conv</v>
      </c>
      <c r="AJ35" s="32"/>
      <c r="BJ35">
        <f t="shared" si="14"/>
        <v>101</v>
      </c>
      <c r="BK35" t="str">
        <f t="shared" si="15"/>
        <v>Dairy_heifer1_conv</v>
      </c>
      <c r="BL35" t="s">
        <v>69</v>
      </c>
      <c r="BM35">
        <f>$B$25</f>
        <v>0</v>
      </c>
      <c r="BN35" t="str">
        <f t="shared" si="16"/>
        <v>Kg</v>
      </c>
      <c r="BO35">
        <f t="shared" si="16"/>
        <v>0</v>
      </c>
    </row>
    <row r="36" spans="1:67" ht="15.6" x14ac:dyDescent="0.3">
      <c r="A36" s="18" t="s">
        <v>632</v>
      </c>
      <c r="B36" s="19" t="s">
        <v>214</v>
      </c>
      <c r="C36" s="28" t="s">
        <v>43</v>
      </c>
      <c r="D36" s="34">
        <f t="shared" ref="D36" si="17">H36*(R36/1000)</f>
        <v>7.8154999999999992</v>
      </c>
      <c r="E36" s="30" t="str">
        <f>IF(B36="","",VLOOKUP(B36,'Processed products'!$B$5:$E$104,2,FALSE))</f>
        <v>Beef_meat_conv</v>
      </c>
      <c r="F36" s="30" t="str">
        <f>IF(B36="","",VLOOKUP(B36,'Processed products'!$B$5:$E$104,3,FALSE))</f>
        <v>Meat</v>
      </c>
      <c r="G36" s="30" t="str">
        <f>IF(B36="","",VLOOKUP(B36,'Processed products'!$B$5:$E$104,4,FALSE))</f>
        <v>Exit_model</v>
      </c>
      <c r="H36" s="126">
        <v>22.33</v>
      </c>
      <c r="I36" s="4"/>
      <c r="K36" s="97" t="s">
        <v>655</v>
      </c>
      <c r="L36" s="132"/>
      <c r="M36" s="132"/>
      <c r="N36" s="272"/>
      <c r="P36" s="93"/>
      <c r="Q36" s="262"/>
      <c r="R36" s="51">
        <f>(IF($B36="",0,VLOOKUP($B36,'Processed products'!$B$5:$O$104,5,FALSE)))</f>
        <v>350</v>
      </c>
      <c r="S36" s="44"/>
      <c r="T36" s="28">
        <f>(IF($B36="","",VLOOKUP($B36,'Processed products'!$B$5:$O$104,9,FALSE)))</f>
        <v>680</v>
      </c>
      <c r="U36" s="34">
        <f>(IF($B36="","",VLOOKUP($B36,'Processed products'!$B$5:$O$104,10,FALSE)))</f>
        <v>73.14</v>
      </c>
      <c r="V36" s="28">
        <f>(IF($B36="","",VLOOKUP($B36,'Processed products'!$B$5:$O$104,11,FALSE)))</f>
        <v>17.43</v>
      </c>
      <c r="W36" s="28">
        <f>(IF($B36="","",VLOOKUP($B36,'Processed products'!$B$5:$O$104,12,FALSE)))</f>
        <v>5.14</v>
      </c>
      <c r="X36" s="28">
        <f>(IF($B36="","",VLOOKUP($B36,'Processed products'!$B$5:$O$104,13,FALSE)))</f>
        <v>19.63</v>
      </c>
      <c r="Z36" s="53"/>
      <c r="AA36" s="53"/>
      <c r="AB36" s="53"/>
      <c r="AC36" s="53"/>
      <c r="AD36" s="53"/>
      <c r="AF36" s="144" t="str">
        <f t="shared" si="13"/>
        <v/>
      </c>
      <c r="BJ36">
        <f t="shared" si="14"/>
        <v>101</v>
      </c>
      <c r="BK36" t="str">
        <f t="shared" si="15"/>
        <v>Dairy_heifer1_conv</v>
      </c>
      <c r="BL36" t="s">
        <v>69</v>
      </c>
      <c r="BM36" t="str">
        <f>$B$26</f>
        <v>Ensilage_whole_crop_conv</v>
      </c>
      <c r="BN36" t="str">
        <f t="shared" si="16"/>
        <v>Kg</v>
      </c>
      <c r="BO36">
        <f t="shared" si="16"/>
        <v>185</v>
      </c>
    </row>
    <row r="37" spans="1:67" ht="16.2" thickBot="1" x14ac:dyDescent="0.35">
      <c r="A37" s="18" t="s">
        <v>647</v>
      </c>
      <c r="B37" s="19" t="s">
        <v>489</v>
      </c>
      <c r="C37" s="28" t="s">
        <v>43</v>
      </c>
      <c r="D37" s="34">
        <f>H37*(R37/1000)</f>
        <v>5.2989999999999995</v>
      </c>
      <c r="E37" s="30" t="str">
        <f>IF(B37="","",VLOOKUP(B37,'Processed products'!$B$5:$E$104,2,FALSE))</f>
        <v>Calf_dairy_heavy_live_conv</v>
      </c>
      <c r="F37" s="30" t="str">
        <f>IF(B37="","",VLOOKUP(B37,'Processed products'!$B$5:$E$104,3,FALSE))</f>
        <v>Cattle_heavy_live_conv</v>
      </c>
      <c r="G37" s="30" t="str">
        <f>IF(B37="","",VLOOKUP(B37,'Processed products'!$B$5:$E$104,4,FALSE))</f>
        <v>Livestock_balance</v>
      </c>
      <c r="H37" s="250">
        <v>15.14</v>
      </c>
      <c r="I37" s="5">
        <v>0.38</v>
      </c>
      <c r="K37" s="273" t="s">
        <v>656</v>
      </c>
      <c r="L37" s="260"/>
      <c r="M37" s="260"/>
      <c r="N37" s="261"/>
      <c r="Q37" s="25"/>
      <c r="R37" s="51">
        <f>(IF($B37="",0,VLOOKUP($B37,'Processed products'!$B$5:$O$104,5,FALSE)))</f>
        <v>350</v>
      </c>
      <c r="S37" s="44"/>
      <c r="T37" s="28">
        <f>(IF($B37="","",VLOOKUP($B37,'Processed products'!$B$5:$O$104,9,FALSE)))</f>
        <v>680</v>
      </c>
      <c r="U37" s="34">
        <f>(IF($B37="","",VLOOKUP($B37,'Processed products'!$B$5:$O$104,10,FALSE)))</f>
        <v>84.569919999999996</v>
      </c>
      <c r="V37" s="28">
        <f>(IF($B37="","",VLOOKUP($B37,'Processed products'!$B$5:$O$104,11,FALSE)))</f>
        <v>29.14</v>
      </c>
      <c r="W37" s="28">
        <f>(IF($B37="","",VLOOKUP($B37,'Processed products'!$B$5:$O$104,12,FALSE)))</f>
        <v>6</v>
      </c>
      <c r="X37" s="28">
        <f>(IF($B37="","",VLOOKUP($B37,'Processed products'!$B$5:$O$104,13,FALSE)))</f>
        <v>19.63</v>
      </c>
      <c r="Z37" s="53"/>
      <c r="AA37" s="53"/>
      <c r="AB37" s="53"/>
      <c r="AC37" s="53"/>
      <c r="AD37" s="53"/>
      <c r="AF37" s="144" t="str">
        <f t="shared" si="13"/>
        <v/>
      </c>
      <c r="BJ37">
        <f t="shared" si="14"/>
        <v>101</v>
      </c>
      <c r="BK37" t="str">
        <f t="shared" si="15"/>
        <v>Dairy_heifer1_conv</v>
      </c>
      <c r="BL37" t="s">
        <v>69</v>
      </c>
      <c r="BM37" t="str">
        <f>$B$27</f>
        <v>Ensilage_graes_conv</v>
      </c>
      <c r="BN37" t="str">
        <f t="shared" si="16"/>
        <v>Kg</v>
      </c>
      <c r="BO37">
        <f t="shared" si="16"/>
        <v>340</v>
      </c>
    </row>
    <row r="38" spans="1:67" x14ac:dyDescent="0.3">
      <c r="A38" s="18" t="s">
        <v>648</v>
      </c>
      <c r="B38" s="19" t="s">
        <v>644</v>
      </c>
      <c r="C38" s="28" t="s">
        <v>43</v>
      </c>
      <c r="D38" s="34">
        <f>H38*(R38/1000)</f>
        <v>70.349999999999994</v>
      </c>
      <c r="E38" s="30" t="str">
        <f>IF(B38="","",VLOOKUP(B38,'Processed products'!$B$5:$E$104,2,FALSE))</f>
        <v>Heifer_dairy_heavy_live_conv</v>
      </c>
      <c r="F38" s="30" t="str">
        <f>IF(B38="","",VLOOKUP(B38,'Processed products'!$B$5:$E$104,3,FALSE))</f>
        <v>Cattle_heavy_live_conv</v>
      </c>
      <c r="G38" s="30" t="str">
        <f>IF(B38="","",VLOOKUP(B38,'Processed products'!$B$5:$E$104,4,FALSE))</f>
        <v>Livestock_balance</v>
      </c>
      <c r="H38" s="126">
        <v>201</v>
      </c>
      <c r="I38" s="250">
        <v>0.4</v>
      </c>
      <c r="K38" s="136"/>
      <c r="L38" s="123"/>
      <c r="M38" s="123"/>
      <c r="N38" s="136">
        <f>0.068*40*0.444</f>
        <v>1.2076800000000001</v>
      </c>
      <c r="O38" s="110"/>
      <c r="P38" s="93"/>
      <c r="Q38" s="25"/>
      <c r="R38" s="51">
        <f>(IF($B38="",0,VLOOKUP($B38,'Processed products'!$B$5:$O$104,5,FALSE)))</f>
        <v>350</v>
      </c>
      <c r="S38" s="44"/>
      <c r="T38" s="28">
        <f>(IF($B38="","",VLOOKUP($B38,'Processed products'!$B$5:$O$104,9,FALSE)))</f>
        <v>680</v>
      </c>
      <c r="U38" s="34">
        <f>(IF($B38="","",VLOOKUP($B38,'Processed products'!$B$5:$O$104,10,FALSE)))</f>
        <v>73.14</v>
      </c>
      <c r="V38" s="28">
        <f>(IF($B38="","",VLOOKUP($B38,'Processed products'!$B$5:$O$104,11,FALSE)))</f>
        <v>17.43</v>
      </c>
      <c r="W38" s="28">
        <f>(IF($B38="","",VLOOKUP($B38,'Processed products'!$B$5:$O$104,12,FALSE)))</f>
        <v>5.14</v>
      </c>
      <c r="X38" s="28">
        <f>(IF($B38="","",VLOOKUP($B38,'Processed products'!$B$5:$O$104,13,FALSE)))</f>
        <v>19.63</v>
      </c>
      <c r="Z38" s="53"/>
      <c r="AA38" s="53"/>
      <c r="AB38" s="53"/>
      <c r="AC38" s="53"/>
      <c r="AD38" s="53"/>
      <c r="AF38" s="144" t="str">
        <f>IF(F24="","",F24)</f>
        <v/>
      </c>
      <c r="BJ38">
        <f t="shared" si="14"/>
        <v>101</v>
      </c>
      <c r="BK38" t="str">
        <f t="shared" si="15"/>
        <v>Dairy_heifer1_conv</v>
      </c>
      <c r="BL38" t="s">
        <v>69</v>
      </c>
      <c r="BM38" t="str">
        <f>$B$28</f>
        <v>Ensilage_majs_conv</v>
      </c>
      <c r="BN38" t="str">
        <f t="shared" si="16"/>
        <v>Kg</v>
      </c>
      <c r="BO38">
        <f t="shared" si="16"/>
        <v>700</v>
      </c>
    </row>
    <row r="39" spans="1:67" x14ac:dyDescent="0.3">
      <c r="A39" s="18" t="s">
        <v>110</v>
      </c>
      <c r="B39" s="19"/>
      <c r="C39" s="28" t="s">
        <v>43</v>
      </c>
      <c r="D39" s="50"/>
      <c r="E39" s="30" t="str">
        <f>IF(B39="","",VLOOKUP(B39,'Processed products'!$B$5:$E$104,2,FALSE))</f>
        <v/>
      </c>
      <c r="F39" s="30" t="str">
        <f>IF(B39="","",VLOOKUP(B39,'Processed products'!$B$5:$E$104,3,FALSE))</f>
        <v/>
      </c>
      <c r="G39" s="30" t="str">
        <f>IF(B39="","",VLOOKUP(B39,'Processed products'!$B$5:$E$104,4,FALSE))</f>
        <v/>
      </c>
      <c r="I39" s="123"/>
      <c r="J39" s="251" t="s">
        <v>643</v>
      </c>
      <c r="K39" s="269">
        <f>0.9*40*0.947*0.444</f>
        <v>15.136848000000001</v>
      </c>
      <c r="L39" s="249">
        <f>K39/40</f>
        <v>0.37842120000000001</v>
      </c>
      <c r="M39" s="123"/>
      <c r="N39" s="123"/>
      <c r="O39" s="26"/>
      <c r="Q39" s="25"/>
      <c r="R39" s="51">
        <f>(IF($B39="",0,VLOOKUP($B39,'Processed products'!$B$5:$O$104,5,FALSE)))</f>
        <v>0</v>
      </c>
      <c r="S39" s="44"/>
      <c r="T39" s="28" t="str">
        <f>(IF($B39="","",VLOOKUP($B39,'Processed products'!$B$5:$O$104,9,FALSE)))</f>
        <v/>
      </c>
      <c r="U39" s="34" t="str">
        <f>(IF($B39="","",VLOOKUP($B39,'Processed products'!$B$5:$O$104,10,FALSE)))</f>
        <v/>
      </c>
      <c r="V39" s="28" t="str">
        <f>(IF($B39="","",VLOOKUP($B39,'Processed products'!$B$5:$O$104,11,FALSE)))</f>
        <v/>
      </c>
      <c r="W39" s="28" t="str">
        <f>(IF($B39="","",VLOOKUP($B39,'Processed products'!$B$5:$O$104,12,FALSE)))</f>
        <v/>
      </c>
      <c r="X39" s="28" t="str">
        <f>(IF($B39="","",VLOOKUP($B39,'Processed products'!$B$5:$O$104,13,FALSE)))</f>
        <v/>
      </c>
      <c r="Z39" s="53"/>
      <c r="AA39" s="53"/>
      <c r="AB39" s="53"/>
      <c r="AC39" s="53"/>
      <c r="AD39" s="53"/>
      <c r="AF39" s="144" t="str">
        <f t="shared" ref="AF39:AF44" si="18">IF(F25="","",F25)</f>
        <v/>
      </c>
      <c r="BJ39">
        <f t="shared" si="14"/>
        <v>101</v>
      </c>
      <c r="BK39" t="str">
        <f t="shared" si="15"/>
        <v>Dairy_heifer1_conv</v>
      </c>
      <c r="BL39" t="s">
        <v>69</v>
      </c>
      <c r="BM39">
        <f>$B$29</f>
        <v>0</v>
      </c>
      <c r="BN39" t="str">
        <f t="shared" si="16"/>
        <v>Kg</v>
      </c>
      <c r="BO39">
        <f t="shared" si="16"/>
        <v>0</v>
      </c>
    </row>
    <row r="40" spans="1:67" x14ac:dyDescent="0.3">
      <c r="A40" s="18" t="s">
        <v>111</v>
      </c>
      <c r="B40" s="19"/>
      <c r="C40" s="28" t="s">
        <v>43</v>
      </c>
      <c r="D40" s="50"/>
      <c r="E40" s="30" t="str">
        <f>IF(B40="","",VLOOKUP(B40,'Processed products'!$B$5:$E$104,2,FALSE))</f>
        <v/>
      </c>
      <c r="F40" s="30" t="str">
        <f>IF(B40="","",VLOOKUP(B40,'Processed products'!$B$5:$E$104,3,FALSE))</f>
        <v/>
      </c>
      <c r="G40" s="30" t="str">
        <f>IF(B40="","",VLOOKUP(B40,'Processed products'!$B$5:$E$104,4,FALSE))</f>
        <v/>
      </c>
      <c r="I40" s="123"/>
      <c r="J40" s="123"/>
      <c r="K40" s="123"/>
      <c r="L40" s="123"/>
      <c r="M40" s="123"/>
      <c r="N40" s="123"/>
      <c r="O40" s="26"/>
      <c r="Q40" s="25"/>
      <c r="R40" s="51">
        <f>(IF($B40="",0,VLOOKUP($B40,'Processed products'!$B$5:$O$104,5,FALSE)))</f>
        <v>0</v>
      </c>
      <c r="S40" s="44"/>
      <c r="T40" s="28" t="str">
        <f>(IF($B40="","",VLOOKUP($B40,'Processed products'!$B$5:$O$104,9,FALSE)))</f>
        <v/>
      </c>
      <c r="U40" s="34" t="str">
        <f>(IF($B40="","",VLOOKUP($B40,'Processed products'!$B$5:$O$104,10,FALSE)))</f>
        <v/>
      </c>
      <c r="V40" s="28" t="str">
        <f>(IF($B40="","",VLOOKUP($B40,'Processed products'!$B$5:$O$104,11,FALSE)))</f>
        <v/>
      </c>
      <c r="W40" s="28" t="str">
        <f>(IF($B40="","",VLOOKUP($B40,'Processed products'!$B$5:$O$104,12,FALSE)))</f>
        <v/>
      </c>
      <c r="X40" s="28" t="str">
        <f>(IF($B40="","",VLOOKUP($B40,'Processed products'!$B$5:$O$104,13,FALSE)))</f>
        <v/>
      </c>
      <c r="Z40" s="53"/>
      <c r="AA40" s="53"/>
      <c r="AB40" s="53"/>
      <c r="AC40" s="53"/>
      <c r="AD40" s="53"/>
      <c r="AF40" s="144" t="str">
        <f t="shared" si="18"/>
        <v/>
      </c>
      <c r="AH40" s="36"/>
      <c r="BJ40">
        <f t="shared" si="14"/>
        <v>101</v>
      </c>
      <c r="BK40" t="str">
        <f t="shared" si="15"/>
        <v>Dairy_heifer1_conv</v>
      </c>
      <c r="BL40" t="s">
        <v>69</v>
      </c>
      <c r="BM40">
        <f>$B$30</f>
        <v>0</v>
      </c>
      <c r="BN40" t="str">
        <f t="shared" si="16"/>
        <v>Kg</v>
      </c>
      <c r="BO40">
        <f t="shared" si="16"/>
        <v>0</v>
      </c>
    </row>
    <row r="41" spans="1:67" x14ac:dyDescent="0.3">
      <c r="A41" s="18" t="s">
        <v>112</v>
      </c>
      <c r="B41" s="19"/>
      <c r="C41" s="28" t="s">
        <v>43</v>
      </c>
      <c r="D41" s="50"/>
      <c r="E41" s="30" t="str">
        <f>IF(B41="","",VLOOKUP(B41,'Processed products'!$B$5:$E$104,2,FALSE))</f>
        <v/>
      </c>
      <c r="F41" s="30" t="str">
        <f>IF(B41="","",VLOOKUP(B41,'Processed products'!$B$5:$E$104,3,FALSE))</f>
        <v/>
      </c>
      <c r="G41" s="30" t="str">
        <f>IF(B41="","",VLOOKUP(B41,'Processed products'!$B$5:$E$104,4,FALSE))</f>
        <v/>
      </c>
      <c r="I41" s="123"/>
      <c r="J41" s="263" t="s">
        <v>642</v>
      </c>
      <c r="K41" s="264"/>
      <c r="L41" s="263"/>
      <c r="M41" s="246"/>
      <c r="N41" s="263">
        <f>(0.53*0.056*64+0.53*0.012*315.5+40*0.444*0.053)</f>
        <v>4.8473800000000002</v>
      </c>
      <c r="O41" s="267"/>
      <c r="P41" s="266"/>
      <c r="Q41" s="25"/>
      <c r="R41" s="51">
        <f>(IF($B41="",0,VLOOKUP($B41,'Processed products'!$B$5:$O$104,5,FALSE)))</f>
        <v>0</v>
      </c>
      <c r="S41" s="44"/>
      <c r="T41" s="28" t="str">
        <f>(IF($B41="","",VLOOKUP($B41,'Processed products'!$B$5:$O$104,9,FALSE)))</f>
        <v/>
      </c>
      <c r="U41" s="34" t="str">
        <f>(IF($B41="","",VLOOKUP($B41,'Processed products'!$B$5:$O$104,10,FALSE)))</f>
        <v/>
      </c>
      <c r="V41" s="28" t="str">
        <f>(IF($B41="","",VLOOKUP($B41,'Processed products'!$B$5:$O$104,11,FALSE)))</f>
        <v/>
      </c>
      <c r="W41" s="28" t="str">
        <f>(IF($B41="","",VLOOKUP($B41,'Processed products'!$B$5:$O$104,12,FALSE)))</f>
        <v/>
      </c>
      <c r="X41" s="28" t="str">
        <f>(IF($B41="","",VLOOKUP($B41,'Processed products'!$B$5:$O$104,13,FALSE)))</f>
        <v/>
      </c>
      <c r="Z41" s="53"/>
      <c r="AA41" s="53"/>
      <c r="AB41" s="53"/>
      <c r="AC41" s="53"/>
      <c r="AD41" s="53"/>
      <c r="AF41" s="144" t="str">
        <f t="shared" si="18"/>
        <v/>
      </c>
      <c r="BJ41">
        <f t="shared" si="14"/>
        <v>101</v>
      </c>
      <c r="BK41" t="str">
        <f t="shared" si="15"/>
        <v>Dairy_heifer1_conv</v>
      </c>
      <c r="BL41" t="s">
        <v>126</v>
      </c>
      <c r="BM41" t="str">
        <f>$B$35</f>
        <v>Kvaeg_affald_conv</v>
      </c>
      <c r="BN41" t="str">
        <f>C35</f>
        <v>Kg</v>
      </c>
      <c r="BO41" s="64">
        <f>M37</f>
        <v>0</v>
      </c>
    </row>
    <row r="42" spans="1:67" x14ac:dyDescent="0.3">
      <c r="A42" s="33" t="s">
        <v>61</v>
      </c>
      <c r="B42" s="39"/>
      <c r="C42" s="28" t="s">
        <v>43</v>
      </c>
      <c r="D42" s="34">
        <f>SUM(D35:D41)</f>
        <v>85.161999999999992</v>
      </c>
      <c r="E42" s="24"/>
      <c r="I42" s="124"/>
      <c r="J42" s="263" t="s">
        <v>646</v>
      </c>
      <c r="K42" s="263"/>
      <c r="L42" s="263"/>
      <c r="M42" s="263">
        <f>503*0.1*0.444</f>
        <v>22.333200000000001</v>
      </c>
      <c r="N42" s="246"/>
      <c r="P42" s="93"/>
      <c r="Q42" s="25"/>
      <c r="Z42" s="53"/>
      <c r="AA42" s="53"/>
      <c r="AB42" s="53"/>
      <c r="AC42" s="53"/>
      <c r="AD42" s="53"/>
      <c r="AF42" s="144" t="str">
        <f t="shared" si="18"/>
        <v/>
      </c>
      <c r="BJ42">
        <f t="shared" si="14"/>
        <v>101</v>
      </c>
      <c r="BK42" t="str">
        <f t="shared" si="15"/>
        <v>Dairy_heifer1_conv</v>
      </c>
      <c r="BL42" t="s">
        <v>126</v>
      </c>
      <c r="BM42" t="str">
        <f>$B$36</f>
        <v>Tilvaekst_kvaeg_conv</v>
      </c>
      <c r="BN42" t="str">
        <f t="shared" ref="BN42:BN47" si="19">C35</f>
        <v>Kg</v>
      </c>
      <c r="BO42" s="64">
        <f>M37</f>
        <v>0</v>
      </c>
    </row>
    <row r="43" spans="1:67" x14ac:dyDescent="0.3">
      <c r="J43" s="246" t="s">
        <v>645</v>
      </c>
      <c r="K43" s="265">
        <f>0.9*503*0.444</f>
        <v>200.99879999999999</v>
      </c>
      <c r="L43" s="263">
        <f>K43/503</f>
        <v>0.39959999999999996</v>
      </c>
      <c r="M43" s="263"/>
      <c r="N43" s="266"/>
      <c r="Z43" s="53"/>
      <c r="AA43" s="53"/>
      <c r="AB43" s="53"/>
      <c r="AC43" s="53"/>
      <c r="AD43" s="53"/>
      <c r="AF43" s="144" t="str">
        <f t="shared" si="18"/>
        <v/>
      </c>
      <c r="BJ43">
        <f t="shared" si="14"/>
        <v>101</v>
      </c>
      <c r="BK43" t="str">
        <f t="shared" si="15"/>
        <v>Dairy_heifer1_conv</v>
      </c>
      <c r="BL43" t="s">
        <v>126</v>
      </c>
      <c r="BM43" t="str">
        <f>$B$37</f>
        <v>Foster_kvaeg_dairy_heavy_conv</v>
      </c>
      <c r="BN43" t="str">
        <f t="shared" si="19"/>
        <v>Kg</v>
      </c>
      <c r="BO43" s="64">
        <f t="shared" ref="BO43:BO45" si="20">P36</f>
        <v>0</v>
      </c>
    </row>
    <row r="44" spans="1:67" ht="15.6" x14ac:dyDescent="0.3">
      <c r="A44" s="16" t="s">
        <v>59</v>
      </c>
      <c r="B44" s="17" t="s">
        <v>29</v>
      </c>
      <c r="C44" s="17" t="s">
        <v>28</v>
      </c>
      <c r="D44" s="17" t="s">
        <v>164</v>
      </c>
      <c r="E44" s="66" t="s">
        <v>4</v>
      </c>
      <c r="F44" s="69" t="s">
        <v>54</v>
      </c>
      <c r="G44" s="66" t="s">
        <v>6</v>
      </c>
      <c r="H44" s="66" t="s">
        <v>208</v>
      </c>
      <c r="I44" s="66" t="s">
        <v>199</v>
      </c>
      <c r="J44" s="66" t="s">
        <v>202</v>
      </c>
      <c r="K44" s="66" t="s">
        <v>203</v>
      </c>
      <c r="L44" s="66" t="s">
        <v>204</v>
      </c>
      <c r="M44" s="66" t="s">
        <v>205</v>
      </c>
      <c r="N44" s="66" t="s">
        <v>206</v>
      </c>
      <c r="O44" s="66" t="s">
        <v>215</v>
      </c>
      <c r="Z44" s="53"/>
      <c r="AA44" s="53"/>
      <c r="AB44" s="53"/>
      <c r="AC44" s="53"/>
      <c r="AD44" s="53"/>
      <c r="AF44" s="144" t="str">
        <f t="shared" si="18"/>
        <v/>
      </c>
      <c r="BJ44">
        <f t="shared" si="14"/>
        <v>101</v>
      </c>
      <c r="BK44" t="str">
        <f t="shared" si="15"/>
        <v>Dairy_heifer1_conv</v>
      </c>
      <c r="BL44" t="s">
        <v>126</v>
      </c>
      <c r="BM44" t="str">
        <f>$B$38</f>
        <v>Tilvaekst_heifer_heavy_conv</v>
      </c>
      <c r="BN44" t="str">
        <f t="shared" si="19"/>
        <v>Kg</v>
      </c>
      <c r="BO44" s="64">
        <f>K39</f>
        <v>15.136848000000001</v>
      </c>
    </row>
    <row r="45" spans="1:67" x14ac:dyDescent="0.3">
      <c r="A45" s="18" t="s">
        <v>163</v>
      </c>
      <c r="B45" s="19"/>
      <c r="C45" s="28" t="s">
        <v>43</v>
      </c>
      <c r="D45" s="51" t="str">
        <f>IF(B45="","",H45*(I45/1000))</f>
        <v/>
      </c>
      <c r="E45" s="28" t="str">
        <f>IF(B45="","",VLOOKUP(B45,'Processed products'!$AJ$5:$AO$250,2,FALSE))</f>
        <v/>
      </c>
      <c r="F45" s="28" t="str">
        <f>IF(B45="","",VLOOKUP(B45,'Processed products'!$AJ$5:$AO$250,3,FALSE))</f>
        <v/>
      </c>
      <c r="G45" s="28" t="str">
        <f>IF(B45="","",VLOOKUP(B45,'Processed products'!$AJ$5:$AO$250,4,FALSE))</f>
        <v/>
      </c>
      <c r="H45" s="51">
        <f>J8</f>
        <v>0</v>
      </c>
      <c r="I45" s="51" t="str">
        <f>IF(B45="","",(VLOOKUP(B45,'Processed products'!$R$5:$W$104,5,FALSE)*J5)/J8)</f>
        <v/>
      </c>
      <c r="J45" s="132">
        <v>450</v>
      </c>
      <c r="K45" s="34">
        <f>IF(H45=0,0,(((J5*(J7/100))/L8)/D45)*1000)</f>
        <v>0</v>
      </c>
      <c r="L45" s="34">
        <f>IF(H45=0,0,(J5*L11)/D45)</f>
        <v>0</v>
      </c>
      <c r="M45" s="34">
        <f>IF(H45=0,0,(J5*L12)/D45)</f>
        <v>0</v>
      </c>
      <c r="N45" s="34">
        <f>IF(H45=0,0,(L5*J8)/D45)</f>
        <v>0</v>
      </c>
      <c r="O45" s="81">
        <f>K45*6.38</f>
        <v>0</v>
      </c>
      <c r="P45" s="93"/>
      <c r="Q45" s="47"/>
      <c r="R45" s="123"/>
      <c r="Z45" s="53"/>
      <c r="AA45" s="53"/>
      <c r="AB45" s="53"/>
      <c r="AC45" s="53"/>
      <c r="AD45" s="53"/>
      <c r="AF45" s="144" t="str">
        <f>IF(G24="","",G24)</f>
        <v/>
      </c>
      <c r="AG45" s="136"/>
      <c r="AH45" s="136"/>
      <c r="AI45" s="136"/>
      <c r="AJ45" s="136"/>
      <c r="BJ45">
        <f t="shared" si="14"/>
        <v>101</v>
      </c>
      <c r="BK45" t="str">
        <f t="shared" si="15"/>
        <v>Dairy_heifer1_conv</v>
      </c>
      <c r="BL45" t="s">
        <v>126</v>
      </c>
      <c r="BM45">
        <f>$B$39</f>
        <v>0</v>
      </c>
      <c r="BN45" t="str">
        <f t="shared" si="19"/>
        <v>Kg</v>
      </c>
      <c r="BO45" s="64">
        <f t="shared" si="20"/>
        <v>0</v>
      </c>
    </row>
    <row r="46" spans="1:67" x14ac:dyDescent="0.3">
      <c r="A46" s="18" t="s">
        <v>114</v>
      </c>
      <c r="B46" s="19"/>
      <c r="C46" s="28" t="s">
        <v>43</v>
      </c>
      <c r="D46" s="50"/>
      <c r="E46" s="28" t="str">
        <f>IF(B46="","",VLOOKUP(B46,'Processed products'!$AJ$5:$AO$250,2,FALSE))</f>
        <v/>
      </c>
      <c r="F46" s="28" t="str">
        <f>IF(B46="","",VLOOKUP(B46,'Processed products'!$AJ$5:$AO$250,3,FALSE))</f>
        <v/>
      </c>
      <c r="G46" s="28" t="str">
        <f>IF(B46="","",VLOOKUP(B46,'Processed products'!$AJ$5:$AO$250,4,FALSE))</f>
        <v/>
      </c>
      <c r="H46" s="5"/>
      <c r="I46" s="51" t="str">
        <f>IF(B46="","",VLOOKUP(B46,'Processed products'!$AJ$5:$AO$250,5,FALSE))</f>
        <v/>
      </c>
      <c r="J46" s="132"/>
      <c r="K46" s="48"/>
      <c r="L46" s="61"/>
      <c r="M46" s="61"/>
      <c r="N46" s="133"/>
      <c r="O46" s="5"/>
      <c r="P46" s="93"/>
      <c r="Q46" s="47"/>
      <c r="R46" s="123"/>
      <c r="Z46" s="53"/>
      <c r="AA46" s="53"/>
      <c r="AB46" s="53"/>
      <c r="AC46" s="53"/>
      <c r="AD46" s="53"/>
      <c r="AF46" s="144" t="str">
        <f t="shared" ref="AF46:AF51" si="21">IF(G25="","",G25)</f>
        <v/>
      </c>
      <c r="AG46" s="136"/>
      <c r="AH46" s="136"/>
      <c r="AI46" s="136"/>
      <c r="AJ46" s="136"/>
      <c r="BJ46">
        <f t="shared" si="14"/>
        <v>101</v>
      </c>
      <c r="BK46" t="str">
        <f t="shared" si="15"/>
        <v>Dairy_heifer1_conv</v>
      </c>
      <c r="BL46" t="s">
        <v>126</v>
      </c>
      <c r="BM46">
        <f>$B$40</f>
        <v>0</v>
      </c>
      <c r="BN46" t="str">
        <f t="shared" si="19"/>
        <v>Kg</v>
      </c>
      <c r="BO46" s="64">
        <f>N41</f>
        <v>4.8473800000000002</v>
      </c>
    </row>
    <row r="47" spans="1:67" x14ac:dyDescent="0.3">
      <c r="A47" s="18" t="s">
        <v>115</v>
      </c>
      <c r="B47" s="19"/>
      <c r="C47" s="28" t="s">
        <v>43</v>
      </c>
      <c r="D47" s="50"/>
      <c r="E47" s="28" t="str">
        <f>IF(B47="","",VLOOKUP(B47,'Processed products'!$AJ$5:$AO$250,2,FALSE))</f>
        <v/>
      </c>
      <c r="F47" s="28" t="str">
        <f>IF(B47="","",VLOOKUP(B47,'Processed products'!$AJ$5:$AO$250,3,FALSE))</f>
        <v/>
      </c>
      <c r="G47" s="28" t="str">
        <f>IF(B47="","",VLOOKUP(B47,'Processed products'!$AJ$5:$AO$250,4,FALSE))</f>
        <v/>
      </c>
      <c r="H47" s="5"/>
      <c r="I47" s="51" t="str">
        <f>IF(B47="","",VLOOKUP(B47,'Processed products'!$AJ$5:$AO$250,5,FALSE))</f>
        <v/>
      </c>
      <c r="J47" s="132"/>
      <c r="K47" s="48"/>
      <c r="L47" s="61"/>
      <c r="M47" s="61"/>
      <c r="N47" s="133"/>
      <c r="O47" s="5"/>
      <c r="P47" s="93"/>
      <c r="Q47" s="47"/>
      <c r="R47" s="123"/>
      <c r="Z47" s="53"/>
      <c r="AA47" s="53"/>
      <c r="AB47" s="53"/>
      <c r="AC47" s="53"/>
      <c r="AD47" s="53"/>
      <c r="AF47" s="144" t="str">
        <f t="shared" si="21"/>
        <v/>
      </c>
      <c r="AG47" s="136"/>
      <c r="AH47" s="136"/>
      <c r="AI47" s="136"/>
      <c r="AJ47" s="136"/>
      <c r="BJ47">
        <f t="shared" si="14"/>
        <v>101</v>
      </c>
      <c r="BK47" t="str">
        <f t="shared" si="15"/>
        <v>Dairy_heifer1_conv</v>
      </c>
      <c r="BL47" t="s">
        <v>126</v>
      </c>
      <c r="BM47">
        <f>$B$41</f>
        <v>0</v>
      </c>
      <c r="BN47" t="str">
        <f t="shared" si="19"/>
        <v>Kg</v>
      </c>
      <c r="BO47" s="64">
        <f>M42</f>
        <v>22.333200000000001</v>
      </c>
    </row>
    <row r="48" spans="1:67" x14ac:dyDescent="0.3">
      <c r="A48" s="18" t="s">
        <v>116</v>
      </c>
      <c r="B48" s="19"/>
      <c r="C48" s="28" t="s">
        <v>43</v>
      </c>
      <c r="D48" s="50"/>
      <c r="E48" s="28" t="str">
        <f>IF(B48="","",VLOOKUP(B48,'Processed products'!$AJ$5:$AO$250,2,FALSE))</f>
        <v/>
      </c>
      <c r="F48" s="28" t="str">
        <f>IF(B48="","",VLOOKUP(B48,'Processed products'!$AJ$5:$AO$250,3,FALSE))</f>
        <v/>
      </c>
      <c r="G48" s="28" t="str">
        <f>IF(B48="","",VLOOKUP(B48,'Processed products'!$AJ$5:$AO$250,4,FALSE))</f>
        <v/>
      </c>
      <c r="H48" s="5"/>
      <c r="I48" s="51" t="str">
        <f>IF(B48="","",VLOOKUP(B48,'Processed products'!$AJ$5:$AO$250,5,FALSE))</f>
        <v/>
      </c>
      <c r="J48" s="132"/>
      <c r="K48" s="48"/>
      <c r="L48" s="61"/>
      <c r="M48" s="61"/>
      <c r="N48" s="133"/>
      <c r="O48" s="5"/>
      <c r="P48" s="93"/>
      <c r="Q48" s="47"/>
      <c r="R48" s="123"/>
      <c r="Z48" s="53"/>
      <c r="AA48" s="53"/>
      <c r="AB48" s="53"/>
      <c r="AC48" s="53"/>
      <c r="AD48" s="53"/>
      <c r="AF48" s="144" t="str">
        <f t="shared" si="21"/>
        <v/>
      </c>
      <c r="AG48" s="136"/>
      <c r="AH48" s="136"/>
      <c r="AI48" s="136"/>
      <c r="AJ48" s="136"/>
      <c r="BJ48">
        <f t="shared" si="14"/>
        <v>101</v>
      </c>
      <c r="BK48" t="str">
        <f t="shared" si="15"/>
        <v>Dairy_heifer1_conv</v>
      </c>
      <c r="BL48" t="s">
        <v>127</v>
      </c>
      <c r="BM48">
        <f t="shared" ref="BM48:BM52" si="22">$B$45</f>
        <v>0</v>
      </c>
      <c r="BN48" t="str">
        <f>C45</f>
        <v>Kg</v>
      </c>
      <c r="BO48" s="64">
        <f>P45</f>
        <v>0</v>
      </c>
    </row>
    <row r="49" spans="1:67" x14ac:dyDescent="0.3">
      <c r="A49" s="18" t="s">
        <v>117</v>
      </c>
      <c r="B49" s="19"/>
      <c r="C49" s="28" t="s">
        <v>43</v>
      </c>
      <c r="D49" s="50"/>
      <c r="E49" s="28" t="str">
        <f>IF(B49="","",VLOOKUP(B49,'Processed products'!$AJ$5:$AO$250,2,FALSE))</f>
        <v/>
      </c>
      <c r="F49" s="28" t="str">
        <f>IF(B49="","",VLOOKUP(B49,'Processed products'!$AJ$5:$AO$250,3,FALSE))</f>
        <v/>
      </c>
      <c r="G49" s="28" t="str">
        <f>IF(B49="","",VLOOKUP(B49,'Processed products'!$AJ$5:$AO$250,4,FALSE))</f>
        <v/>
      </c>
      <c r="H49" s="5"/>
      <c r="I49" s="51" t="str">
        <f>IF(B49="","",VLOOKUP(B49,'Processed products'!$AJ$5:$AO$250,5,FALSE))</f>
        <v/>
      </c>
      <c r="J49" s="132"/>
      <c r="K49" s="48"/>
      <c r="L49" s="61"/>
      <c r="M49" s="61"/>
      <c r="N49" s="133"/>
      <c r="O49" s="5"/>
      <c r="P49" s="93"/>
      <c r="Q49" s="47"/>
      <c r="R49" s="123"/>
      <c r="Z49" s="53"/>
      <c r="AA49" s="53"/>
      <c r="AB49" s="53"/>
      <c r="AC49" s="53"/>
      <c r="AD49" s="53"/>
      <c r="AF49" s="144" t="str">
        <f t="shared" si="21"/>
        <v/>
      </c>
      <c r="AG49" s="136"/>
      <c r="AH49" s="136"/>
      <c r="AI49" s="136"/>
      <c r="AJ49" s="136"/>
      <c r="BJ49">
        <f t="shared" si="14"/>
        <v>101</v>
      </c>
      <c r="BK49" t="str">
        <f t="shared" si="15"/>
        <v>Dairy_heifer1_conv</v>
      </c>
      <c r="BL49" t="s">
        <v>127</v>
      </c>
      <c r="BM49">
        <f t="shared" si="22"/>
        <v>0</v>
      </c>
      <c r="BN49" t="str">
        <f>$AF$34</f>
        <v>Ensilage_majs_conv</v>
      </c>
      <c r="BO49" s="32" t="str">
        <f>AF45</f>
        <v/>
      </c>
    </row>
    <row r="50" spans="1:67" x14ac:dyDescent="0.3">
      <c r="A50" s="18" t="s">
        <v>60</v>
      </c>
      <c r="B50" s="62" t="s">
        <v>105</v>
      </c>
      <c r="C50" s="28" t="s">
        <v>43</v>
      </c>
      <c r="D50" s="50"/>
      <c r="E50" s="28"/>
      <c r="F50" s="28"/>
      <c r="G50" s="28"/>
      <c r="I50" s="93"/>
      <c r="J50" s="93"/>
      <c r="K50" s="93"/>
      <c r="L50" s="93"/>
      <c r="M50" s="93"/>
      <c r="N50" s="93"/>
      <c r="P50" s="93"/>
      <c r="Q50" s="47"/>
      <c r="R50" s="123"/>
      <c r="Z50" s="53"/>
      <c r="AA50" s="53"/>
      <c r="AB50" s="53"/>
      <c r="AC50" s="53"/>
      <c r="AD50" s="53"/>
      <c r="AF50" s="144" t="str">
        <f t="shared" si="21"/>
        <v/>
      </c>
      <c r="AG50" s="136"/>
      <c r="AH50" s="136"/>
      <c r="AI50" s="136"/>
      <c r="AJ50" s="136"/>
      <c r="BJ50">
        <f t="shared" si="14"/>
        <v>101</v>
      </c>
      <c r="BK50" t="str">
        <f t="shared" si="15"/>
        <v>Dairy_heifer1_conv</v>
      </c>
      <c r="BL50" t="s">
        <v>127</v>
      </c>
      <c r="BM50">
        <f t="shared" si="22"/>
        <v>0</v>
      </c>
      <c r="BN50" s="32">
        <f>$AH$34</f>
        <v>0</v>
      </c>
      <c r="BO50" s="32">
        <f>AH45</f>
        <v>0</v>
      </c>
    </row>
    <row r="51" spans="1:67" ht="15" thickBot="1" x14ac:dyDescent="0.35">
      <c r="A51" s="18" t="s">
        <v>56</v>
      </c>
      <c r="B51" s="9"/>
      <c r="C51" s="28" t="s">
        <v>43</v>
      </c>
      <c r="D51" s="34">
        <f>SUM(D42,D45:D50)</f>
        <v>85.161999999999992</v>
      </c>
      <c r="I51" s="93"/>
      <c r="J51" s="93"/>
      <c r="K51" s="93"/>
      <c r="L51" s="93"/>
      <c r="M51" s="93"/>
      <c r="N51" s="93"/>
      <c r="O51" s="135"/>
      <c r="P51" s="93"/>
      <c r="Q51" s="47"/>
      <c r="Z51" s="53"/>
      <c r="AA51" s="53"/>
      <c r="AB51" s="53"/>
      <c r="AC51" s="53"/>
      <c r="AD51" s="53"/>
      <c r="AF51" s="145" t="str">
        <f t="shared" si="21"/>
        <v/>
      </c>
      <c r="BJ51">
        <f t="shared" si="14"/>
        <v>101</v>
      </c>
      <c r="BK51" t="str">
        <f t="shared" si="15"/>
        <v>Dairy_heifer1_conv</v>
      </c>
      <c r="BL51" t="s">
        <v>127</v>
      </c>
      <c r="BM51">
        <f t="shared" si="22"/>
        <v>0</v>
      </c>
      <c r="BN51">
        <f>$AI$34</f>
        <v>0</v>
      </c>
      <c r="BO51" s="32">
        <f>AI45</f>
        <v>0</v>
      </c>
    </row>
    <row r="52" spans="1:67" x14ac:dyDescent="0.3">
      <c r="C52" s="25"/>
      <c r="H52" s="137"/>
      <c r="I52" s="137"/>
      <c r="Y52" s="29"/>
      <c r="Z52" s="136"/>
      <c r="AA52" s="136"/>
      <c r="AB52" s="136"/>
      <c r="AC52" s="136"/>
      <c r="AD52" s="136"/>
      <c r="AF52" s="32"/>
      <c r="BJ52">
        <f t="shared" si="14"/>
        <v>101</v>
      </c>
      <c r="BK52" t="str">
        <f t="shared" si="15"/>
        <v>Dairy_heifer1_conv</v>
      </c>
      <c r="BL52" t="s">
        <v>127</v>
      </c>
      <c r="BM52">
        <f t="shared" si="22"/>
        <v>0</v>
      </c>
      <c r="BN52">
        <f>$AJ$34</f>
        <v>0</v>
      </c>
      <c r="BO52" s="32">
        <f>AJ45</f>
        <v>0</v>
      </c>
    </row>
    <row r="53" spans="1:67" x14ac:dyDescent="0.3">
      <c r="A53" s="16" t="s">
        <v>277</v>
      </c>
      <c r="B53" s="17" t="s">
        <v>166</v>
      </c>
      <c r="C53" s="17" t="s">
        <v>28</v>
      </c>
      <c r="D53" s="42"/>
      <c r="E53" s="42"/>
      <c r="F53" s="42"/>
      <c r="G53" s="42"/>
      <c r="H53" s="42"/>
      <c r="I53" s="42"/>
      <c r="Y53" s="29"/>
      <c r="Z53" s="136"/>
      <c r="AA53" s="136"/>
      <c r="AB53" s="136"/>
      <c r="AC53" s="136"/>
      <c r="AD53" s="136"/>
      <c r="AF53" s="32"/>
      <c r="BJ53">
        <f t="shared" si="14"/>
        <v>101</v>
      </c>
      <c r="BK53" t="str">
        <f t="shared" si="15"/>
        <v>Dairy_heifer1_conv</v>
      </c>
      <c r="BL53" t="s">
        <v>127</v>
      </c>
      <c r="BM53">
        <f t="shared" ref="BM53:BM58" si="23">$B$46</f>
        <v>0</v>
      </c>
      <c r="BN53" t="str">
        <f>C46</f>
        <v>Kg</v>
      </c>
      <c r="BO53" s="64">
        <f>P46</f>
        <v>0</v>
      </c>
    </row>
    <row r="54" spans="1:67" x14ac:dyDescent="0.3">
      <c r="A54" s="18" t="s">
        <v>220</v>
      </c>
      <c r="B54" s="50" t="s">
        <v>527</v>
      </c>
      <c r="C54" s="50" t="s">
        <v>43</v>
      </c>
      <c r="D54" s="138"/>
      <c r="E54" s="53"/>
      <c r="F54" s="138"/>
      <c r="G54" s="53"/>
      <c r="H54" s="138"/>
      <c r="I54" s="138"/>
      <c r="AF54" s="32"/>
      <c r="BJ54">
        <f t="shared" si="14"/>
        <v>101</v>
      </c>
      <c r="BK54" t="str">
        <f t="shared" si="15"/>
        <v>Dairy_heifer1_conv</v>
      </c>
      <c r="BL54" t="s">
        <v>127</v>
      </c>
      <c r="BM54">
        <f t="shared" si="23"/>
        <v>0</v>
      </c>
      <c r="BN54" t="str">
        <f>$AF$34</f>
        <v>Ensilage_majs_conv</v>
      </c>
      <c r="BO54" s="32" t="str">
        <f>AF$46</f>
        <v/>
      </c>
    </row>
    <row r="55" spans="1:67" x14ac:dyDescent="0.3">
      <c r="A55" s="18" t="s">
        <v>254</v>
      </c>
      <c r="B55" s="50" t="s">
        <v>531</v>
      </c>
      <c r="C55" s="50" t="s">
        <v>43</v>
      </c>
      <c r="D55" s="138"/>
      <c r="E55" s="53"/>
      <c r="F55" s="138"/>
      <c r="G55" s="53"/>
      <c r="H55" s="138"/>
      <c r="I55" s="138"/>
      <c r="BJ55">
        <f t="shared" si="14"/>
        <v>101</v>
      </c>
      <c r="BK55" t="str">
        <f t="shared" si="15"/>
        <v>Dairy_heifer1_conv</v>
      </c>
      <c r="BL55" t="s">
        <v>127</v>
      </c>
      <c r="BM55">
        <f t="shared" si="23"/>
        <v>0</v>
      </c>
      <c r="BN55">
        <f>$AG$34</f>
        <v>0</v>
      </c>
      <c r="BO55" s="32">
        <f>AG$46</f>
        <v>0</v>
      </c>
    </row>
    <row r="56" spans="1:67" x14ac:dyDescent="0.3">
      <c r="A56" s="18" t="s">
        <v>35</v>
      </c>
      <c r="B56" s="50"/>
      <c r="C56" s="50"/>
      <c r="D56" s="138"/>
      <c r="E56" s="53"/>
      <c r="F56" s="138"/>
      <c r="G56" s="53"/>
      <c r="H56" s="138"/>
      <c r="I56" s="138"/>
      <c r="BJ56">
        <f t="shared" si="14"/>
        <v>101</v>
      </c>
      <c r="BK56" t="str">
        <f t="shared" si="15"/>
        <v>Dairy_heifer1_conv</v>
      </c>
      <c r="BL56" t="s">
        <v>127</v>
      </c>
      <c r="BM56">
        <f t="shared" si="23"/>
        <v>0</v>
      </c>
      <c r="BN56" s="32">
        <f>$AH$34</f>
        <v>0</v>
      </c>
      <c r="BO56" s="32">
        <f>AH$46</f>
        <v>0</v>
      </c>
    </row>
    <row r="57" spans="1:67" x14ac:dyDescent="0.3">
      <c r="A57" s="18" t="s">
        <v>36</v>
      </c>
      <c r="B57" s="50"/>
      <c r="C57" s="50"/>
      <c r="D57" s="138"/>
      <c r="E57" s="53"/>
      <c r="F57" s="138"/>
      <c r="G57" s="53"/>
      <c r="H57" s="138"/>
      <c r="I57" s="138"/>
      <c r="BJ57">
        <f t="shared" si="14"/>
        <v>101</v>
      </c>
      <c r="BK57" t="str">
        <f t="shared" si="15"/>
        <v>Dairy_heifer1_conv</v>
      </c>
      <c r="BL57" t="s">
        <v>127</v>
      </c>
      <c r="BM57">
        <f t="shared" si="23"/>
        <v>0</v>
      </c>
      <c r="BN57">
        <f>$AI$34</f>
        <v>0</v>
      </c>
      <c r="BO57" s="32">
        <f>AI$46</f>
        <v>0</v>
      </c>
    </row>
    <row r="58" spans="1:67" x14ac:dyDescent="0.3">
      <c r="A58" s="18" t="s">
        <v>37</v>
      </c>
      <c r="B58" s="50"/>
      <c r="C58" s="50"/>
      <c r="D58" s="138"/>
      <c r="E58" s="53"/>
      <c r="F58" s="138"/>
      <c r="G58" s="53"/>
      <c r="H58" s="138"/>
      <c r="I58" s="138"/>
      <c r="BJ58">
        <f t="shared" si="14"/>
        <v>101</v>
      </c>
      <c r="BK58" t="str">
        <f t="shared" si="15"/>
        <v>Dairy_heifer1_conv</v>
      </c>
      <c r="BL58" t="s">
        <v>127</v>
      </c>
      <c r="BM58">
        <f t="shared" si="23"/>
        <v>0</v>
      </c>
      <c r="BN58">
        <f>$AJ$34</f>
        <v>0</v>
      </c>
      <c r="BO58" s="32">
        <f>AJ$46</f>
        <v>0</v>
      </c>
    </row>
    <row r="59" spans="1:67" x14ac:dyDescent="0.3">
      <c r="A59" s="18" t="s">
        <v>56</v>
      </c>
      <c r="B59" s="24"/>
      <c r="D59" s="32"/>
      <c r="F59" s="32"/>
      <c r="H59" s="138"/>
      <c r="I59" s="138"/>
      <c r="BJ59">
        <f t="shared" si="14"/>
        <v>101</v>
      </c>
      <c r="BK59" t="str">
        <f t="shared" si="15"/>
        <v>Dairy_heifer1_conv</v>
      </c>
      <c r="BL59" t="s">
        <v>127</v>
      </c>
      <c r="BM59">
        <f t="shared" ref="BL59:BM62" si="24">$B$47</f>
        <v>0</v>
      </c>
      <c r="BN59">
        <f>$AG$34</f>
        <v>0</v>
      </c>
      <c r="BO59" s="32">
        <f>AG$47</f>
        <v>0</v>
      </c>
    </row>
    <row r="60" spans="1:67" x14ac:dyDescent="0.3">
      <c r="BJ60">
        <f t="shared" si="14"/>
        <v>101</v>
      </c>
      <c r="BK60" t="str">
        <f t="shared" si="15"/>
        <v>Dairy_heifer1_conv</v>
      </c>
      <c r="BL60" t="s">
        <v>127</v>
      </c>
      <c r="BM60">
        <f t="shared" si="24"/>
        <v>0</v>
      </c>
      <c r="BN60" s="32">
        <f>$AH$34</f>
        <v>0</v>
      </c>
      <c r="BO60" s="32">
        <f>AH$47</f>
        <v>0</v>
      </c>
    </row>
    <row r="61" spans="1:67" ht="17.399999999999999" x14ac:dyDescent="0.3">
      <c r="A61" s="31" t="s">
        <v>104</v>
      </c>
      <c r="BJ61">
        <f t="shared" si="14"/>
        <v>101</v>
      </c>
      <c r="BK61" t="str">
        <f t="shared" si="15"/>
        <v>Dairy_heifer1_conv</v>
      </c>
      <c r="BL61" t="s">
        <v>127</v>
      </c>
      <c r="BM61">
        <f t="shared" si="24"/>
        <v>0</v>
      </c>
      <c r="BN61">
        <f>$AI$34</f>
        <v>0</v>
      </c>
      <c r="BO61" s="32">
        <f>AI$47</f>
        <v>0</v>
      </c>
    </row>
    <row r="62" spans="1:67" x14ac:dyDescent="0.3">
      <c r="A62" s="21" t="s">
        <v>280</v>
      </c>
      <c r="B62" s="10" t="s">
        <v>101</v>
      </c>
      <c r="C62" s="10" t="s">
        <v>102</v>
      </c>
      <c r="D62" s="10" t="s">
        <v>103</v>
      </c>
      <c r="BI62">
        <f t="shared" si="14"/>
        <v>101</v>
      </c>
      <c r="BJ62" t="str">
        <f t="shared" si="15"/>
        <v>Dairy_heifer1_conv</v>
      </c>
      <c r="BK62" t="s">
        <v>127</v>
      </c>
      <c r="BL62">
        <f t="shared" si="24"/>
        <v>0</v>
      </c>
      <c r="BM62">
        <f>$AJ$34</f>
        <v>0</v>
      </c>
      <c r="BN62" s="32">
        <f>AJ$47</f>
        <v>0</v>
      </c>
    </row>
    <row r="63" spans="1:67" x14ac:dyDescent="0.3">
      <c r="A63" s="18" t="s">
        <v>86</v>
      </c>
      <c r="B63" s="19"/>
      <c r="C63" s="11">
        <v>60</v>
      </c>
      <c r="D63" s="11">
        <v>2</v>
      </c>
      <c r="E63" t="s">
        <v>278</v>
      </c>
      <c r="F63" t="s">
        <v>370</v>
      </c>
      <c r="BI63">
        <f t="shared" ref="BI63:BJ91" si="25">$BM$32</f>
        <v>101</v>
      </c>
      <c r="BJ63" t="str">
        <f t="shared" ref="BJ63:BK91" si="26">$BM$33</f>
        <v>Dairy_heifer1_conv</v>
      </c>
      <c r="BK63" t="s">
        <v>127</v>
      </c>
      <c r="BL63">
        <f t="shared" ref="BL63:BM68" si="27">$B$48</f>
        <v>0</v>
      </c>
      <c r="BM63" s="64" t="str">
        <f>C48</f>
        <v>Kg</v>
      </c>
      <c r="BN63" s="32">
        <f>P48</f>
        <v>0</v>
      </c>
    </row>
    <row r="64" spans="1:67" x14ac:dyDescent="0.3">
      <c r="A64" s="18" t="s">
        <v>87</v>
      </c>
      <c r="B64" s="19"/>
      <c r="C64" s="11"/>
      <c r="D64" s="11"/>
      <c r="BI64">
        <f t="shared" si="25"/>
        <v>101</v>
      </c>
      <c r="BJ64" t="str">
        <f t="shared" si="26"/>
        <v>Dairy_heifer1_conv</v>
      </c>
      <c r="BK64" t="s">
        <v>127</v>
      </c>
      <c r="BL64">
        <f t="shared" si="27"/>
        <v>0</v>
      </c>
      <c r="BM64" t="str">
        <f>$AF$34</f>
        <v>Ensilage_majs_conv</v>
      </c>
      <c r="BN64" s="32" t="str">
        <f>AF$48</f>
        <v/>
      </c>
    </row>
    <row r="65" spans="1:67" x14ac:dyDescent="0.3">
      <c r="A65" s="156" t="s">
        <v>56</v>
      </c>
      <c r="B65" s="159">
        <f>SUM(B63:B64)</f>
        <v>0</v>
      </c>
      <c r="C65" s="159">
        <f>SUM(C63:C64)</f>
        <v>60</v>
      </c>
      <c r="D65" s="159">
        <f>SUM(D63:D64)</f>
        <v>2</v>
      </c>
      <c r="BJ65">
        <f t="shared" si="25"/>
        <v>101</v>
      </c>
      <c r="BK65" t="str">
        <f t="shared" si="26"/>
        <v>Dairy_heifer1_conv</v>
      </c>
      <c r="BL65" t="s">
        <v>127</v>
      </c>
      <c r="BM65">
        <f t="shared" si="27"/>
        <v>0</v>
      </c>
      <c r="BN65">
        <f>$AG$34</f>
        <v>0</v>
      </c>
      <c r="BO65" s="32">
        <f>AG$48</f>
        <v>0</v>
      </c>
    </row>
    <row r="66" spans="1:67" ht="17.399999999999999" x14ac:dyDescent="0.3">
      <c r="P66" s="31" t="s">
        <v>266</v>
      </c>
      <c r="Q66" s="31"/>
      <c r="BJ66">
        <f t="shared" si="25"/>
        <v>101</v>
      </c>
      <c r="BK66" t="str">
        <f t="shared" si="26"/>
        <v>Dairy_heifer1_conv</v>
      </c>
      <c r="BL66" t="s">
        <v>127</v>
      </c>
      <c r="BM66">
        <f t="shared" si="27"/>
        <v>0</v>
      </c>
      <c r="BN66" s="32">
        <f>$AH$34</f>
        <v>0</v>
      </c>
      <c r="BO66" s="32">
        <f>AH$48</f>
        <v>0</v>
      </c>
    </row>
    <row r="67" spans="1:67" x14ac:dyDescent="0.3">
      <c r="A67" s="21" t="s">
        <v>18</v>
      </c>
      <c r="B67" s="37" t="s">
        <v>69</v>
      </c>
      <c r="C67" s="17" t="s">
        <v>70</v>
      </c>
      <c r="D67" s="17" t="s">
        <v>74</v>
      </c>
      <c r="E67" s="17" t="s">
        <v>80</v>
      </c>
      <c r="F67" s="17" t="s">
        <v>227</v>
      </c>
      <c r="G67" t="s">
        <v>684</v>
      </c>
      <c r="I67" s="42"/>
      <c r="K67" s="17" t="s">
        <v>82</v>
      </c>
      <c r="L67" s="17" t="s">
        <v>17</v>
      </c>
      <c r="P67" s="17" t="str">
        <f>Other_tables!L4</f>
        <v>Transportmiddel</v>
      </c>
      <c r="Q67" s="54"/>
      <c r="R67" s="17" t="s">
        <v>119</v>
      </c>
      <c r="S67" s="17" t="s">
        <v>83</v>
      </c>
      <c r="T67" s="17" t="s">
        <v>97</v>
      </c>
      <c r="BJ67">
        <f t="shared" si="25"/>
        <v>101</v>
      </c>
      <c r="BK67" t="str">
        <f t="shared" si="26"/>
        <v>Dairy_heifer1_conv</v>
      </c>
      <c r="BL67" t="s">
        <v>127</v>
      </c>
      <c r="BM67">
        <f t="shared" si="27"/>
        <v>0</v>
      </c>
      <c r="BN67">
        <f>$AI$34</f>
        <v>0</v>
      </c>
      <c r="BO67" s="32">
        <f>AI$48</f>
        <v>0</v>
      </c>
    </row>
    <row r="68" spans="1:67" x14ac:dyDescent="0.3">
      <c r="A68" s="18" t="s">
        <v>44</v>
      </c>
      <c r="B68" s="38"/>
      <c r="C68" s="19"/>
      <c r="D68" s="11"/>
      <c r="E68" s="11"/>
      <c r="F68" s="5"/>
      <c r="K68" s="49">
        <f t="shared" ref="K68:K72" si="28">IF(B68="",0,((((VLOOKUP(B68,$B$12:$D$18,3,FALSE))/1000)*C68)/(VLOOKUP(B68,$B$12:$R$18,17,FALSE)/1000))*(F68/100))</f>
        <v>0</v>
      </c>
      <c r="L68" s="49">
        <f>IF(E68="Diesel",VLOOKUP(D68,Other_tables!$L$5:$O$13,2,FALSE)*K68,0)</f>
        <v>0</v>
      </c>
      <c r="P68" s="30" t="str">
        <f>Other_tables!L5</f>
        <v>Traktor</v>
      </c>
      <c r="Q68" s="44"/>
      <c r="R68" s="159">
        <f t="shared" ref="R68:R76" si="29">SUMPRODUCT(($D$68:$D$81=P68)*$L$68:$L$81)</f>
        <v>5.7637695890018867E-2</v>
      </c>
      <c r="S68" s="49">
        <f t="shared" ref="S68:S76" si="30">IF(P68="","0",SUMPRODUCT(($D$68:$D$81=P68)*$K$68:$K$81))</f>
        <v>0.28818847945009429</v>
      </c>
      <c r="T68" s="49">
        <f>IF(R68&gt;0,0,(S68*VLOOKUP(P68,Other_tables!$L$5:$O$13,2,FALSE))/1000)</f>
        <v>0</v>
      </c>
      <c r="U68" s="95"/>
      <c r="BJ68">
        <f t="shared" si="25"/>
        <v>101</v>
      </c>
      <c r="BK68" t="str">
        <f t="shared" si="26"/>
        <v>Dairy_heifer1_conv</v>
      </c>
      <c r="BL68" t="s">
        <v>127</v>
      </c>
      <c r="BM68">
        <f t="shared" si="27"/>
        <v>0</v>
      </c>
      <c r="BN68">
        <f>$AJ$34</f>
        <v>0</v>
      </c>
      <c r="BO68" s="32">
        <f>AJ$48</f>
        <v>0</v>
      </c>
    </row>
    <row r="69" spans="1:67" x14ac:dyDescent="0.3">
      <c r="A69" s="18" t="s">
        <v>45</v>
      </c>
      <c r="B69" s="38" t="s">
        <v>285</v>
      </c>
      <c r="C69" s="19">
        <v>168</v>
      </c>
      <c r="D69" s="11" t="s">
        <v>225</v>
      </c>
      <c r="E69" s="11" t="s">
        <v>81</v>
      </c>
      <c r="F69" s="5">
        <v>100</v>
      </c>
      <c r="G69" t="s">
        <v>230</v>
      </c>
      <c r="K69" s="49">
        <f t="shared" si="28"/>
        <v>55.975603179742279</v>
      </c>
      <c r="L69" s="49">
        <f>IF(E69="Diesel",VLOOKUP(D69,Other_tables!$L$5:$O$13,2,FALSE)*K69,0)</f>
        <v>0</v>
      </c>
      <c r="P69" s="30" t="str">
        <f>Other_tables!L6</f>
        <v>Lastbil &gt; 20 T</v>
      </c>
      <c r="Q69" s="44"/>
      <c r="R69" s="159">
        <f t="shared" si="29"/>
        <v>0</v>
      </c>
      <c r="S69" s="49">
        <f t="shared" si="30"/>
        <v>55.975603179742279</v>
      </c>
      <c r="T69" s="49">
        <f>IF(R69&gt;0,0,(S69*VLOOKUP(P69,Other_tables!$L$5:$O$13,2,FALSE))/1000)</f>
        <v>5.5975603179742288</v>
      </c>
      <c r="U69" s="95"/>
      <c r="BJ69">
        <f t="shared" si="25"/>
        <v>101</v>
      </c>
      <c r="BK69" t="str">
        <f t="shared" si="26"/>
        <v>Dairy_heifer1_conv</v>
      </c>
      <c r="BL69" t="s">
        <v>127</v>
      </c>
      <c r="BM69">
        <f t="shared" ref="BM69:BM74" si="31">$B$49</f>
        <v>0</v>
      </c>
      <c r="BN69" s="64" t="str">
        <f>C49</f>
        <v>Kg</v>
      </c>
      <c r="BO69" s="32">
        <f>P49</f>
        <v>0</v>
      </c>
    </row>
    <row r="70" spans="1:67" x14ac:dyDescent="0.3">
      <c r="A70" s="18" t="s">
        <v>46</v>
      </c>
      <c r="B70" s="38" t="s">
        <v>408</v>
      </c>
      <c r="C70" s="19">
        <v>133</v>
      </c>
      <c r="D70" s="11" t="s">
        <v>226</v>
      </c>
      <c r="E70" s="11" t="s">
        <v>81</v>
      </c>
      <c r="F70" s="5">
        <v>80</v>
      </c>
      <c r="G70" t="s">
        <v>683</v>
      </c>
      <c r="K70" s="49">
        <f t="shared" si="28"/>
        <v>5.6295561396738512</v>
      </c>
      <c r="L70" s="49">
        <f>IF(E70="Diesel",VLOOKUP(D70,Other_tables!$L$5:$O$13,2,FALSE)*K70,0)</f>
        <v>0</v>
      </c>
      <c r="P70" s="30" t="str">
        <f>Other_tables!L7</f>
        <v>Lastbil 10-20 T</v>
      </c>
      <c r="Q70" s="44"/>
      <c r="R70" s="159">
        <f t="shared" si="29"/>
        <v>0</v>
      </c>
      <c r="S70" s="49">
        <f t="shared" si="30"/>
        <v>5.6295561396738512</v>
      </c>
      <c r="T70" s="49">
        <f>IF(R70&gt;0,0,(S70*VLOOKUP(P70,Other_tables!$L$5:$O$13,2,FALSE))/1000)</f>
        <v>1.4299072594771582</v>
      </c>
      <c r="BJ70">
        <f t="shared" si="25"/>
        <v>101</v>
      </c>
      <c r="BK70" t="str">
        <f t="shared" si="26"/>
        <v>Dairy_heifer1_conv</v>
      </c>
      <c r="BL70" t="s">
        <v>127</v>
      </c>
      <c r="BM70">
        <f t="shared" si="31"/>
        <v>0</v>
      </c>
      <c r="BN70" t="str">
        <f>$AF$34</f>
        <v>Ensilage_majs_conv</v>
      </c>
      <c r="BO70" s="32" t="str">
        <f>AF$49</f>
        <v/>
      </c>
    </row>
    <row r="71" spans="1:67" x14ac:dyDescent="0.3">
      <c r="A71" s="18" t="s">
        <v>47</v>
      </c>
      <c r="B71" s="38" t="s">
        <v>408</v>
      </c>
      <c r="C71" s="19">
        <v>5</v>
      </c>
      <c r="D71" s="11" t="s">
        <v>229</v>
      </c>
      <c r="E71" s="11" t="s">
        <v>17</v>
      </c>
      <c r="F71" s="5">
        <v>20</v>
      </c>
      <c r="K71" s="49">
        <f t="shared" si="28"/>
        <v>5.2909362214979799E-2</v>
      </c>
      <c r="L71" s="49">
        <f>IF(E71="Diesel",VLOOKUP(D71,Other_tables!$L$5:$O$13,2,FALSE)*K71,0)</f>
        <v>1.058187244299596E-2</v>
      </c>
      <c r="P71" s="30" t="str">
        <f>Other_tables!L8</f>
        <v>Lastbil &lt; 10 T</v>
      </c>
      <c r="Q71" s="44"/>
      <c r="R71" s="159">
        <f t="shared" si="29"/>
        <v>0</v>
      </c>
      <c r="S71" s="49">
        <f t="shared" si="30"/>
        <v>0</v>
      </c>
      <c r="T71" s="49">
        <f>IF(R71&gt;0,0,(S71*VLOOKUP(P71,Other_tables!$L$5:$O$13,2,FALSE))/1000)</f>
        <v>0</v>
      </c>
      <c r="BJ71">
        <f t="shared" si="25"/>
        <v>101</v>
      </c>
      <c r="BK71" t="str">
        <f t="shared" si="26"/>
        <v>Dairy_heifer1_conv</v>
      </c>
      <c r="BL71" t="s">
        <v>127</v>
      </c>
      <c r="BM71">
        <f t="shared" si="31"/>
        <v>0</v>
      </c>
      <c r="BN71">
        <f>$AG$34</f>
        <v>0</v>
      </c>
      <c r="BO71" s="32">
        <f>AG$49</f>
        <v>0</v>
      </c>
    </row>
    <row r="72" spans="1:67" x14ac:dyDescent="0.3">
      <c r="A72" s="18" t="s">
        <v>67</v>
      </c>
      <c r="B72" s="38" t="s">
        <v>409</v>
      </c>
      <c r="C72" s="19">
        <v>5</v>
      </c>
      <c r="D72" s="11" t="s">
        <v>229</v>
      </c>
      <c r="E72" s="11" t="s">
        <v>17</v>
      </c>
      <c r="F72" s="5">
        <v>100</v>
      </c>
      <c r="K72" s="49">
        <f t="shared" si="28"/>
        <v>0.23527911723511452</v>
      </c>
      <c r="L72" s="49">
        <f>IF(E72="Diesel",VLOOKUP(D72,Other_tables!$L$5:$O$13,2,FALSE)*K72,0)</f>
        <v>4.7055823447022908E-2</v>
      </c>
      <c r="P72" s="30" t="str">
        <f>Other_tables!L9</f>
        <v>Fragttog Europa</v>
      </c>
      <c r="Q72" s="44"/>
      <c r="R72" s="159">
        <f t="shared" si="29"/>
        <v>0</v>
      </c>
      <c r="S72" s="49">
        <f t="shared" si="30"/>
        <v>0</v>
      </c>
      <c r="T72" s="49">
        <f>IF(R72&gt;0,0,(S72*VLOOKUP(P72,Other_tables!$L$5:$O$13,2,FALSE))/1000)</f>
        <v>0</v>
      </c>
      <c r="BJ72">
        <f t="shared" si="25"/>
        <v>101</v>
      </c>
      <c r="BK72" t="str">
        <f t="shared" si="26"/>
        <v>Dairy_heifer1_conv</v>
      </c>
      <c r="BL72" t="s">
        <v>127</v>
      </c>
      <c r="BM72">
        <f t="shared" si="31"/>
        <v>0</v>
      </c>
      <c r="BN72" s="32">
        <f>$AH$34</f>
        <v>0</v>
      </c>
      <c r="BO72" s="32">
        <f>AH$49</f>
        <v>0</v>
      </c>
    </row>
    <row r="73" spans="1:67" x14ac:dyDescent="0.3">
      <c r="A73" s="18" t="s">
        <v>68</v>
      </c>
      <c r="B73" s="38"/>
      <c r="C73" s="19"/>
      <c r="D73" s="11"/>
      <c r="E73" s="11"/>
      <c r="F73" s="5">
        <v>100</v>
      </c>
      <c r="K73" s="49">
        <f>IF(B73="",0,((((VLOOKUP(B73,$B$12:$D$18,3,FALSE))/1000)*C73)/(VLOOKUP(B73,$B$12:$R$18,17,FALSE)/1000))*(F73/100))</f>
        <v>0</v>
      </c>
      <c r="L73" s="49">
        <f>IF(E73="Diesel",VLOOKUP(D73,Other_tables!$L$5:$O$13,2,FALSE)*K73,0)</f>
        <v>0</v>
      </c>
      <c r="P73" s="30" t="str">
        <f>Other_tables!L10</f>
        <v>Skib Oversøisk</v>
      </c>
      <c r="Q73" s="44"/>
      <c r="R73" s="159">
        <f t="shared" si="29"/>
        <v>0</v>
      </c>
      <c r="S73" s="49">
        <f t="shared" si="30"/>
        <v>0</v>
      </c>
      <c r="T73" s="49">
        <f>IF(R73&gt;0,0,(S73*VLOOKUP(P73,Other_tables!$L$5:$O$13,2,FALSE))/1000)</f>
        <v>0</v>
      </c>
      <c r="BJ73">
        <f t="shared" si="25"/>
        <v>101</v>
      </c>
      <c r="BK73" t="str">
        <f t="shared" si="26"/>
        <v>Dairy_heifer1_conv</v>
      </c>
      <c r="BL73" t="s">
        <v>127</v>
      </c>
      <c r="BM73">
        <f t="shared" si="31"/>
        <v>0</v>
      </c>
      <c r="BN73">
        <f>$AI$34</f>
        <v>0</v>
      </c>
      <c r="BO73" s="32">
        <f>AI$49</f>
        <v>0</v>
      </c>
    </row>
    <row r="74" spans="1:67" x14ac:dyDescent="0.3">
      <c r="A74" s="18" t="s">
        <v>48</v>
      </c>
      <c r="B74" s="38"/>
      <c r="C74" s="19"/>
      <c r="D74" s="11"/>
      <c r="E74" s="11"/>
      <c r="F74" s="5">
        <v>100</v>
      </c>
      <c r="K74" s="49">
        <f t="shared" ref="K74:K81" si="32">IF(B74="",0,((((VLOOKUP(B74,$B$12:$D$18,3,FALSE))/1000)*C74)/(VLOOKUP(B74,$B$12:$R$18,17,FALSE)/1000))*(F74/100))</f>
        <v>0</v>
      </c>
      <c r="L74" s="49">
        <f>IF(E74="Diesel",VLOOKUP(D74,Other_tables!$L$5:$O$13,2,FALSE)*K74,0)</f>
        <v>0</v>
      </c>
      <c r="P74" s="30" t="str">
        <f>Other_tables!L11</f>
        <v>Skib Indlandsk</v>
      </c>
      <c r="Q74" s="44"/>
      <c r="R74" s="159">
        <f t="shared" si="29"/>
        <v>0</v>
      </c>
      <c r="S74" s="49">
        <f t="shared" si="30"/>
        <v>0</v>
      </c>
      <c r="T74" s="49">
        <f>IF(R74&gt;0,0,(S74*VLOOKUP(P74,Other_tables!$L$5:$O$13,2,FALSE))/1000)</f>
        <v>0</v>
      </c>
      <c r="BJ74">
        <f t="shared" si="25"/>
        <v>101</v>
      </c>
      <c r="BK74" t="str">
        <f t="shared" si="26"/>
        <v>Dairy_heifer1_conv</v>
      </c>
      <c r="BL74" t="s">
        <v>127</v>
      </c>
      <c r="BM74">
        <f t="shared" si="31"/>
        <v>0</v>
      </c>
      <c r="BN74">
        <f>$AJ$34</f>
        <v>0</v>
      </c>
      <c r="BO74" s="32">
        <f>AJ$49</f>
        <v>0</v>
      </c>
    </row>
    <row r="75" spans="1:67" x14ac:dyDescent="0.3">
      <c r="A75" s="18" t="s">
        <v>49</v>
      </c>
      <c r="B75" s="38"/>
      <c r="C75" s="19"/>
      <c r="D75" s="11"/>
      <c r="E75" s="11"/>
      <c r="F75" s="5">
        <v>100</v>
      </c>
      <c r="K75" s="49">
        <f t="shared" si="32"/>
        <v>0</v>
      </c>
      <c r="L75" s="49">
        <f>IF(E75="Diesel",VLOOKUP(D75,Other_tables!$L$5:$O$13,2,FALSE)*K75,0)</f>
        <v>0</v>
      </c>
      <c r="P75" s="30" t="str">
        <f>Other_tables!L12</f>
        <v>Skib Europa</v>
      </c>
      <c r="Q75" s="44"/>
      <c r="R75" s="159">
        <f t="shared" si="29"/>
        <v>0</v>
      </c>
      <c r="S75" s="49">
        <f t="shared" si="30"/>
        <v>0</v>
      </c>
      <c r="T75" s="49">
        <f>IF(R75&gt;0,0,(S75*VLOOKUP(P75,Other_tables!$L$5:$O$13,2,FALSE))/1000)</f>
        <v>0</v>
      </c>
      <c r="BJ75">
        <f t="shared" si="25"/>
        <v>101</v>
      </c>
      <c r="BK75" t="str">
        <f t="shared" si="26"/>
        <v>Dairy_heifer1_conv</v>
      </c>
      <c r="BL75" t="s">
        <v>127</v>
      </c>
      <c r="BM75" t="str">
        <f t="shared" ref="BM75:BM80" si="33">$B$50</f>
        <v>Loss</v>
      </c>
      <c r="BN75" t="str">
        <f>C50</f>
        <v>Kg</v>
      </c>
      <c r="BO75" s="64">
        <f>P50</f>
        <v>0</v>
      </c>
    </row>
    <row r="76" spans="1:67" x14ac:dyDescent="0.3">
      <c r="A76" s="18" t="s">
        <v>50</v>
      </c>
      <c r="B76" s="38"/>
      <c r="C76" s="19"/>
      <c r="D76" s="11"/>
      <c r="E76" s="11"/>
      <c r="F76" s="5">
        <v>100</v>
      </c>
      <c r="K76" s="49">
        <f t="shared" si="32"/>
        <v>0</v>
      </c>
      <c r="L76" s="49">
        <f>IF(E76="Diesel",VLOOKUP(D76,Other_tables!$L$5:$O$13,2,FALSE)*K76,0)</f>
        <v>0</v>
      </c>
      <c r="P76" s="30">
        <f>Other_tables!L13</f>
        <v>0</v>
      </c>
      <c r="Q76" s="44"/>
      <c r="R76" s="159">
        <f t="shared" si="29"/>
        <v>0</v>
      </c>
      <c r="S76" s="49">
        <f t="shared" si="30"/>
        <v>0</v>
      </c>
      <c r="T76" s="49">
        <f>IF(R76&gt;0,0,(S76*VLOOKUP(P76,Other_tables!$L$5:$O$13,2,FALSE))/1000)</f>
        <v>0</v>
      </c>
      <c r="BJ76">
        <f t="shared" si="25"/>
        <v>101</v>
      </c>
      <c r="BK76" t="str">
        <f t="shared" si="26"/>
        <v>Dairy_heifer1_conv</v>
      </c>
      <c r="BL76" t="s">
        <v>127</v>
      </c>
      <c r="BM76" t="str">
        <f t="shared" si="33"/>
        <v>Loss</v>
      </c>
      <c r="BN76" t="str">
        <f>$AF$34</f>
        <v>Ensilage_majs_conv</v>
      </c>
      <c r="BO76" s="32" t="str">
        <f>AF$50</f>
        <v/>
      </c>
    </row>
    <row r="77" spans="1:67" x14ac:dyDescent="0.3">
      <c r="A77" s="18" t="s">
        <v>75</v>
      </c>
      <c r="B77" s="38"/>
      <c r="C77" s="19"/>
      <c r="D77" s="11"/>
      <c r="E77" s="11"/>
      <c r="F77" s="5">
        <v>100</v>
      </c>
      <c r="K77" s="49">
        <f t="shared" si="32"/>
        <v>0</v>
      </c>
      <c r="L77" s="49">
        <f>IF(E77="Diesel",VLOOKUP(D77,Other_tables!$L$5:$O$13,2,FALSE)*K77,0)</f>
        <v>0</v>
      </c>
      <c r="P77" s="59" t="s">
        <v>56</v>
      </c>
      <c r="Q77" s="45"/>
      <c r="R77" s="58">
        <f>SUM(R68:R76)</f>
        <v>5.7637695890018867E-2</v>
      </c>
      <c r="S77" s="57"/>
      <c r="T77" s="58">
        <f>SUM(T68:T76)</f>
        <v>7.0274675774513868</v>
      </c>
      <c r="BJ77">
        <f t="shared" si="25"/>
        <v>101</v>
      </c>
      <c r="BK77" t="str">
        <f t="shared" si="26"/>
        <v>Dairy_heifer1_conv</v>
      </c>
      <c r="BL77" t="s">
        <v>127</v>
      </c>
      <c r="BM77" t="str">
        <f t="shared" si="33"/>
        <v>Loss</v>
      </c>
      <c r="BN77">
        <f>$AG$34</f>
        <v>0</v>
      </c>
      <c r="BO77" s="32">
        <f>AG$50</f>
        <v>0</v>
      </c>
    </row>
    <row r="78" spans="1:67" x14ac:dyDescent="0.3">
      <c r="A78" s="18" t="s">
        <v>76</v>
      </c>
      <c r="B78" s="38"/>
      <c r="C78" s="19"/>
      <c r="D78" s="11"/>
      <c r="E78" s="11"/>
      <c r="F78" s="5">
        <v>100</v>
      </c>
      <c r="K78" s="49">
        <f t="shared" si="32"/>
        <v>0</v>
      </c>
      <c r="L78" s="49">
        <f>IF(E78="Diesel",VLOOKUP(D78,Other_tables!$L$5:$O$13,2,FALSE)*K78,0)</f>
        <v>0</v>
      </c>
      <c r="BJ78">
        <f t="shared" si="25"/>
        <v>101</v>
      </c>
      <c r="BK78" t="str">
        <f t="shared" si="26"/>
        <v>Dairy_heifer1_conv</v>
      </c>
      <c r="BL78" t="s">
        <v>127</v>
      </c>
      <c r="BM78" t="str">
        <f t="shared" si="33"/>
        <v>Loss</v>
      </c>
      <c r="BN78">
        <f>$AH$34</f>
        <v>0</v>
      </c>
      <c r="BO78" s="32">
        <f>AH$50</f>
        <v>0</v>
      </c>
    </row>
    <row r="79" spans="1:67" x14ac:dyDescent="0.3">
      <c r="A79" s="18" t="s">
        <v>77</v>
      </c>
      <c r="B79" s="38"/>
      <c r="C79" s="19"/>
      <c r="D79" s="11"/>
      <c r="E79" s="11"/>
      <c r="F79" s="5">
        <v>100</v>
      </c>
      <c r="K79" s="49">
        <f t="shared" si="32"/>
        <v>0</v>
      </c>
      <c r="L79" s="49">
        <f>IF(E79="Diesel",VLOOKUP(D79,Other_tables!$L$5:$O$13,2,FALSE)*K79,0)</f>
        <v>0</v>
      </c>
      <c r="BJ79">
        <f t="shared" si="25"/>
        <v>101</v>
      </c>
      <c r="BK79" t="str">
        <f t="shared" si="26"/>
        <v>Dairy_heifer1_conv</v>
      </c>
      <c r="BL79" t="s">
        <v>127</v>
      </c>
      <c r="BM79" t="str">
        <f t="shared" si="33"/>
        <v>Loss</v>
      </c>
      <c r="BN79">
        <f>$AI$34</f>
        <v>0</v>
      </c>
      <c r="BO79" s="32">
        <f>AI$50</f>
        <v>0</v>
      </c>
    </row>
    <row r="80" spans="1:67" x14ac:dyDescent="0.3">
      <c r="A80" s="18" t="s">
        <v>78</v>
      </c>
      <c r="B80" s="38"/>
      <c r="C80" s="19"/>
      <c r="D80" s="11"/>
      <c r="E80" s="11"/>
      <c r="F80" s="5">
        <v>100</v>
      </c>
      <c r="K80" s="49">
        <f t="shared" si="32"/>
        <v>0</v>
      </c>
      <c r="L80" s="49">
        <f>IF(E80="Diesel",VLOOKUP(D80,Other_tables!$L$5:$O$13,2,FALSE)*K80,0)</f>
        <v>0</v>
      </c>
      <c r="BJ80">
        <f t="shared" si="25"/>
        <v>101</v>
      </c>
      <c r="BK80" t="str">
        <f t="shared" si="26"/>
        <v>Dairy_heifer1_conv</v>
      </c>
      <c r="BL80" t="s">
        <v>127</v>
      </c>
      <c r="BM80" t="str">
        <f t="shared" si="33"/>
        <v>Loss</v>
      </c>
      <c r="BN80">
        <f>$AJ$34</f>
        <v>0</v>
      </c>
      <c r="BO80" s="32">
        <f>AJ$50</f>
        <v>0</v>
      </c>
    </row>
    <row r="81" spans="1:67" x14ac:dyDescent="0.3">
      <c r="A81" s="18" t="s">
        <v>79</v>
      </c>
      <c r="B81" s="38"/>
      <c r="C81" s="19"/>
      <c r="D81" s="11"/>
      <c r="E81" s="11"/>
      <c r="F81" s="5">
        <v>100</v>
      </c>
      <c r="K81" s="49">
        <f t="shared" si="32"/>
        <v>0</v>
      </c>
      <c r="L81" s="49">
        <f>IF(E81="Diesel",VLOOKUP(D81,Other_tables!$L$5:$O$13,2,FALSE)*K81,0)</f>
        <v>0</v>
      </c>
      <c r="BJ81">
        <f t="shared" si="25"/>
        <v>101</v>
      </c>
      <c r="BK81" t="str">
        <f t="shared" si="26"/>
        <v>Dairy_heifer1_conv</v>
      </c>
      <c r="BL81" t="s">
        <v>118</v>
      </c>
      <c r="BM81" t="s">
        <v>118</v>
      </c>
      <c r="BN81">
        <f>I53</f>
        <v>0</v>
      </c>
      <c r="BO81" s="47">
        <f>I59</f>
        <v>0</v>
      </c>
    </row>
    <row r="82" spans="1:67" ht="17.399999999999999" x14ac:dyDescent="0.3">
      <c r="A82" s="25"/>
      <c r="B82" s="25"/>
      <c r="C82" s="24"/>
      <c r="D82" s="24"/>
      <c r="P82" s="31" t="s">
        <v>95</v>
      </c>
      <c r="Q82" s="55"/>
      <c r="BJ82">
        <f t="shared" si="25"/>
        <v>101</v>
      </c>
      <c r="BK82" t="str">
        <f t="shared" si="26"/>
        <v>Dairy_heifer1_conv</v>
      </c>
      <c r="BL82" t="s">
        <v>118</v>
      </c>
      <c r="BM82" t="s">
        <v>118</v>
      </c>
      <c r="BN82">
        <f>H53</f>
        <v>0</v>
      </c>
      <c r="BO82" s="47">
        <f>H59</f>
        <v>0</v>
      </c>
    </row>
    <row r="83" spans="1:67" x14ac:dyDescent="0.3">
      <c r="A83" s="43" t="s">
        <v>57</v>
      </c>
      <c r="B83" s="37" t="s">
        <v>69</v>
      </c>
      <c r="C83" s="10" t="s">
        <v>98</v>
      </c>
      <c r="D83" s="10" t="s">
        <v>16</v>
      </c>
      <c r="E83" s="10" t="s">
        <v>17</v>
      </c>
      <c r="F83" s="10" t="s">
        <v>228</v>
      </c>
      <c r="G83" s="174" t="s">
        <v>259</v>
      </c>
      <c r="P83" s="37" t="s">
        <v>85</v>
      </c>
      <c r="Q83" s="37"/>
      <c r="R83" s="37" t="s">
        <v>122</v>
      </c>
      <c r="S83" s="37" t="s">
        <v>119</v>
      </c>
      <c r="BJ83">
        <f t="shared" si="25"/>
        <v>101</v>
      </c>
      <c r="BK83" t="str">
        <f t="shared" si="26"/>
        <v>Dairy_heifer1_conv</v>
      </c>
      <c r="BL83" t="str">
        <f>$A$67</f>
        <v>Transport</v>
      </c>
      <c r="BM83" t="str">
        <f>BL83</f>
        <v>Transport</v>
      </c>
      <c r="BN83" t="str">
        <f>R67</f>
        <v>Diesel (L)</v>
      </c>
      <c r="BO83" s="47">
        <f>R77</f>
        <v>5.7637695890018867E-2</v>
      </c>
    </row>
    <row r="84" spans="1:67" x14ac:dyDescent="0.3">
      <c r="A84" s="18" t="s">
        <v>33</v>
      </c>
      <c r="B84" s="38" t="s">
        <v>408</v>
      </c>
      <c r="C84" s="19" t="s">
        <v>217</v>
      </c>
      <c r="D84" s="28">
        <f>IF(B84="","",VLOOKUP(C84,Other_tables!$S$5:$AA$22,7,FALSE))</f>
        <v>2.148148148148148E-2</v>
      </c>
      <c r="E84" s="28">
        <f>IF(B84="","",VLOOKUP(C84,Other_tables!$S$5:$AA$22,3,FALSE))</f>
        <v>2.839506172839506E-3</v>
      </c>
      <c r="F84" s="5">
        <v>100</v>
      </c>
      <c r="P84" s="30" t="str">
        <f t="shared" ref="P84:P92" si="34">B84</f>
        <v>Grain_conv</v>
      </c>
      <c r="Q84" s="44"/>
      <c r="R84" s="49">
        <f>IF(D84="",0,VLOOKUP(P84,$B$12:$D$18,3,FALSE)*D84)</f>
        <v>0.96666666666666656</v>
      </c>
      <c r="S84" s="49">
        <f>IF(E84="",0,VLOOKUP(P84,$B$12:$D$18,3,FALSE)*E84)</f>
        <v>0.12777777777777777</v>
      </c>
      <c r="BJ84">
        <f t="shared" si="25"/>
        <v>101</v>
      </c>
      <c r="BK84" t="str">
        <f t="shared" si="26"/>
        <v>Dairy_heifer1_conv</v>
      </c>
      <c r="BL84" t="str">
        <f>$A$67</f>
        <v>Transport</v>
      </c>
      <c r="BM84" t="str">
        <f>BL84</f>
        <v>Transport</v>
      </c>
      <c r="BN84" t="str">
        <f>T67</f>
        <v>kg CO₂eq for T/km</v>
      </c>
      <c r="BO84" s="47">
        <f>T77</f>
        <v>7.0274675774513868</v>
      </c>
    </row>
    <row r="85" spans="1:67" x14ac:dyDescent="0.3">
      <c r="A85" s="18" t="s">
        <v>34</v>
      </c>
      <c r="B85" s="38"/>
      <c r="C85" s="19"/>
      <c r="D85" s="28" t="str">
        <f>IF(B85="","",VLOOKUP(C85,Other_tables!$S$5:$AA$22,7,FALSE))</f>
        <v/>
      </c>
      <c r="E85" s="28" t="str">
        <f>IF(B85="","",VLOOKUP(C85,Other_tables!$S$5:$AA$22,3,FALSE))</f>
        <v/>
      </c>
      <c r="F85" s="5">
        <v>100</v>
      </c>
      <c r="P85" s="30">
        <f t="shared" si="34"/>
        <v>0</v>
      </c>
      <c r="Q85" s="44"/>
      <c r="R85" s="49">
        <f t="shared" ref="R85:R92" si="35">IF(D85="",0,VLOOKUP(P85,$B$12:$D$18,3,FALSE)*D85)</f>
        <v>0</v>
      </c>
      <c r="S85" s="49">
        <f t="shared" ref="S85:S92" si="36">IF(E85="",0,VLOOKUP(P85,$B$12:$D$18,3,FALSE)*E85)</f>
        <v>0</v>
      </c>
      <c r="BJ85">
        <f t="shared" si="25"/>
        <v>101</v>
      </c>
      <c r="BK85" t="str">
        <f t="shared" si="26"/>
        <v>Dairy_heifer1_conv</v>
      </c>
      <c r="BL85" t="s">
        <v>120</v>
      </c>
      <c r="BM85" t="s">
        <v>120</v>
      </c>
      <c r="BN85" t="str">
        <f>R83</f>
        <v>EL (KWh)</v>
      </c>
      <c r="BO85" s="47">
        <f>R93</f>
        <v>0.96666666666666656</v>
      </c>
    </row>
    <row r="86" spans="1:67" x14ac:dyDescent="0.3">
      <c r="A86" s="18" t="s">
        <v>35</v>
      </c>
      <c r="B86" s="38"/>
      <c r="C86" s="19"/>
      <c r="D86" s="28" t="str">
        <f>IF(B86="","",VLOOKUP(C86,Other_tables!$S$5:$AA$22,7,FALSE))</f>
        <v/>
      </c>
      <c r="E86" s="28" t="str">
        <f>IF(B86="","",VLOOKUP(C86,Other_tables!$S$5:$AA$22,3,FALSE))</f>
        <v/>
      </c>
      <c r="F86" s="5">
        <v>100</v>
      </c>
      <c r="P86" s="30">
        <f t="shared" si="34"/>
        <v>0</v>
      </c>
      <c r="Q86" s="44"/>
      <c r="R86" s="49">
        <f>IF(D86="",0,VLOOKUP(P86,$B$12:$D$18,3,FALSE)*D86)</f>
        <v>0</v>
      </c>
      <c r="S86" s="49">
        <f t="shared" si="36"/>
        <v>0</v>
      </c>
      <c r="BJ86">
        <f t="shared" si="25"/>
        <v>101</v>
      </c>
      <c r="BK86" t="str">
        <f t="shared" si="26"/>
        <v>Dairy_heifer1_conv</v>
      </c>
      <c r="BL86" t="s">
        <v>120</v>
      </c>
      <c r="BM86" t="s">
        <v>120</v>
      </c>
      <c r="BN86" t="str">
        <f>S83</f>
        <v>Diesel (L)</v>
      </c>
      <c r="BO86" s="47">
        <f>S93</f>
        <v>0.12777777777777777</v>
      </c>
    </row>
    <row r="87" spans="1:67" x14ac:dyDescent="0.3">
      <c r="A87" s="18" t="s">
        <v>36</v>
      </c>
      <c r="B87" s="38"/>
      <c r="C87" s="19"/>
      <c r="D87" s="28" t="str">
        <f>IF(B87="","",VLOOKUP(C87,Other_tables!$S$5:$AA$22,7,FALSE))</f>
        <v/>
      </c>
      <c r="E87" s="28" t="str">
        <f>IF(B87="","",VLOOKUP(C87,Other_tables!$S$5:$AA$22,3,FALSE))</f>
        <v/>
      </c>
      <c r="F87" s="5">
        <v>100</v>
      </c>
      <c r="P87" s="30">
        <f t="shared" si="34"/>
        <v>0</v>
      </c>
      <c r="Q87" s="44"/>
      <c r="R87" s="49">
        <f t="shared" si="35"/>
        <v>0</v>
      </c>
      <c r="S87" s="49">
        <f t="shared" si="36"/>
        <v>0</v>
      </c>
      <c r="BJ87">
        <f t="shared" si="25"/>
        <v>101</v>
      </c>
      <c r="BK87" t="str">
        <f t="shared" si="26"/>
        <v>Dairy_heifer1_conv</v>
      </c>
      <c r="BL87" t="s">
        <v>121</v>
      </c>
      <c r="BM87" t="s">
        <v>121</v>
      </c>
      <c r="BN87" t="str">
        <f>R96</f>
        <v>Heat (MJ)</v>
      </c>
      <c r="BO87" s="47">
        <f>R106</f>
        <v>0</v>
      </c>
    </row>
    <row r="88" spans="1:67" x14ac:dyDescent="0.3">
      <c r="A88" s="18" t="s">
        <v>37</v>
      </c>
      <c r="B88" s="38"/>
      <c r="C88" s="19"/>
      <c r="D88" s="28" t="str">
        <f>IF(B88="","",VLOOKUP(C88,Other_tables!$S$5:$AA$22,7,FALSE))</f>
        <v/>
      </c>
      <c r="E88" s="28" t="str">
        <f>IF(B88="","",VLOOKUP(C88,Other_tables!$S$5:$AA$22,3,FALSE))</f>
        <v/>
      </c>
      <c r="F88" s="5">
        <v>100</v>
      </c>
      <c r="P88" s="30">
        <f t="shared" si="34"/>
        <v>0</v>
      </c>
      <c r="Q88" s="44"/>
      <c r="R88" s="49">
        <f t="shared" si="35"/>
        <v>0</v>
      </c>
      <c r="S88" s="49">
        <f t="shared" si="36"/>
        <v>0</v>
      </c>
      <c r="BJ88">
        <f t="shared" si="25"/>
        <v>101</v>
      </c>
      <c r="BK88" t="str">
        <f t="shared" si="26"/>
        <v>Dairy_heifer1_conv</v>
      </c>
      <c r="BL88" t="s">
        <v>121</v>
      </c>
      <c r="BM88" t="s">
        <v>121</v>
      </c>
      <c r="BN88" t="str">
        <f>S96</f>
        <v>EL (KWh)</v>
      </c>
      <c r="BO88" s="47">
        <f>S106</f>
        <v>0</v>
      </c>
    </row>
    <row r="89" spans="1:67" x14ac:dyDescent="0.3">
      <c r="A89" s="18" t="s">
        <v>38</v>
      </c>
      <c r="B89" s="38"/>
      <c r="C89" s="19"/>
      <c r="D89" s="28" t="str">
        <f>IF(B89="","",VLOOKUP(C89,Other_tables!$S$5:$AA$22,7,FALSE))</f>
        <v/>
      </c>
      <c r="E89" s="28" t="str">
        <f>IF(B89="","",VLOOKUP(C89,Other_tables!$S$5:$AA$22,3,FALSE))</f>
        <v/>
      </c>
      <c r="F89" s="5">
        <v>100</v>
      </c>
      <c r="P89" s="30">
        <f t="shared" si="34"/>
        <v>0</v>
      </c>
      <c r="Q89" s="44"/>
      <c r="R89" s="49">
        <f t="shared" si="35"/>
        <v>0</v>
      </c>
      <c r="S89" s="49">
        <f t="shared" si="36"/>
        <v>0</v>
      </c>
      <c r="BJ89">
        <f t="shared" si="25"/>
        <v>101</v>
      </c>
      <c r="BK89" t="str">
        <f t="shared" si="26"/>
        <v>Dairy_heifer1_conv</v>
      </c>
      <c r="BL89" t="s">
        <v>121</v>
      </c>
      <c r="BM89" t="s">
        <v>121</v>
      </c>
      <c r="BN89" t="str">
        <f>T96</f>
        <v>Diesel (L)</v>
      </c>
      <c r="BO89" s="47">
        <f>T106</f>
        <v>0</v>
      </c>
    </row>
    <row r="90" spans="1:67" x14ac:dyDescent="0.3">
      <c r="A90" s="18" t="s">
        <v>39</v>
      </c>
      <c r="B90" s="38"/>
      <c r="C90" s="19"/>
      <c r="D90" s="28" t="str">
        <f>IF(B90="","",VLOOKUP(C90,Other_tables!$S$5:$AA$22,7,FALSE))</f>
        <v/>
      </c>
      <c r="E90" s="28" t="str">
        <f>IF(B90="","",VLOOKUP(C90,Other_tables!$S$5:$AA$22,3,FALSE))</f>
        <v/>
      </c>
      <c r="F90" s="5">
        <v>100</v>
      </c>
      <c r="P90" s="30">
        <f t="shared" si="34"/>
        <v>0</v>
      </c>
      <c r="Q90" s="44"/>
      <c r="R90" s="49">
        <f t="shared" si="35"/>
        <v>0</v>
      </c>
      <c r="S90" s="49">
        <f t="shared" si="36"/>
        <v>0</v>
      </c>
      <c r="BJ90">
        <f t="shared" si="25"/>
        <v>101</v>
      </c>
      <c r="BK90" t="str">
        <f t="shared" si="26"/>
        <v>Dairy_heifer1_conv</v>
      </c>
      <c r="BL90" t="s">
        <v>125</v>
      </c>
      <c r="BM90" t="s">
        <v>125</v>
      </c>
      <c r="BN90" t="str">
        <f>D108</f>
        <v>EL (KWh)</v>
      </c>
      <c r="BO90">
        <f>D118</f>
        <v>0</v>
      </c>
    </row>
    <row r="91" spans="1:67" x14ac:dyDescent="0.3">
      <c r="A91" s="18" t="s">
        <v>40</v>
      </c>
      <c r="B91" s="38"/>
      <c r="C91" s="19"/>
      <c r="D91" s="28" t="str">
        <f>IF(B91="","",VLOOKUP(C91,Other_tables!$S$5:$AA$22,7,FALSE))</f>
        <v/>
      </c>
      <c r="E91" s="28" t="str">
        <f>IF(B91="","",VLOOKUP(C91,Other_tables!$S$5:$AA$22,3,FALSE))</f>
        <v/>
      </c>
      <c r="F91" s="5">
        <v>100</v>
      </c>
      <c r="P91" s="30">
        <f t="shared" si="34"/>
        <v>0</v>
      </c>
      <c r="Q91" s="44"/>
      <c r="R91" s="49">
        <f t="shared" si="35"/>
        <v>0</v>
      </c>
      <c r="S91" s="49">
        <f t="shared" si="36"/>
        <v>0</v>
      </c>
      <c r="BJ91">
        <f t="shared" si="25"/>
        <v>101</v>
      </c>
      <c r="BK91" t="str">
        <f t="shared" si="26"/>
        <v>Dairy_heifer1_conv</v>
      </c>
      <c r="BL91" t="s">
        <v>125</v>
      </c>
      <c r="BM91" t="s">
        <v>125</v>
      </c>
      <c r="BN91" t="str">
        <f>T96</f>
        <v>Diesel (L)</v>
      </c>
      <c r="BO91">
        <f>E118</f>
        <v>0.14215564263345618</v>
      </c>
    </row>
    <row r="92" spans="1:67" x14ac:dyDescent="0.3">
      <c r="A92" s="18" t="s">
        <v>41</v>
      </c>
      <c r="B92" s="38"/>
      <c r="C92" s="19"/>
      <c r="D92" s="28" t="str">
        <f>IF(B92="","",VLOOKUP(C92,Other_tables!$S$5:$AA$22,7,FALSE))</f>
        <v/>
      </c>
      <c r="E92" s="28" t="str">
        <f>IF(B92="","",VLOOKUP(C92,Other_tables!$S$5:$AA$22,3,FALSE))</f>
        <v/>
      </c>
      <c r="F92" s="5">
        <v>100</v>
      </c>
      <c r="P92" s="30">
        <f t="shared" si="34"/>
        <v>0</v>
      </c>
      <c r="Q92" s="44"/>
      <c r="R92" s="49">
        <f t="shared" si="35"/>
        <v>0</v>
      </c>
      <c r="S92" s="49">
        <f t="shared" si="36"/>
        <v>0</v>
      </c>
    </row>
    <row r="93" spans="1:67" x14ac:dyDescent="0.3">
      <c r="P93" s="59" t="s">
        <v>56</v>
      </c>
      <c r="Q93" s="45"/>
      <c r="R93" s="58">
        <f>SUM(R84:R92)</f>
        <v>0.96666666666666656</v>
      </c>
      <c r="S93" s="58">
        <f>SUM(S84:S92)</f>
        <v>0.12777777777777777</v>
      </c>
    </row>
    <row r="94" spans="1:67" x14ac:dyDescent="0.3">
      <c r="P94" s="29"/>
      <c r="Q94" s="29"/>
      <c r="R94" s="46"/>
      <c r="S94" s="46"/>
      <c r="T94" s="46"/>
    </row>
    <row r="95" spans="1:67" ht="17.399999999999999" x14ac:dyDescent="0.3">
      <c r="P95" s="31" t="s">
        <v>96</v>
      </c>
      <c r="Q95" s="31"/>
      <c r="R95" s="79" t="s">
        <v>124</v>
      </c>
    </row>
    <row r="96" spans="1:67" x14ac:dyDescent="0.3">
      <c r="A96" s="21" t="s">
        <v>84</v>
      </c>
      <c r="B96" s="37" t="s">
        <v>69</v>
      </c>
      <c r="C96" s="10" t="s">
        <v>101</v>
      </c>
      <c r="D96" s="10" t="s">
        <v>102</v>
      </c>
      <c r="E96" s="10" t="s">
        <v>103</v>
      </c>
      <c r="P96" s="37" t="s">
        <v>85</v>
      </c>
      <c r="Q96" s="37"/>
      <c r="R96" s="37" t="s">
        <v>123</v>
      </c>
      <c r="S96" s="37" t="s">
        <v>122</v>
      </c>
      <c r="T96" s="37" t="s">
        <v>119</v>
      </c>
    </row>
    <row r="97" spans="1:20" x14ac:dyDescent="0.3">
      <c r="A97" s="18" t="s">
        <v>86</v>
      </c>
      <c r="B97" s="38"/>
      <c r="C97" s="19"/>
      <c r="D97" s="11"/>
      <c r="E97" s="11"/>
      <c r="P97" s="30">
        <f t="shared" ref="P97:P105" si="37">B97</f>
        <v>0</v>
      </c>
      <c r="Q97" s="56"/>
      <c r="R97" s="49">
        <f t="shared" ref="R97:R105" si="38">IF(C97="",0,VLOOKUP(P97,$B$24:$D$30,3,FALSE)*C97)</f>
        <v>0</v>
      </c>
      <c r="S97" s="49">
        <f t="shared" ref="S97:S105" si="39">IF(D97="",0,VLOOKUP(P97,$B$24:$D$30,3,FALSE)*D97)</f>
        <v>0</v>
      </c>
      <c r="T97" s="49">
        <f t="shared" ref="T97:T105" si="40">IF(E97="",0,VLOOKUP(P97,$B$24:$D$30,3,FALSE)*E97)</f>
        <v>0</v>
      </c>
    </row>
    <row r="98" spans="1:20" x14ac:dyDescent="0.3">
      <c r="A98" s="18" t="s">
        <v>87</v>
      </c>
      <c r="B98" s="38"/>
      <c r="C98" s="19"/>
      <c r="D98" s="11"/>
      <c r="E98" s="11"/>
      <c r="P98" s="30">
        <f t="shared" si="37"/>
        <v>0</v>
      </c>
      <c r="Q98" s="44"/>
      <c r="R98" s="49">
        <f t="shared" si="38"/>
        <v>0</v>
      </c>
      <c r="S98" s="49">
        <f t="shared" si="39"/>
        <v>0</v>
      </c>
      <c r="T98" s="49">
        <f t="shared" si="40"/>
        <v>0</v>
      </c>
    </row>
    <row r="99" spans="1:20" x14ac:dyDescent="0.3">
      <c r="A99" s="18" t="s">
        <v>88</v>
      </c>
      <c r="B99" s="38"/>
      <c r="C99" s="19"/>
      <c r="D99" s="11"/>
      <c r="E99" s="11"/>
      <c r="P99" s="30">
        <f t="shared" si="37"/>
        <v>0</v>
      </c>
      <c r="Q99" s="44"/>
      <c r="R99" s="49">
        <f t="shared" si="38"/>
        <v>0</v>
      </c>
      <c r="S99" s="49">
        <f t="shared" si="39"/>
        <v>0</v>
      </c>
      <c r="T99" s="49">
        <f t="shared" si="40"/>
        <v>0</v>
      </c>
    </row>
    <row r="100" spans="1:20" x14ac:dyDescent="0.3">
      <c r="A100" s="18" t="s">
        <v>89</v>
      </c>
      <c r="B100" s="38"/>
      <c r="C100" s="19"/>
      <c r="D100" s="11"/>
      <c r="E100" s="11"/>
      <c r="P100" s="30">
        <f t="shared" si="37"/>
        <v>0</v>
      </c>
      <c r="Q100" s="44"/>
      <c r="R100" s="49">
        <f t="shared" si="38"/>
        <v>0</v>
      </c>
      <c r="S100" s="49">
        <f t="shared" si="39"/>
        <v>0</v>
      </c>
      <c r="T100" s="49">
        <f t="shared" si="40"/>
        <v>0</v>
      </c>
    </row>
    <row r="101" spans="1:20" x14ac:dyDescent="0.3">
      <c r="A101" s="18" t="s">
        <v>90</v>
      </c>
      <c r="B101" s="38"/>
      <c r="C101" s="19"/>
      <c r="D101" s="11"/>
      <c r="E101" s="11"/>
      <c r="P101" s="30">
        <f t="shared" si="37"/>
        <v>0</v>
      </c>
      <c r="Q101" s="44"/>
      <c r="R101" s="49">
        <f t="shared" si="38"/>
        <v>0</v>
      </c>
      <c r="S101" s="49">
        <f t="shared" si="39"/>
        <v>0</v>
      </c>
      <c r="T101" s="49">
        <f t="shared" si="40"/>
        <v>0</v>
      </c>
    </row>
    <row r="102" spans="1:20" x14ac:dyDescent="0.3">
      <c r="A102" s="18" t="s">
        <v>91</v>
      </c>
      <c r="B102" s="38"/>
      <c r="C102" s="19"/>
      <c r="D102" s="11"/>
      <c r="E102" s="11"/>
      <c r="P102" s="30">
        <f t="shared" si="37"/>
        <v>0</v>
      </c>
      <c r="Q102" s="44"/>
      <c r="R102" s="49">
        <f t="shared" si="38"/>
        <v>0</v>
      </c>
      <c r="S102" s="49">
        <f t="shared" si="39"/>
        <v>0</v>
      </c>
      <c r="T102" s="49">
        <f t="shared" si="40"/>
        <v>0</v>
      </c>
    </row>
    <row r="103" spans="1:20" x14ac:dyDescent="0.3">
      <c r="A103" s="18" t="s">
        <v>92</v>
      </c>
      <c r="B103" s="38"/>
      <c r="C103" s="19"/>
      <c r="D103" s="11"/>
      <c r="E103" s="11"/>
      <c r="P103" s="30">
        <f t="shared" si="37"/>
        <v>0</v>
      </c>
      <c r="Q103" s="44"/>
      <c r="R103" s="49">
        <f t="shared" si="38"/>
        <v>0</v>
      </c>
      <c r="S103" s="49">
        <f t="shared" si="39"/>
        <v>0</v>
      </c>
      <c r="T103" s="49">
        <f t="shared" si="40"/>
        <v>0</v>
      </c>
    </row>
    <row r="104" spans="1:20" x14ac:dyDescent="0.3">
      <c r="A104" s="18" t="s">
        <v>93</v>
      </c>
      <c r="B104" s="38"/>
      <c r="C104" s="19"/>
      <c r="D104" s="11"/>
      <c r="E104" s="11"/>
      <c r="P104" s="30">
        <f t="shared" si="37"/>
        <v>0</v>
      </c>
      <c r="Q104" s="44"/>
      <c r="R104" s="49">
        <f t="shared" si="38"/>
        <v>0</v>
      </c>
      <c r="S104" s="49">
        <f t="shared" si="39"/>
        <v>0</v>
      </c>
      <c r="T104" s="49">
        <f t="shared" si="40"/>
        <v>0</v>
      </c>
    </row>
    <row r="105" spans="1:20" x14ac:dyDescent="0.3">
      <c r="A105" s="18" t="s">
        <v>94</v>
      </c>
      <c r="B105" s="38"/>
      <c r="C105" s="19"/>
      <c r="D105" s="11"/>
      <c r="E105" s="11"/>
      <c r="P105" s="30">
        <f t="shared" si="37"/>
        <v>0</v>
      </c>
      <c r="Q105" s="44"/>
      <c r="R105" s="49">
        <f t="shared" si="38"/>
        <v>0</v>
      </c>
      <c r="S105" s="49">
        <f t="shared" si="39"/>
        <v>0</v>
      </c>
      <c r="T105" s="49">
        <f t="shared" si="40"/>
        <v>0</v>
      </c>
    </row>
    <row r="106" spans="1:20" x14ac:dyDescent="0.3">
      <c r="A106" s="25"/>
      <c r="B106" s="156" t="s">
        <v>56</v>
      </c>
      <c r="C106" s="159">
        <f>SUM(C97:C105)</f>
        <v>0</v>
      </c>
      <c r="D106" s="159">
        <f>SUM(D97:D105)</f>
        <v>0</v>
      </c>
      <c r="E106" s="159">
        <f>SUM(E97:E105)</f>
        <v>0</v>
      </c>
      <c r="P106" s="59" t="s">
        <v>56</v>
      </c>
      <c r="Q106" s="45"/>
      <c r="R106" s="58">
        <f>SUM(R97:R105)</f>
        <v>0</v>
      </c>
      <c r="S106" s="58">
        <f>SUM(S97:S105)</f>
        <v>0</v>
      </c>
      <c r="T106" s="58">
        <f>SUM(T97:T105)</f>
        <v>0</v>
      </c>
    </row>
    <row r="108" spans="1:20" x14ac:dyDescent="0.3">
      <c r="A108" s="21" t="s">
        <v>99</v>
      </c>
      <c r="B108" s="37" t="s">
        <v>69</v>
      </c>
      <c r="C108" s="10" t="s">
        <v>100</v>
      </c>
      <c r="D108" s="10" t="s">
        <v>122</v>
      </c>
      <c r="E108" s="10" t="s">
        <v>119</v>
      </c>
      <c r="F108" s="175"/>
    </row>
    <row r="109" spans="1:20" x14ac:dyDescent="0.3">
      <c r="A109" s="18" t="s">
        <v>86</v>
      </c>
      <c r="B109" s="38" t="s">
        <v>409</v>
      </c>
      <c r="C109" s="19" t="s">
        <v>169</v>
      </c>
      <c r="D109" s="11"/>
      <c r="E109" s="206">
        <f>IF(C109="","",IF(VLOOKUP(C109,'Diesel consumption for field op'!$B$4:$E$78,3,FALSE)="L / ton",((VLOOKUP(C109,'Diesel consumption for field op'!$B$4:$E$78,2,FALSE)*1.007)*(VLOOKUP(B109,$B$12:$D$30,3,FALSE)/1000)/(VLOOKUP(B109,$B$12:$R$30,17,FALSE)/1000)),0))</f>
        <v>2.3692607105576028E-2</v>
      </c>
    </row>
    <row r="110" spans="1:20" x14ac:dyDescent="0.3">
      <c r="A110" s="18" t="s">
        <v>87</v>
      </c>
      <c r="B110" s="38" t="s">
        <v>409</v>
      </c>
      <c r="C110" s="19" t="s">
        <v>219</v>
      </c>
      <c r="D110" s="11"/>
      <c r="E110" s="206">
        <f>IF(C110="","",IF(VLOOKUP(C110,'Diesel consumption for field op'!$B$4:$E$78,3,FALSE)="L / ton",((VLOOKUP(C110,'Diesel consumption for field op'!$B$4:$E$78,2,FALSE)*1.007)*(VLOOKUP(B110,$B$12:$D$30,3,FALSE)/1000)/(VLOOKUP(B110,$B$12:$R$30,17,FALSE)/1000)),0))</f>
        <v>9.4770428422304112E-2</v>
      </c>
    </row>
    <row r="111" spans="1:20" x14ac:dyDescent="0.3">
      <c r="A111" s="18" t="s">
        <v>88</v>
      </c>
      <c r="B111" s="38" t="s">
        <v>409</v>
      </c>
      <c r="C111" s="19" t="s">
        <v>173</v>
      </c>
      <c r="D111" s="11"/>
      <c r="E111" s="206">
        <f>IF(C111="","",IF(VLOOKUP(C111,'Diesel consumption for field op'!$B$4:$E$78,3,FALSE)="L / ton",((VLOOKUP(C111,'Diesel consumption for field op'!$B$4:$E$78,2,FALSE)*1.007)*(VLOOKUP(B111,$B$12:$D$30,3,FALSE)/1000)/(VLOOKUP(B111,$B$12:$R$30,17,FALSE)/1000)),0))</f>
        <v>2.3692607105576028E-2</v>
      </c>
    </row>
    <row r="112" spans="1:20" x14ac:dyDescent="0.3">
      <c r="A112" s="18" t="s">
        <v>89</v>
      </c>
      <c r="B112" s="38"/>
      <c r="C112" s="19"/>
      <c r="D112" s="11"/>
      <c r="E112" s="206" t="str">
        <f>IF(C112="","",IF(VLOOKUP(C112,'Diesel consumption for field op'!$B$4:$E$78,3,FALSE)="L / ton",((VLOOKUP(C112,'Diesel consumption for field op'!$B$4:$E$78,2,FALSE)*1.007)*(VLOOKUP(B112,$B$12:$D$30,3,FALSE)/1000)/(VLOOKUP(B112,$B$12:$R$30,17,FALSE)/1000)),0))</f>
        <v/>
      </c>
    </row>
    <row r="113" spans="1:13" x14ac:dyDescent="0.3">
      <c r="A113" s="18" t="s">
        <v>90</v>
      </c>
      <c r="B113" s="38"/>
      <c r="C113" s="19"/>
      <c r="D113" s="11"/>
      <c r="E113" s="206" t="str">
        <f>IF(C113="","",IF(VLOOKUP(C113,'Diesel consumption for field op'!$B$4:$E$78,3,FALSE)="L / ton",((VLOOKUP(C113,'Diesel consumption for field op'!$B$4:$E$78,2,FALSE)*1.007)*(VLOOKUP(B113,$B$12:$D$30,3,FALSE)/1000)/(VLOOKUP(B113,$B$12:$R$30,17,FALSE)/1000)),0))</f>
        <v/>
      </c>
    </row>
    <row r="114" spans="1:13" x14ac:dyDescent="0.3">
      <c r="A114" s="18" t="s">
        <v>91</v>
      </c>
      <c r="B114" s="38"/>
      <c r="C114" s="19"/>
      <c r="D114" s="11"/>
      <c r="E114" s="206" t="str">
        <f>IF(C114="","",IF(VLOOKUP(C114,'Diesel consumption for field op'!$B$4:$E$78,3,FALSE)="L / ton",((VLOOKUP(C114,'Diesel consumption for field op'!$B$4:$E$78,2,FALSE)*1.007)*(VLOOKUP(B114,$B$12:$D$30,3,FALSE)/1000)/(VLOOKUP(B114,$B$12:$R$30,17,FALSE)/1000)),0))</f>
        <v/>
      </c>
    </row>
    <row r="115" spans="1:13" x14ac:dyDescent="0.3">
      <c r="A115" s="18" t="s">
        <v>92</v>
      </c>
      <c r="B115" s="38"/>
      <c r="C115" s="19"/>
      <c r="D115" s="11"/>
      <c r="E115" s="206" t="str">
        <f>IF(C115="","",IF(VLOOKUP(C115,'Diesel consumption for field op'!$B$4:$E$78,3,FALSE)="L / ton",((VLOOKUP(C115,'Diesel consumption for field op'!$B$4:$E$78,2,FALSE)*1.007)*(VLOOKUP(B115,$B$12:$D$30,3,FALSE)/1000)/(VLOOKUP(B115,$B$12:$R$30,17,FALSE)/1000)),0))</f>
        <v/>
      </c>
    </row>
    <row r="116" spans="1:13" x14ac:dyDescent="0.3">
      <c r="A116" s="18" t="s">
        <v>93</v>
      </c>
      <c r="B116" s="38"/>
      <c r="C116" s="19"/>
      <c r="D116" s="11"/>
      <c r="E116" s="206" t="str">
        <f>IF(C116="","",IF(VLOOKUP(C116,'Diesel consumption for field op'!$B$4:$E$78,3,FALSE)="L / ton",((VLOOKUP(C116,'Diesel consumption for field op'!$B$4:$E$78,2,FALSE)*1.007)*(VLOOKUP(B116,$B$12:$D$30,3,FALSE)/1000)/(VLOOKUP(B116,$B$12:$R$30,17,FALSE)/1000)),0))</f>
        <v/>
      </c>
    </row>
    <row r="117" spans="1:13" x14ac:dyDescent="0.3">
      <c r="A117" s="18" t="s">
        <v>94</v>
      </c>
      <c r="B117" s="38"/>
      <c r="C117" s="19"/>
      <c r="D117" s="11"/>
      <c r="E117" s="206" t="str">
        <f>IF(C117="","",IF(VLOOKUP(C117,'Diesel consumption for field op'!$B$4:$E$78,3,FALSE)="L / ton",((VLOOKUP(C117,'Diesel consumption for field op'!$B$4:$E$78,2,FALSE)*1.007)*(VLOOKUP(B117,$B$12:$D$30,3,FALSE)/1000)/(VLOOKUP(B117,$B$12:$R$30,17,FALSE)/1000)),0))</f>
        <v/>
      </c>
    </row>
    <row r="118" spans="1:13" x14ac:dyDescent="0.3">
      <c r="A118" s="18" t="s">
        <v>56</v>
      </c>
      <c r="C118" s="156" t="s">
        <v>56</v>
      </c>
      <c r="D118" s="28">
        <f>SUM(D109:D117)</f>
        <v>0</v>
      </c>
      <c r="E118" s="67">
        <f>SUM(E109:E117)</f>
        <v>0.14215564263345618</v>
      </c>
    </row>
    <row r="120" spans="1:13" x14ac:dyDescent="0.3">
      <c r="F120" s="172" t="s">
        <v>252</v>
      </c>
      <c r="G120" s="172"/>
      <c r="H120" s="172"/>
    </row>
    <row r="121" spans="1:13" x14ac:dyDescent="0.3">
      <c r="A121" s="157" t="s">
        <v>221</v>
      </c>
      <c r="B121" s="157"/>
      <c r="C121" s="10" t="s">
        <v>231</v>
      </c>
      <c r="D121" s="79" t="s">
        <v>250</v>
      </c>
      <c r="E121" s="171" t="s">
        <v>419</v>
      </c>
      <c r="F121" s="79" t="s">
        <v>253</v>
      </c>
      <c r="G121" s="79" t="s">
        <v>291</v>
      </c>
      <c r="H121" s="79"/>
      <c r="M121" s="79" t="s">
        <v>256</v>
      </c>
    </row>
    <row r="122" spans="1:13" x14ac:dyDescent="0.3">
      <c r="A122" s="158" t="s">
        <v>491</v>
      </c>
      <c r="B122" s="158"/>
      <c r="C122" s="248">
        <v>1.4249577874760933</v>
      </c>
      <c r="D122" s="6" t="s">
        <v>409</v>
      </c>
      <c r="E122" s="252">
        <v>181.03087500000001</v>
      </c>
      <c r="F122" s="164">
        <f>VLOOKUP(A122,'Stable systems'!$A$4:$AK$105,35,FALSE)</f>
        <v>0</v>
      </c>
      <c r="G122" s="164">
        <f>VLOOKUP(A122,'Stable systems'!$A$4:$AK$105,36,FALSE)</f>
        <v>0</v>
      </c>
      <c r="H122" s="164">
        <f>VLOOKUP(A122,'Stable systems'!$A$4:$AK$105,37,FALSE)</f>
        <v>0</v>
      </c>
      <c r="M122" s="173">
        <f>(C122/100)*E122</f>
        <v>2.5796135510486122</v>
      </c>
    </row>
    <row r="123" spans="1:13" x14ac:dyDescent="0.3">
      <c r="A123" s="158" t="s">
        <v>492</v>
      </c>
      <c r="B123" s="158"/>
      <c r="C123" s="248">
        <v>0.80763816930857169</v>
      </c>
      <c r="D123" s="6" t="s">
        <v>409</v>
      </c>
      <c r="E123" s="252">
        <v>181.03087500000001</v>
      </c>
      <c r="F123" s="164">
        <f>VLOOKUP(A123,'Stable systems'!$A$4:$AK$105,35,FALSE)</f>
        <v>0</v>
      </c>
      <c r="G123" s="164">
        <f>VLOOKUP(A123,'Stable systems'!$A$4:$AK$105,36,FALSE)</f>
        <v>0</v>
      </c>
      <c r="H123" s="164">
        <f>VLOOKUP(A123,'Stable systems'!$A$4:$AK$105,37,FALSE)</f>
        <v>0</v>
      </c>
      <c r="M123" s="173">
        <f t="shared" ref="M123:M131" si="41">(C123/100)*E123</f>
        <v>1.4620744447332887</v>
      </c>
    </row>
    <row r="124" spans="1:13" x14ac:dyDescent="0.3">
      <c r="A124" s="158" t="s">
        <v>493</v>
      </c>
      <c r="B124" s="158"/>
      <c r="C124" s="248">
        <v>6.7176166061121441</v>
      </c>
      <c r="D124" s="6" t="s">
        <v>409</v>
      </c>
      <c r="E124" s="252">
        <v>72.412350000000004</v>
      </c>
      <c r="F124" s="164">
        <f>VLOOKUP(A124,'Stable systems'!$A$4:$AK$105,35,FALSE)</f>
        <v>0</v>
      </c>
      <c r="G124" s="164">
        <f>VLOOKUP(A124,'Stable systems'!$A$4:$AK$105,36,FALSE)</f>
        <v>0</v>
      </c>
      <c r="H124" s="164">
        <f>VLOOKUP(A124,'Stable systems'!$A$4:$AK$105,37,FALSE)</f>
        <v>0</v>
      </c>
      <c r="M124" s="173">
        <f t="shared" si="41"/>
        <v>4.8643840484760474</v>
      </c>
    </row>
    <row r="125" spans="1:13" x14ac:dyDescent="0.3">
      <c r="A125" s="158" t="s">
        <v>494</v>
      </c>
      <c r="B125" s="158"/>
      <c r="C125" s="248">
        <v>8.2156189592818674</v>
      </c>
      <c r="D125" s="6" t="s">
        <v>409</v>
      </c>
      <c r="E125" s="252">
        <v>72.412350000000004</v>
      </c>
      <c r="F125" s="164">
        <f>VLOOKUP(A125,'Stable systems'!$A$4:$AK$105,35,FALSE)</f>
        <v>0</v>
      </c>
      <c r="G125" s="164">
        <f>VLOOKUP(A125,'Stable systems'!$A$4:$AK$105,36,FALSE)</f>
        <v>0</v>
      </c>
      <c r="H125" s="164">
        <f>VLOOKUP(A125,'Stable systems'!$A$4:$AK$105,37,FALSE)</f>
        <v>0</v>
      </c>
      <c r="M125" s="173">
        <f t="shared" si="41"/>
        <v>5.949122755461544</v>
      </c>
    </row>
    <row r="126" spans="1:13" x14ac:dyDescent="0.3">
      <c r="A126" s="158" t="s">
        <v>495</v>
      </c>
      <c r="B126" s="158"/>
      <c r="C126" s="248">
        <v>22.84962329882805</v>
      </c>
      <c r="D126" s="6" t="s">
        <v>409</v>
      </c>
      <c r="E126" s="252">
        <v>72.412350000000004</v>
      </c>
      <c r="F126" s="164">
        <f>VLOOKUP(A126,'Stable systems'!$A$4:$AK$105,35,FALSE)</f>
        <v>0</v>
      </c>
      <c r="G126" s="164">
        <f>VLOOKUP(A126,'Stable systems'!$A$4:$AK$105,36,FALSE)</f>
        <v>0</v>
      </c>
      <c r="H126" s="164">
        <f>VLOOKUP(A126,'Stable systems'!$A$4:$AK$105,37,FALSE)</f>
        <v>0</v>
      </c>
      <c r="M126" s="173">
        <f t="shared" si="41"/>
        <v>16.545949196828914</v>
      </c>
    </row>
    <row r="127" spans="1:13" x14ac:dyDescent="0.3">
      <c r="A127" s="158" t="s">
        <v>497</v>
      </c>
      <c r="B127" s="158"/>
      <c r="C127" s="248">
        <v>36.963160782165772</v>
      </c>
      <c r="D127" s="6" t="s">
        <v>409</v>
      </c>
      <c r="E127" s="252">
        <v>1551.56025</v>
      </c>
      <c r="F127" s="164">
        <f>VLOOKUP(A127,'Stable systems'!$A$4:$AK$105,35,FALSE)</f>
        <v>0</v>
      </c>
      <c r="G127" s="164">
        <f>VLOOKUP(A127,'Stable systems'!$A$4:$AK$105,36,FALSE)</f>
        <v>0</v>
      </c>
      <c r="H127" s="164">
        <f>VLOOKUP(A127,'Stable systems'!$A$4:$AK$105,37,FALSE)</f>
        <v>0</v>
      </c>
      <c r="M127" s="173">
        <f t="shared" si="41"/>
        <v>573.50570983967316</v>
      </c>
    </row>
    <row r="128" spans="1:13" x14ac:dyDescent="0.3">
      <c r="A128" s="158" t="s">
        <v>498</v>
      </c>
      <c r="B128" s="158"/>
      <c r="C128" s="248">
        <v>1.2436733817777452</v>
      </c>
      <c r="D128" s="6" t="s">
        <v>409</v>
      </c>
      <c r="E128" s="252">
        <v>1310.1857499999999</v>
      </c>
      <c r="F128" s="164">
        <f>VLOOKUP(A128,'Stable systems'!$A$4:$AK$105,35,FALSE)</f>
        <v>0</v>
      </c>
      <c r="G128" s="164">
        <f>VLOOKUP(A128,'Stable systems'!$A$4:$AK$105,36,FALSE)</f>
        <v>0</v>
      </c>
      <c r="H128" s="164">
        <f>VLOOKUP(A128,'Stable systems'!$A$4:$AK$105,37,FALSE)</f>
        <v>0</v>
      </c>
      <c r="M128" s="173">
        <f t="shared" si="41"/>
        <v>16.294431424595114</v>
      </c>
    </row>
    <row r="129" spans="1:16" x14ac:dyDescent="0.3">
      <c r="A129" s="158" t="s">
        <v>499</v>
      </c>
      <c r="B129" s="158"/>
      <c r="C129" s="248">
        <v>0.81295878315569969</v>
      </c>
      <c r="D129" s="6" t="s">
        <v>409</v>
      </c>
      <c r="E129" s="252">
        <v>1206.8725000000002</v>
      </c>
      <c r="F129" s="164">
        <f>VLOOKUP(A129,'Stable systems'!$A$4:$AK$105,35,FALSE)</f>
        <v>0</v>
      </c>
      <c r="G129" s="164">
        <f>VLOOKUP(A129,'Stable systems'!$A$4:$AK$105,36,FALSE)</f>
        <v>0</v>
      </c>
      <c r="H129" s="164">
        <f>VLOOKUP(A129,'Stable systems'!$A$4:$AK$105,37,FALSE)</f>
        <v>0</v>
      </c>
      <c r="M129" s="173">
        <f t="shared" si="41"/>
        <v>9.8113759902407747</v>
      </c>
    </row>
    <row r="130" spans="1:16" x14ac:dyDescent="0.3">
      <c r="A130" s="158" t="s">
        <v>500</v>
      </c>
      <c r="B130" s="158"/>
      <c r="C130" s="248">
        <v>1.0076966419730524</v>
      </c>
      <c r="D130" s="6" t="s">
        <v>409</v>
      </c>
      <c r="E130" s="252">
        <v>1206.8725000000002</v>
      </c>
      <c r="F130" s="164">
        <f>VLOOKUP(A130,'Stable systems'!$A$4:$AK$105,35,FALSE)</f>
        <v>0</v>
      </c>
      <c r="G130" s="164">
        <f>VLOOKUP(A130,'Stable systems'!$A$4:$AK$105,36,FALSE)</f>
        <v>0</v>
      </c>
      <c r="H130" s="164">
        <f>VLOOKUP(A130,'Stable systems'!$A$4:$AK$105,37,FALSE)</f>
        <v>0</v>
      </c>
      <c r="M130" s="173">
        <f t="shared" si="41"/>
        <v>12.161613655396229</v>
      </c>
    </row>
    <row r="131" spans="1:16" x14ac:dyDescent="0.3">
      <c r="A131" s="158" t="s">
        <v>501</v>
      </c>
      <c r="B131" s="158"/>
      <c r="C131" s="248">
        <v>0.87147342114385373</v>
      </c>
      <c r="D131" s="6" t="s">
        <v>409</v>
      </c>
      <c r="E131" s="252">
        <v>1206.8725000000002</v>
      </c>
      <c r="F131" s="164">
        <f>VLOOKUP(A131,'Stable systems'!$A$4:$AK$105,35,FALSE)</f>
        <v>0</v>
      </c>
      <c r="G131" s="164">
        <f>VLOOKUP(A131,'Stable systems'!$A$4:$AK$105,36,FALSE)</f>
        <v>0</v>
      </c>
      <c r="H131" s="164">
        <f>VLOOKUP(A131,'Stable systems'!$A$4:$AK$105,37,FALSE)</f>
        <v>0</v>
      </c>
      <c r="M131" s="173">
        <f t="shared" si="41"/>
        <v>10.517573064594357</v>
      </c>
    </row>
    <row r="132" spans="1:16" x14ac:dyDescent="0.3">
      <c r="A132" s="158" t="s">
        <v>502</v>
      </c>
      <c r="B132" s="158"/>
      <c r="C132" s="248">
        <v>16.698870125379582</v>
      </c>
      <c r="D132" s="6"/>
      <c r="E132" s="252">
        <v>0</v>
      </c>
      <c r="F132" s="164">
        <f>VLOOKUP(A132,'Stable systems'!$A$4:$AK$105,35,FALSE)</f>
        <v>0</v>
      </c>
      <c r="G132" s="164">
        <f>VLOOKUP(A132,'Stable systems'!$A$4:$AK$105,36,FALSE)</f>
        <v>0</v>
      </c>
      <c r="H132" s="164">
        <f>VLOOKUP(A132,'Stable systems'!$A$4:$AK$105,37,FALSE)</f>
        <v>0</v>
      </c>
      <c r="M132" s="173">
        <f>(C132/100)*E132</f>
        <v>0</v>
      </c>
    </row>
    <row r="133" spans="1:16" x14ac:dyDescent="0.3">
      <c r="A133" s="158" t="s">
        <v>496</v>
      </c>
      <c r="B133" s="158"/>
      <c r="C133" s="248">
        <v>2.3867120433975799</v>
      </c>
      <c r="D133" s="6" t="s">
        <v>409</v>
      </c>
      <c r="E133" s="252">
        <v>72.412350000000004</v>
      </c>
      <c r="F133" s="164">
        <f>VLOOKUP(A133,'Stable systems'!$A$4:$AK$105,35,FALSE)</f>
        <v>0</v>
      </c>
      <c r="G133" s="164">
        <f>VLOOKUP(A133,'Stable systems'!$A$4:$AK$105,36,FALSE)</f>
        <v>0</v>
      </c>
      <c r="H133" s="164">
        <f>VLOOKUP(A133,'Stable systems'!$A$4:$AK$105,37,FALSE)</f>
        <v>0</v>
      </c>
      <c r="M133" s="173">
        <f t="shared" ref="M133:M134" si="42">(C133/100)*E133</f>
        <v>1.7282742783572076</v>
      </c>
    </row>
    <row r="134" spans="1:16" x14ac:dyDescent="0.3">
      <c r="A134" s="158"/>
      <c r="B134" s="158"/>
      <c r="C134" s="19"/>
      <c r="D134" s="6"/>
      <c r="E134" s="5">
        <v>0</v>
      </c>
      <c r="F134" s="164" t="e">
        <f>VLOOKUP(A134,'Stable systems'!$A$4:$AK$105,35,FALSE)</f>
        <v>#N/A</v>
      </c>
      <c r="G134" s="164" t="e">
        <f>VLOOKUP(A134,'Stable systems'!$A$4:$AK$105,36,FALSE)</f>
        <v>#N/A</v>
      </c>
      <c r="H134" s="164" t="e">
        <f>VLOOKUP(A134,'Stable systems'!$A$4:$AK$105,37,FALSE)</f>
        <v>#N/A</v>
      </c>
      <c r="M134" s="173">
        <f t="shared" si="42"/>
        <v>0</v>
      </c>
    </row>
    <row r="135" spans="1:16" x14ac:dyDescent="0.3">
      <c r="A135" s="202" t="s">
        <v>542</v>
      </c>
      <c r="B135" s="200"/>
      <c r="C135" s="201"/>
      <c r="D135" s="142"/>
      <c r="E135" s="35"/>
      <c r="M135" s="154"/>
    </row>
    <row r="136" spans="1:16" x14ac:dyDescent="0.3">
      <c r="A136" s="158" t="s">
        <v>544</v>
      </c>
      <c r="B136" s="158"/>
      <c r="C136" s="205">
        <f>((SUM(D24:D25)/D32)*100)</f>
        <v>27.069645203679372</v>
      </c>
      <c r="D136" s="12"/>
      <c r="M136" s="154"/>
    </row>
    <row r="137" spans="1:16" x14ac:dyDescent="0.3">
      <c r="B137" s="156" t="s">
        <v>56</v>
      </c>
      <c r="C137" s="245">
        <f>SUM(C122:C134)</f>
        <v>100</v>
      </c>
    </row>
    <row r="138" spans="1:16" x14ac:dyDescent="0.3">
      <c r="B138" s="29"/>
      <c r="C138" s="136"/>
    </row>
    <row r="139" spans="1:16" x14ac:dyDescent="0.3">
      <c r="A139" s="176" t="s">
        <v>260</v>
      </c>
      <c r="B139" s="37" t="s">
        <v>255</v>
      </c>
      <c r="C139" s="37" t="s">
        <v>258</v>
      </c>
      <c r="D139" s="37" t="s">
        <v>257</v>
      </c>
    </row>
    <row r="140" spans="1:16" x14ac:dyDescent="0.3">
      <c r="A140" s="30" t="s">
        <v>261</v>
      </c>
      <c r="B140" s="38" t="s">
        <v>409</v>
      </c>
      <c r="C140" s="4">
        <f>VLOOKUP(B140,Biomass_pool_output_Tech1_modul!$A$3:$G$100,7,FALSE)</f>
        <v>850.05419244301197</v>
      </c>
      <c r="D140" s="177">
        <f>IF(B140="",0,SUMPRODUCT(($D$122:$D$134=B140)*$M$122:$M$134)*((100-$C$136)/100))</f>
        <v>478.00022056296956</v>
      </c>
    </row>
    <row r="141" spans="1:16" x14ac:dyDescent="0.3">
      <c r="A141" s="30" t="s">
        <v>262</v>
      </c>
      <c r="B141" s="38"/>
      <c r="C141" s="4">
        <f>VLOOKUP(B141,Biomass_pool_output_Tech1_modul!$A$3:$G$100,7,FALSE)</f>
        <v>0</v>
      </c>
      <c r="D141" s="177">
        <f t="shared" ref="D141:D142" si="43">IF(B141="",0,SUMPRODUCT(($D$122:$D$134=B141)*$M$122:$M$134)*((100-$C$136)/100))</f>
        <v>0</v>
      </c>
    </row>
    <row r="142" spans="1:16" x14ac:dyDescent="0.3">
      <c r="A142" s="30" t="s">
        <v>263</v>
      </c>
      <c r="B142" s="38"/>
      <c r="C142" s="4">
        <f>VLOOKUP(B142,Biomass_pool_output_Tech1_modul!$A$3:$G$100,7,FALSE)</f>
        <v>0</v>
      </c>
      <c r="D142" s="177">
        <f t="shared" si="43"/>
        <v>0</v>
      </c>
    </row>
    <row r="143" spans="1:16" x14ac:dyDescent="0.3">
      <c r="A143" s="30" t="s">
        <v>264</v>
      </c>
      <c r="B143" s="38"/>
      <c r="C143" s="4">
        <f>VLOOKUP(B143,Biomass_pool_output_Tech1_modul!$A$3:$G$100,7,FALSE)</f>
        <v>0</v>
      </c>
      <c r="D143" s="177">
        <f>IF(B143="",0,SUMPRODUCT(($D$122:$D$134=B143)*$M$122:$M$134)*((100-$C$136)/100))</f>
        <v>0</v>
      </c>
    </row>
    <row r="144" spans="1:16" ht="17.399999999999999" x14ac:dyDescent="0.3">
      <c r="A144" s="25"/>
      <c r="B144" s="25"/>
      <c r="P144" s="31" t="s">
        <v>266</v>
      </c>
    </row>
    <row r="145" spans="1:20" x14ac:dyDescent="0.3">
      <c r="A145" s="176" t="s">
        <v>265</v>
      </c>
      <c r="B145" s="176" t="s">
        <v>69</v>
      </c>
      <c r="C145" s="176" t="s">
        <v>70</v>
      </c>
      <c r="D145" s="176" t="s">
        <v>74</v>
      </c>
      <c r="E145" s="176" t="s">
        <v>80</v>
      </c>
      <c r="F145" s="176" t="s">
        <v>227</v>
      </c>
      <c r="K145" s="17" t="s">
        <v>82</v>
      </c>
      <c r="L145" s="17" t="s">
        <v>17</v>
      </c>
      <c r="P145" s="17" t="str">
        <f>Other_tables!L4</f>
        <v>Transportmiddel</v>
      </c>
      <c r="Q145" s="17"/>
      <c r="R145" s="17" t="s">
        <v>119</v>
      </c>
      <c r="S145" s="17" t="s">
        <v>83</v>
      </c>
      <c r="T145" s="17" t="s">
        <v>129</v>
      </c>
    </row>
    <row r="146" spans="1:20" x14ac:dyDescent="0.3">
      <c r="A146" s="63" t="s">
        <v>44</v>
      </c>
      <c r="B146" s="23" t="s">
        <v>409</v>
      </c>
      <c r="C146" s="5">
        <v>5</v>
      </c>
      <c r="D146" s="5" t="s">
        <v>229</v>
      </c>
      <c r="E146" s="5" t="s">
        <v>17</v>
      </c>
      <c r="F146" s="5">
        <v>100</v>
      </c>
      <c r="K146" s="49">
        <f>IF(B146="",0,((((VLOOKUP(B146,$B$140:$D$143,3,FALSE))/1000)*C146)/(VLOOKUP(B146,$B$140:$C$143,2,FALSE)/1000))*(F146/100))</f>
        <v>2.8115867483061376</v>
      </c>
      <c r="L146" s="49">
        <f>IF(E146="Diesel",VLOOKUP(D146,Other_tables!$L$5:$O$13,2,FALSE)*K146,0)</f>
        <v>0.56231734966122759</v>
      </c>
      <c r="P146" s="30" t="str">
        <f>Other_tables!L5</f>
        <v>Traktor</v>
      </c>
      <c r="Q146" s="44"/>
      <c r="R146" s="103">
        <f t="shared" ref="R146:R154" si="44">SUMPRODUCT(($D$146:$D$149=P146)*$L$146:$L$149)</f>
        <v>0.56231734966122759</v>
      </c>
      <c r="S146" s="114">
        <f t="shared" ref="S146:S154" si="45">IF(P146="","0",SUMPRODUCT(($D$146:$D$149=P146)*$K$146:$K$149))</f>
        <v>2.8115867483061376</v>
      </c>
      <c r="T146" s="114">
        <f>IF(R146&gt;0,0,(S146*VLOOKUP(P146,Other_tables!$L$5:$O$13,2,FALSE))/1000)</f>
        <v>0</v>
      </c>
    </row>
    <row r="147" spans="1:20" x14ac:dyDescent="0.3">
      <c r="A147" s="30" t="s">
        <v>45</v>
      </c>
      <c r="B147" s="5"/>
      <c r="C147" s="5"/>
      <c r="D147" s="5"/>
      <c r="E147" s="5"/>
      <c r="F147" s="5"/>
      <c r="K147" s="49">
        <f>IF(B147="",0,((((VLOOKUP(B147,$B$140:$D$143,3,FALSE))/1000)*C147)/(VLOOKUP(B147,$B$140:$C$143,2,FALSE)/1000))*(F147/100))</f>
        <v>0</v>
      </c>
      <c r="L147" s="49">
        <f>IF(E147="Diesel",VLOOKUP(D147,Other_tables!$L$5:$O$13,2,FALSE)*K147,0)</f>
        <v>0</v>
      </c>
      <c r="P147" s="30" t="str">
        <f>Other_tables!L6</f>
        <v>Lastbil &gt; 20 T</v>
      </c>
      <c r="Q147" s="44"/>
      <c r="R147" s="103">
        <f t="shared" si="44"/>
        <v>0</v>
      </c>
      <c r="S147" s="114">
        <f t="shared" si="45"/>
        <v>0</v>
      </c>
      <c r="T147" s="114">
        <f>IF(R147&gt;0,0,(S147*VLOOKUP(P147,Other_tables!$L$5:$O$13,2,FALSE))/1000)</f>
        <v>0</v>
      </c>
    </row>
    <row r="148" spans="1:20" x14ac:dyDescent="0.3">
      <c r="A148" s="30" t="s">
        <v>46</v>
      </c>
      <c r="B148" s="5"/>
      <c r="C148" s="5"/>
      <c r="D148" s="5"/>
      <c r="E148" s="5"/>
      <c r="F148" s="5"/>
      <c r="K148" s="49">
        <f>IF(B148="",0,((((VLOOKUP(B148,$B$140:$D$143,3,FALSE))/1000)*C148)/(VLOOKUP(B148,$B$140:$C$143,2,FALSE)/1000))*(F148/100))</f>
        <v>0</v>
      </c>
      <c r="L148" s="49">
        <f>IF(E148="Diesel",VLOOKUP(D148,Other_tables!$L$5:$O$13,2,FALSE)*K148,0)</f>
        <v>0</v>
      </c>
      <c r="P148" s="30" t="str">
        <f>Other_tables!L7</f>
        <v>Lastbil 10-20 T</v>
      </c>
      <c r="Q148" s="44"/>
      <c r="R148" s="103">
        <f t="shared" si="44"/>
        <v>0</v>
      </c>
      <c r="S148" s="114">
        <f t="shared" si="45"/>
        <v>0</v>
      </c>
      <c r="T148" s="114">
        <f>IF(R148&gt;0,0,(S148*VLOOKUP(P148,Other_tables!$L$5:$O$13,2,FALSE))/1000)</f>
        <v>0</v>
      </c>
    </row>
    <row r="149" spans="1:20" x14ac:dyDescent="0.3">
      <c r="A149" s="30" t="s">
        <v>47</v>
      </c>
      <c r="B149" s="5"/>
      <c r="C149" s="5"/>
      <c r="D149" s="5"/>
      <c r="E149" s="5"/>
      <c r="F149" s="5"/>
      <c r="K149" s="49">
        <f>IF(B149="",0,((((VLOOKUP(B149,$B$140:$D$143,3,FALSE))/1000)*C149)/(VLOOKUP(B149,$B$140:$C$143,2,FALSE)/1000))*(F149/100))</f>
        <v>0</v>
      </c>
      <c r="L149" s="49">
        <f>IF(E149="Diesel",VLOOKUP(D149,Other_tables!$L$5:$O$13,2,FALSE)*K149,0)</f>
        <v>0</v>
      </c>
      <c r="P149" s="30" t="str">
        <f>Other_tables!L8</f>
        <v>Lastbil &lt; 10 T</v>
      </c>
      <c r="Q149" s="44"/>
      <c r="R149" s="103">
        <f t="shared" si="44"/>
        <v>0</v>
      </c>
      <c r="S149" s="114">
        <f t="shared" si="45"/>
        <v>0</v>
      </c>
      <c r="T149" s="114">
        <f>IF(R149&gt;0,0,(S149*VLOOKUP(P149,Other_tables!$L$5:$O$13,2,FALSE))/1000)</f>
        <v>0</v>
      </c>
    </row>
    <row r="150" spans="1:20" x14ac:dyDescent="0.3">
      <c r="K150" s="47"/>
      <c r="L150" s="47"/>
      <c r="P150" s="30" t="str">
        <f>Other_tables!L9</f>
        <v>Fragttog Europa</v>
      </c>
      <c r="Q150" s="44"/>
      <c r="R150" s="103">
        <f t="shared" si="44"/>
        <v>0</v>
      </c>
      <c r="S150" s="114">
        <f t="shared" si="45"/>
        <v>0</v>
      </c>
      <c r="T150" s="114">
        <f>IF(R150&gt;0,0,(S150*VLOOKUP(P150,Other_tables!$L$5:$O$13,2,FALSE))/1000)</f>
        <v>0</v>
      </c>
    </row>
    <row r="151" spans="1:20" x14ac:dyDescent="0.3">
      <c r="A151" s="21" t="s">
        <v>274</v>
      </c>
      <c r="B151" s="37" t="s">
        <v>69</v>
      </c>
      <c r="C151" s="10" t="s">
        <v>101</v>
      </c>
      <c r="D151" s="10" t="s">
        <v>102</v>
      </c>
      <c r="E151" s="10" t="s">
        <v>103</v>
      </c>
      <c r="K151" s="47"/>
      <c r="L151" s="47"/>
      <c r="P151" s="30" t="str">
        <f>Other_tables!L10</f>
        <v>Skib Oversøisk</v>
      </c>
      <c r="Q151" s="44"/>
      <c r="R151" s="103">
        <f t="shared" si="44"/>
        <v>0</v>
      </c>
      <c r="S151" s="114">
        <f t="shared" si="45"/>
        <v>0</v>
      </c>
      <c r="T151" s="114">
        <f>IF(R151&gt;0,0,(S151*VLOOKUP(P151,Other_tables!$L$5:$O$13,2,FALSE))/1000)</f>
        <v>0</v>
      </c>
    </row>
    <row r="152" spans="1:20" x14ac:dyDescent="0.3">
      <c r="A152" s="18" t="s">
        <v>86</v>
      </c>
      <c r="B152" s="38"/>
      <c r="C152" s="19"/>
      <c r="D152" s="11"/>
      <c r="E152" s="11"/>
      <c r="K152" s="47"/>
      <c r="L152" s="47"/>
      <c r="P152" s="30" t="str">
        <f>Other_tables!L11</f>
        <v>Skib Indlandsk</v>
      </c>
      <c r="Q152" s="44"/>
      <c r="R152" s="103">
        <f t="shared" si="44"/>
        <v>0</v>
      </c>
      <c r="S152" s="114">
        <f t="shared" si="45"/>
        <v>0</v>
      </c>
      <c r="T152" s="114">
        <f>IF(R152&gt;0,0,(S152*VLOOKUP(P152,Other_tables!$L$5:$O$13,2,FALSE))/1000)</f>
        <v>0</v>
      </c>
    </row>
    <row r="153" spans="1:20" x14ac:dyDescent="0.3">
      <c r="A153" s="18" t="s">
        <v>87</v>
      </c>
      <c r="B153" s="38"/>
      <c r="C153" s="19"/>
      <c r="D153" s="11"/>
      <c r="E153" s="11"/>
      <c r="K153" s="47"/>
      <c r="L153" s="47"/>
      <c r="P153" s="30" t="str">
        <f>Other_tables!L12</f>
        <v>Skib Europa</v>
      </c>
      <c r="Q153" s="44"/>
      <c r="R153" s="103">
        <f t="shared" si="44"/>
        <v>0</v>
      </c>
      <c r="S153" s="114">
        <f t="shared" si="45"/>
        <v>0</v>
      </c>
      <c r="T153" s="114">
        <f>IF(R153&gt;0,0,(S153*VLOOKUP(P153,Other_tables!$L$5:$O$13,2,FALSE))/1000)</f>
        <v>0</v>
      </c>
    </row>
    <row r="154" spans="1:20" x14ac:dyDescent="0.3">
      <c r="A154" s="18" t="s">
        <v>88</v>
      </c>
      <c r="B154" s="38"/>
      <c r="C154" s="19"/>
      <c r="D154" s="11"/>
      <c r="E154" s="11"/>
      <c r="K154" s="47"/>
      <c r="L154" s="47"/>
      <c r="P154" s="30">
        <f>Other_tables!L13</f>
        <v>0</v>
      </c>
      <c r="Q154" s="44"/>
      <c r="R154" s="103">
        <f t="shared" si="44"/>
        <v>0</v>
      </c>
      <c r="S154" s="114">
        <f t="shared" si="45"/>
        <v>0</v>
      </c>
      <c r="T154" s="114">
        <f>IF(R154&gt;0,0,(S154*VLOOKUP(P154,Other_tables!$L$5:$O$13,2,FALSE))/1000)</f>
        <v>0</v>
      </c>
    </row>
    <row r="155" spans="1:20" x14ac:dyDescent="0.3">
      <c r="A155" s="18" t="s">
        <v>89</v>
      </c>
      <c r="B155" s="38"/>
      <c r="C155" s="19"/>
      <c r="D155" s="11"/>
      <c r="E155" s="11"/>
      <c r="K155" s="47"/>
      <c r="L155" s="47"/>
      <c r="P155" s="59" t="s">
        <v>56</v>
      </c>
      <c r="R155" s="178">
        <f>SUM(R146:R154)</f>
        <v>0.56231734966122759</v>
      </c>
      <c r="S155" s="47"/>
      <c r="T155" s="178">
        <f>SUM(T146:T154)</f>
        <v>0</v>
      </c>
    </row>
    <row r="156" spans="1:20" x14ac:dyDescent="0.3">
      <c r="B156" s="156" t="s">
        <v>56</v>
      </c>
      <c r="C156" s="159">
        <f>SUM(C152:C155)</f>
        <v>0</v>
      </c>
      <c r="D156" s="159">
        <f>SUM(D152:D155)</f>
        <v>0</v>
      </c>
      <c r="E156" s="159">
        <f>SUM(E152:E155)</f>
        <v>0</v>
      </c>
    </row>
    <row r="158" spans="1:20" x14ac:dyDescent="0.3">
      <c r="A158" s="21" t="s">
        <v>273</v>
      </c>
      <c r="B158" s="37" t="s">
        <v>69</v>
      </c>
      <c r="C158" s="10" t="s">
        <v>100</v>
      </c>
      <c r="D158" s="10" t="s">
        <v>122</v>
      </c>
      <c r="E158" s="10" t="s">
        <v>119</v>
      </c>
    </row>
    <row r="159" spans="1:20" x14ac:dyDescent="0.3">
      <c r="A159" s="18" t="s">
        <v>86</v>
      </c>
      <c r="B159" s="38" t="s">
        <v>409</v>
      </c>
      <c r="C159" s="19" t="s">
        <v>169</v>
      </c>
      <c r="D159" s="11"/>
      <c r="E159" s="206">
        <f>IF(C159="","",IF(VLOOKUP(C159,'Diesel consumption for field op'!$B$4:$E$78,3,FALSE)="L / ton",((VLOOKUP(C159,'Diesel consumption for field op'!$B$4:$E$78,2,FALSE)*1.007)*(VLOOKUP(B159,$B$140:$D$143,3,FALSE)/1000)/(VLOOKUP(B159,$B$140:$C$143,2,FALSE)/1000)),0))</f>
        <v>0.283126785554428</v>
      </c>
    </row>
    <row r="160" spans="1:20" x14ac:dyDescent="0.3">
      <c r="A160" s="18" t="s">
        <v>87</v>
      </c>
      <c r="B160" s="38" t="s">
        <v>409</v>
      </c>
      <c r="C160" s="19" t="s">
        <v>219</v>
      </c>
      <c r="D160" s="11"/>
      <c r="E160" s="206">
        <f>IF(C160="","",IF(VLOOKUP(C160,'Diesel consumption for field op'!$B$4:$E$78,3,FALSE)="L / ton",((VLOOKUP(C160,'Diesel consumption for field op'!$B$4:$E$78,2,FALSE)*1.007)*(VLOOKUP(B160,$B$140:$D$143,3,FALSE)/1000)/(VLOOKUP(B160,$B$140:$C$143,2,FALSE)/1000)),0))</f>
        <v>1.132507142217712</v>
      </c>
    </row>
    <row r="161" spans="1:20" x14ac:dyDescent="0.3">
      <c r="A161" s="18" t="s">
        <v>88</v>
      </c>
      <c r="B161" s="38" t="s">
        <v>409</v>
      </c>
      <c r="C161" s="19" t="s">
        <v>173</v>
      </c>
      <c r="D161" s="11"/>
      <c r="E161" s="206">
        <f>IF(C161="","",IF(VLOOKUP(C161,'Diesel consumption for field op'!$B$4:$E$78,3,FALSE)="L / ton",((VLOOKUP(C161,'Diesel consumption for field op'!$B$4:$E$78,2,FALSE)*1.007)*(VLOOKUP(B161,$B$140:$D$143,3,FALSE)/1000)/(VLOOKUP(B161,$B$140:$C$143,2,FALSE)/1000)),0))</f>
        <v>0.283126785554428</v>
      </c>
    </row>
    <row r="162" spans="1:20" x14ac:dyDescent="0.3">
      <c r="A162" s="18" t="s">
        <v>89</v>
      </c>
      <c r="B162" s="38"/>
      <c r="C162" s="19"/>
      <c r="D162" s="11"/>
      <c r="E162" s="206" t="str">
        <f>IF(C162="","",IF(VLOOKUP(C162,'Diesel consumption for field op'!$B$4:$E$78,3,FALSE)="L / ton",((VLOOKUP(C162,'Diesel consumption for field op'!$B$4:$E$78,2,FALSE)*1.007)*(VLOOKUP(B162,$B$140:$D$143,3,FALSE)/1000)/(VLOOKUP(B162,$B$140:$C$143,2,FALSE)/1000)),0))</f>
        <v/>
      </c>
    </row>
    <row r="163" spans="1:20" x14ac:dyDescent="0.3">
      <c r="A163" s="18" t="s">
        <v>90</v>
      </c>
      <c r="B163" s="38"/>
      <c r="C163" s="19"/>
      <c r="D163" s="11"/>
      <c r="E163" s="206" t="str">
        <f>IF(C163="","",IF(VLOOKUP(C163,'Diesel consumption for field op'!$B$4:$E$78,3,FALSE)="L / ton",((VLOOKUP(C163,'Diesel consumption for field op'!$B$4:$E$78,2,FALSE)*1.007)*(VLOOKUP(B163,$B$140:$D$143,3,FALSE)/1000)/(VLOOKUP(B163,$B$140:$C$143,2,FALSE)/1000)),0))</f>
        <v/>
      </c>
    </row>
    <row r="164" spans="1:20" x14ac:dyDescent="0.3">
      <c r="A164" s="18" t="s">
        <v>91</v>
      </c>
      <c r="B164" s="38"/>
      <c r="C164" s="19"/>
      <c r="D164" s="11"/>
      <c r="E164" s="206" t="str">
        <f>IF(C164="","",IF(VLOOKUP(C164,'Diesel consumption for field op'!$B$4:$E$78,3,FALSE)="L / ton",((VLOOKUP(C164,'Diesel consumption for field op'!$B$4:$E$78,2,FALSE)*1.007)*(VLOOKUP(B164,$B$140:$D$143,3,FALSE)/1000)/(VLOOKUP(B164,$B$140:$C$143,2,FALSE)/1000)),0))</f>
        <v/>
      </c>
    </row>
    <row r="165" spans="1:20" x14ac:dyDescent="0.3">
      <c r="A165" s="18" t="s">
        <v>92</v>
      </c>
      <c r="B165" s="38"/>
      <c r="C165" s="19"/>
      <c r="D165" s="11"/>
      <c r="E165" s="206" t="str">
        <f>IF(C165="","",IF(VLOOKUP(C165,'Diesel consumption for field op'!$B$4:$E$78,3,FALSE)="L / ton",((VLOOKUP(C165,'Diesel consumption for field op'!$B$4:$E$78,2,FALSE)*1.007)*(VLOOKUP(B165,$B$140:$D$143,3,FALSE)/1000)/(VLOOKUP(B165,$B$140:$C$143,2,FALSE)/1000)),0))</f>
        <v/>
      </c>
    </row>
    <row r="166" spans="1:20" x14ac:dyDescent="0.3">
      <c r="A166" s="18" t="s">
        <v>93</v>
      </c>
      <c r="B166" s="38"/>
      <c r="C166" s="19"/>
      <c r="D166" s="11"/>
      <c r="E166" s="206" t="str">
        <f>IF(C166="","",IF(VLOOKUP(C166,'Diesel consumption for field op'!$B$4:$E$78,3,FALSE)="L / ton",((VLOOKUP(C166,'Diesel consumption for field op'!$B$4:$E$78,2,FALSE)*1.007)*(VLOOKUP(B166,$B$140:$D$143,3,FALSE)/1000)/(VLOOKUP(B166,$B$140:$C$143,2,FALSE)/1000)),0))</f>
        <v/>
      </c>
    </row>
    <row r="167" spans="1:20" x14ac:dyDescent="0.3">
      <c r="A167" s="18" t="s">
        <v>94</v>
      </c>
      <c r="B167" s="38"/>
      <c r="C167" s="19"/>
      <c r="D167" s="11"/>
      <c r="E167" s="206" t="str">
        <f>IF(C167="","",IF(VLOOKUP(C167,'Diesel consumption for field op'!$B$4:$E$78,3,FALSE)="L / ton",((VLOOKUP(C167,'Diesel consumption for field op'!$B$4:$E$78,2,FALSE)*1.007)*(VLOOKUP(B167,$B$140:$D$143,3,FALSE)/1000)/(VLOOKUP(B167,$B$140:$C$143,2,FALSE)/1000)),0))</f>
        <v/>
      </c>
    </row>
    <row r="168" spans="1:20" x14ac:dyDescent="0.3">
      <c r="A168" s="18" t="s">
        <v>56</v>
      </c>
      <c r="C168" s="156" t="s">
        <v>56</v>
      </c>
      <c r="D168" s="28">
        <f>SUM(D159:D167)</f>
        <v>0</v>
      </c>
      <c r="E168" s="67">
        <f>SUM(E159:E167)</f>
        <v>1.6987607133265679</v>
      </c>
    </row>
    <row r="169" spans="1:20" ht="17.399999999999999" x14ac:dyDescent="0.3">
      <c r="P169" s="31" t="s">
        <v>272</v>
      </c>
    </row>
    <row r="170" spans="1:20" x14ac:dyDescent="0.3">
      <c r="P170" s="17" t="s">
        <v>74</v>
      </c>
      <c r="Q170" s="17"/>
      <c r="R170" s="17" t="s">
        <v>119</v>
      </c>
      <c r="S170" s="17"/>
      <c r="T170" s="17" t="s">
        <v>129</v>
      </c>
    </row>
    <row r="171" spans="1:20" x14ac:dyDescent="0.3">
      <c r="A171" s="127"/>
      <c r="B171" s="42"/>
      <c r="C171" s="42"/>
      <c r="P171" s="30" t="s">
        <v>229</v>
      </c>
      <c r="Q171" s="44"/>
      <c r="R171" s="103">
        <f t="shared" ref="R171:R179" si="46">SUMPRODUCT(($P$68:$P$76=P171)*$R$68:$R$76)+SUMPRODUCT(($P$146:$P$154=P171)*$R$146:$R$154)</f>
        <v>0.61995504555124648</v>
      </c>
      <c r="S171" s="179"/>
      <c r="T171" s="103">
        <f t="shared" ref="T171:T179" si="47">SUMPRODUCT(($P$68:$P$76=P171)*$T$68:$T$76)+SUMPRODUCT(($P$146:$P$154=P171)*$T$146:$T$154)</f>
        <v>0</v>
      </c>
    </row>
    <row r="172" spans="1:20" x14ac:dyDescent="0.3">
      <c r="A172" s="25"/>
      <c r="B172" s="138"/>
      <c r="C172" s="138"/>
      <c r="P172" s="30" t="s">
        <v>225</v>
      </c>
      <c r="Q172" s="44"/>
      <c r="R172" s="103">
        <f t="shared" si="46"/>
        <v>0</v>
      </c>
      <c r="S172" s="179"/>
      <c r="T172" s="103">
        <f t="shared" si="47"/>
        <v>5.5975603179742288</v>
      </c>
    </row>
    <row r="173" spans="1:20" x14ac:dyDescent="0.3">
      <c r="A173" s="25"/>
      <c r="B173" s="138"/>
      <c r="C173" s="138"/>
      <c r="P173" s="30" t="s">
        <v>226</v>
      </c>
      <c r="Q173" s="44"/>
      <c r="R173" s="103">
        <f t="shared" si="46"/>
        <v>0</v>
      </c>
      <c r="S173" s="179"/>
      <c r="T173" s="103">
        <f t="shared" si="47"/>
        <v>1.4299072594771582</v>
      </c>
    </row>
    <row r="174" spans="1:20" x14ac:dyDescent="0.3">
      <c r="A174" s="25"/>
      <c r="B174" s="138"/>
      <c r="C174" s="138"/>
      <c r="P174" s="30" t="s">
        <v>267</v>
      </c>
      <c r="Q174" s="44"/>
      <c r="R174" s="103">
        <f t="shared" si="46"/>
        <v>0</v>
      </c>
      <c r="S174" s="179"/>
      <c r="T174" s="103">
        <f t="shared" si="47"/>
        <v>0</v>
      </c>
    </row>
    <row r="175" spans="1:20" x14ac:dyDescent="0.3">
      <c r="A175" s="25"/>
      <c r="B175" s="24"/>
      <c r="P175" s="30" t="s">
        <v>268</v>
      </c>
      <c r="Q175" s="44"/>
      <c r="R175" s="103">
        <f t="shared" si="46"/>
        <v>0</v>
      </c>
      <c r="S175" s="179"/>
      <c r="T175" s="103">
        <f t="shared" si="47"/>
        <v>0</v>
      </c>
    </row>
    <row r="176" spans="1:20" x14ac:dyDescent="0.3">
      <c r="G176" s="181" t="s">
        <v>101</v>
      </c>
      <c r="H176" s="181" t="s">
        <v>102</v>
      </c>
      <c r="I176" s="181" t="s">
        <v>103</v>
      </c>
      <c r="J176" s="182" t="s">
        <v>129</v>
      </c>
      <c r="P176" s="30" t="s">
        <v>269</v>
      </c>
      <c r="Q176" s="44"/>
      <c r="R176" s="103">
        <f t="shared" si="46"/>
        <v>0</v>
      </c>
      <c r="S176" s="179"/>
      <c r="T176" s="103">
        <f t="shared" si="47"/>
        <v>0</v>
      </c>
    </row>
    <row r="177" spans="6:20" x14ac:dyDescent="0.3">
      <c r="F177" s="183" t="s">
        <v>279</v>
      </c>
      <c r="G177" s="81">
        <f>B65+R106+C156</f>
        <v>0</v>
      </c>
      <c r="H177" s="81">
        <f>AC31+C65+R93+S106+D118+D156+D168</f>
        <v>60.966666666666669</v>
      </c>
      <c r="I177" s="81">
        <f>AB31+R77+D65+S93+T106+E118+R155+E156+E168</f>
        <v>4.4376186362618615</v>
      </c>
      <c r="J177" s="114">
        <f>AD31+T77+T155</f>
        <v>7.0274675774513868</v>
      </c>
      <c r="P177" s="30" t="s">
        <v>270</v>
      </c>
      <c r="Q177" s="44"/>
      <c r="R177" s="103">
        <f t="shared" si="46"/>
        <v>0</v>
      </c>
      <c r="S177" s="179"/>
      <c r="T177" s="103">
        <f t="shared" si="47"/>
        <v>0</v>
      </c>
    </row>
    <row r="178" spans="6:20" x14ac:dyDescent="0.3">
      <c r="P178" s="30" t="s">
        <v>271</v>
      </c>
      <c r="Q178" s="44"/>
      <c r="R178" s="103">
        <f t="shared" si="46"/>
        <v>0</v>
      </c>
      <c r="S178" s="179"/>
      <c r="T178" s="103">
        <f t="shared" si="47"/>
        <v>0</v>
      </c>
    </row>
    <row r="179" spans="6:20" x14ac:dyDescent="0.3">
      <c r="P179" s="30">
        <v>0</v>
      </c>
      <c r="Q179" s="44"/>
      <c r="R179" s="103">
        <f t="shared" si="46"/>
        <v>0</v>
      </c>
      <c r="S179" s="179"/>
      <c r="T179" s="103">
        <f t="shared" si="47"/>
        <v>0</v>
      </c>
    </row>
    <row r="180" spans="6:20" x14ac:dyDescent="0.3">
      <c r="P180" s="59" t="s">
        <v>56</v>
      </c>
      <c r="R180" s="178">
        <f>SUM(R171:R179)</f>
        <v>0.61995504555124648</v>
      </c>
      <c r="S180" s="47"/>
      <c r="T180" s="178">
        <f>SUM(T171:T179)</f>
        <v>7.0274675774513868</v>
      </c>
    </row>
    <row r="199" spans="1:4" x14ac:dyDescent="0.3">
      <c r="B199" t="s">
        <v>347</v>
      </c>
      <c r="C199" t="s">
        <v>348</v>
      </c>
      <c r="D199" t="s">
        <v>352</v>
      </c>
    </row>
    <row r="200" spans="1:4" x14ac:dyDescent="0.3">
      <c r="A200" t="s">
        <v>349</v>
      </c>
      <c r="B200">
        <v>0.222</v>
      </c>
      <c r="C200">
        <v>0.77800000000000002</v>
      </c>
      <c r="D200" t="s">
        <v>186</v>
      </c>
    </row>
    <row r="201" spans="1:4" x14ac:dyDescent="0.3">
      <c r="A201" t="s">
        <v>8</v>
      </c>
      <c r="B201">
        <v>1047</v>
      </c>
      <c r="C201">
        <v>2094</v>
      </c>
      <c r="D201" s="110">
        <f>$B$200*B201+$C$200*C201</f>
        <v>1861.566</v>
      </c>
    </row>
    <row r="202" spans="1:4" x14ac:dyDescent="0.3">
      <c r="A202" t="s">
        <v>354</v>
      </c>
      <c r="B202">
        <v>1138</v>
      </c>
      <c r="C202">
        <v>2610</v>
      </c>
      <c r="D202" s="110">
        <f>$B$200*B202+$C$200*C202</f>
        <v>2283.2160000000003</v>
      </c>
    </row>
    <row r="203" spans="1:4" x14ac:dyDescent="0.3">
      <c r="A203" t="s">
        <v>350</v>
      </c>
      <c r="B203">
        <v>199</v>
      </c>
      <c r="C203">
        <v>172</v>
      </c>
      <c r="D203" s="110" t="s">
        <v>186</v>
      </c>
    </row>
    <row r="204" spans="1:4" x14ac:dyDescent="0.3">
      <c r="A204" t="s">
        <v>351</v>
      </c>
      <c r="B204">
        <f>B201*B203</f>
        <v>208353</v>
      </c>
      <c r="C204">
        <f>C201*C203</f>
        <v>360168</v>
      </c>
      <c r="D204" s="110">
        <f>$B$200*B204+$C$200*C204</f>
        <v>326465.07</v>
      </c>
    </row>
    <row r="205" spans="1:4" x14ac:dyDescent="0.3">
      <c r="A205" t="s">
        <v>350</v>
      </c>
      <c r="D205" s="110">
        <f>D204/D201</f>
        <v>175.37120359955006</v>
      </c>
    </row>
    <row r="206" spans="1:4" x14ac:dyDescent="0.3">
      <c r="A206" t="s">
        <v>366</v>
      </c>
      <c r="D206" s="110">
        <f>D204/D202</f>
        <v>142.98475045724976</v>
      </c>
    </row>
    <row r="207" spans="1:4" x14ac:dyDescent="0.3">
      <c r="A207" t="s">
        <v>356</v>
      </c>
      <c r="B207">
        <v>4.9000000000000004</v>
      </c>
      <c r="C207">
        <v>4.04</v>
      </c>
      <c r="D207" s="110"/>
    </row>
    <row r="208" spans="1:4" x14ac:dyDescent="0.3">
      <c r="A208" t="s">
        <v>64</v>
      </c>
      <c r="B208">
        <f>B204*B207</f>
        <v>1020929.7000000001</v>
      </c>
      <c r="C208">
        <f>C204*C207</f>
        <v>1455078.72</v>
      </c>
      <c r="D208" s="110">
        <f t="shared" ref="D208" si="48">$B$200*B208+$C$200*C208</f>
        <v>1358697.6375599999</v>
      </c>
    </row>
    <row r="209" spans="1:8" x14ac:dyDescent="0.3">
      <c r="A209" t="s">
        <v>356</v>
      </c>
      <c r="D209" s="154">
        <f>D208/D204</f>
        <v>4.1618468939418234</v>
      </c>
    </row>
    <row r="210" spans="1:8" x14ac:dyDescent="0.3">
      <c r="A210" t="s">
        <v>357</v>
      </c>
      <c r="B210">
        <v>16.899999999999999</v>
      </c>
      <c r="C210">
        <v>23.5</v>
      </c>
      <c r="D210" s="110"/>
    </row>
    <row r="211" spans="1:8" x14ac:dyDescent="0.3">
      <c r="A211" t="s">
        <v>357</v>
      </c>
      <c r="B211">
        <f>B208*B210</f>
        <v>17253711.93</v>
      </c>
      <c r="C211">
        <f>C208*C210</f>
        <v>34194349.920000002</v>
      </c>
      <c r="D211" s="110">
        <f t="shared" ref="D211" si="49">$B$200*B211+$C$200*C211</f>
        <v>30433528.286220003</v>
      </c>
    </row>
    <row r="212" spans="1:8" x14ac:dyDescent="0.3">
      <c r="A212" t="s">
        <v>358</v>
      </c>
      <c r="D212" s="154">
        <f>D211/D208</f>
        <v>22.399044088185558</v>
      </c>
    </row>
    <row r="213" spans="1:8" x14ac:dyDescent="0.3">
      <c r="A213" t="s">
        <v>353</v>
      </c>
      <c r="B213">
        <v>256</v>
      </c>
      <c r="C213">
        <v>256</v>
      </c>
      <c r="D213" s="110">
        <f>$B$200*B213+$C$200*C213</f>
        <v>256</v>
      </c>
    </row>
    <row r="214" spans="1:8" x14ac:dyDescent="0.3">
      <c r="A214" t="s">
        <v>355</v>
      </c>
      <c r="B214">
        <v>0</v>
      </c>
      <c r="C214">
        <v>16</v>
      </c>
      <c r="D214" s="110">
        <f>$B$200*B214+$C$200*C214</f>
        <v>12.448</v>
      </c>
    </row>
    <row r="215" spans="1:8" x14ac:dyDescent="0.3">
      <c r="F215" t="s">
        <v>367</v>
      </c>
      <c r="H215" t="s">
        <v>368</v>
      </c>
    </row>
    <row r="216" spans="1:8" x14ac:dyDescent="0.3">
      <c r="A216" t="s">
        <v>365</v>
      </c>
      <c r="D216">
        <f>SUM(D217:D223)</f>
        <v>2283</v>
      </c>
    </row>
    <row r="217" spans="1:8" x14ac:dyDescent="0.3">
      <c r="A217" t="s">
        <v>359</v>
      </c>
      <c r="D217">
        <v>25</v>
      </c>
      <c r="E217" t="s">
        <v>359</v>
      </c>
    </row>
    <row r="218" spans="1:8" x14ac:dyDescent="0.3">
      <c r="A218" t="s">
        <v>351</v>
      </c>
      <c r="D218">
        <v>128</v>
      </c>
      <c r="E218" t="s">
        <v>351</v>
      </c>
    </row>
    <row r="219" spans="1:8" x14ac:dyDescent="0.3">
      <c r="A219" t="s">
        <v>360</v>
      </c>
      <c r="D219">
        <v>150</v>
      </c>
      <c r="E219" t="s">
        <v>360</v>
      </c>
    </row>
    <row r="220" spans="1:8" x14ac:dyDescent="0.3">
      <c r="A220" t="s">
        <v>361</v>
      </c>
      <c r="D220">
        <v>700</v>
      </c>
      <c r="E220" t="s">
        <v>361</v>
      </c>
    </row>
    <row r="221" spans="1:8" x14ac:dyDescent="0.3">
      <c r="A221" t="s">
        <v>362</v>
      </c>
      <c r="D221">
        <v>650</v>
      </c>
      <c r="E221" t="s">
        <v>362</v>
      </c>
    </row>
    <row r="222" spans="1:8" x14ac:dyDescent="0.3">
      <c r="A222" t="s">
        <v>363</v>
      </c>
      <c r="D222">
        <v>580</v>
      </c>
      <c r="E222" t="s">
        <v>363</v>
      </c>
    </row>
    <row r="223" spans="1:8" x14ac:dyDescent="0.3">
      <c r="A223" t="s">
        <v>364</v>
      </c>
      <c r="D223">
        <v>50</v>
      </c>
      <c r="E223" t="s">
        <v>364</v>
      </c>
    </row>
    <row r="224" spans="1:8" x14ac:dyDescent="0.3">
      <c r="A224" t="s">
        <v>369</v>
      </c>
      <c r="D224">
        <v>37</v>
      </c>
      <c r="E224" t="s">
        <v>369</v>
      </c>
    </row>
    <row r="227" spans="1:8" x14ac:dyDescent="0.3">
      <c r="E227" t="s">
        <v>526</v>
      </c>
      <c r="F227" t="s">
        <v>526</v>
      </c>
      <c r="G227" t="s">
        <v>526</v>
      </c>
    </row>
    <row r="228" spans="1:8" x14ac:dyDescent="0.3">
      <c r="A228" t="s">
        <v>514</v>
      </c>
      <c r="C228" s="154">
        <v>1.8315652795322535</v>
      </c>
      <c r="D228" s="154">
        <f>$B$200*B228+$C$200*C228</f>
        <v>1.4249577874760933</v>
      </c>
      <c r="F228">
        <v>0.75</v>
      </c>
      <c r="G228">
        <f>$B$200*E228+$C$200*F228</f>
        <v>0.58350000000000002</v>
      </c>
      <c r="H228">
        <f>G228*365*0.85</f>
        <v>181.03087500000001</v>
      </c>
    </row>
    <row r="229" spans="1:8" x14ac:dyDescent="0.3">
      <c r="A229" t="s">
        <v>515</v>
      </c>
      <c r="C229" s="154">
        <v>1.0380953333015059</v>
      </c>
      <c r="D229" s="154">
        <f>$B$200*B229+$C$200*C229</f>
        <v>0.80763816930857169</v>
      </c>
      <c r="F229">
        <v>0.75</v>
      </c>
      <c r="G229">
        <f t="shared" ref="G229:G232" si="50">$B$200*E229+$C$200*F229</f>
        <v>0.58350000000000002</v>
      </c>
      <c r="H229">
        <f t="shared" ref="H229:H239" si="51">G229*365*0.85</f>
        <v>181.03087500000001</v>
      </c>
    </row>
    <row r="230" spans="1:8" x14ac:dyDescent="0.3">
      <c r="A230" t="s">
        <v>516</v>
      </c>
      <c r="C230" s="154">
        <v>8.6344686453883597</v>
      </c>
      <c r="D230" s="154">
        <f t="shared" ref="D230:D239" si="52">$B$200*B230+$C$200*C230</f>
        <v>6.7176166061121441</v>
      </c>
      <c r="F230">
        <v>0.3</v>
      </c>
      <c r="G230">
        <f t="shared" si="50"/>
        <v>0.2334</v>
      </c>
      <c r="H230">
        <f t="shared" si="51"/>
        <v>72.412350000000004</v>
      </c>
    </row>
    <row r="231" spans="1:8" x14ac:dyDescent="0.3">
      <c r="A231" s="207" t="s">
        <v>517</v>
      </c>
      <c r="C231" s="154">
        <v>10.559921541493402</v>
      </c>
      <c r="D231" s="154">
        <f t="shared" si="52"/>
        <v>8.2156189592818674</v>
      </c>
      <c r="F231">
        <v>0.3</v>
      </c>
      <c r="G231">
        <f t="shared" si="50"/>
        <v>0.2334</v>
      </c>
      <c r="H231">
        <f t="shared" si="51"/>
        <v>72.412350000000004</v>
      </c>
    </row>
    <row r="232" spans="1:8" x14ac:dyDescent="0.3">
      <c r="A232" t="s">
        <v>518</v>
      </c>
      <c r="C232" s="154">
        <v>29.36969575684839</v>
      </c>
      <c r="D232" s="154">
        <f>$B$200*B232+$C$200*C232</f>
        <v>22.84962329882805</v>
      </c>
      <c r="F232">
        <v>0.3</v>
      </c>
      <c r="G232">
        <f t="shared" si="50"/>
        <v>0.2334</v>
      </c>
      <c r="H232">
        <f t="shared" si="51"/>
        <v>72.412350000000004</v>
      </c>
    </row>
    <row r="233" spans="1:8" x14ac:dyDescent="0.3">
      <c r="A233" t="s">
        <v>519</v>
      </c>
      <c r="B233" s="154">
        <v>96.634958808752742</v>
      </c>
      <c r="C233" s="154">
        <v>19.935989622908306</v>
      </c>
      <c r="D233" s="154">
        <f>$B$200*B233+$C$200*C233</f>
        <v>36.963160782165772</v>
      </c>
      <c r="E233">
        <v>1.5</v>
      </c>
      <c r="F233" s="154">
        <v>6</v>
      </c>
      <c r="G233">
        <f>$B$200*E233+$C$200*F233</f>
        <v>5.0010000000000003</v>
      </c>
      <c r="H233">
        <f t="shared" si="51"/>
        <v>1551.56025</v>
      </c>
    </row>
    <row r="234" spans="1:8" x14ac:dyDescent="0.3">
      <c r="A234" t="s">
        <v>520</v>
      </c>
      <c r="B234" s="154">
        <v>3.365041191247272</v>
      </c>
      <c r="C234" s="154">
        <v>0.63834734874145349</v>
      </c>
      <c r="D234" s="154">
        <f>$B$200*B234+$C$200*C234</f>
        <v>1.2436733817777452</v>
      </c>
      <c r="E234">
        <v>1.5</v>
      </c>
      <c r="F234" s="154">
        <v>5</v>
      </c>
      <c r="G234">
        <f>$B$200*E234+$C$200*F234</f>
        <v>4.2229999999999999</v>
      </c>
      <c r="H234">
        <f t="shared" si="51"/>
        <v>1310.1857499999999</v>
      </c>
    </row>
    <row r="235" spans="1:8" x14ac:dyDescent="0.3">
      <c r="A235" t="s">
        <v>521</v>
      </c>
      <c r="C235" s="154">
        <v>1.0449341685805908</v>
      </c>
      <c r="D235" s="154">
        <f t="shared" si="52"/>
        <v>0.81295878315569969</v>
      </c>
      <c r="F235">
        <v>5</v>
      </c>
      <c r="G235">
        <f t="shared" ref="G235:G239" si="53">$B$200*E235+$C$200*F235</f>
        <v>3.89</v>
      </c>
      <c r="H235">
        <f t="shared" si="51"/>
        <v>1206.8725000000002</v>
      </c>
    </row>
    <row r="236" spans="1:8" x14ac:dyDescent="0.3">
      <c r="A236" t="s">
        <v>522</v>
      </c>
      <c r="C236" s="154">
        <v>1.2952398997082937</v>
      </c>
      <c r="D236" s="154">
        <f t="shared" si="52"/>
        <v>1.0076966419730524</v>
      </c>
      <c r="F236">
        <v>5</v>
      </c>
      <c r="G236">
        <f t="shared" si="53"/>
        <v>3.89</v>
      </c>
      <c r="H236">
        <f t="shared" si="51"/>
        <v>1206.8725000000002</v>
      </c>
    </row>
    <row r="237" spans="1:8" x14ac:dyDescent="0.3">
      <c r="A237" t="s">
        <v>523</v>
      </c>
      <c r="C237" s="154">
        <v>1.1201457855319457</v>
      </c>
      <c r="D237" s="154">
        <f t="shared" si="52"/>
        <v>0.87147342114385373</v>
      </c>
      <c r="F237">
        <v>5</v>
      </c>
      <c r="G237">
        <f t="shared" si="53"/>
        <v>3.89</v>
      </c>
      <c r="H237">
        <f t="shared" si="51"/>
        <v>1206.8725000000002</v>
      </c>
    </row>
    <row r="238" spans="1:8" x14ac:dyDescent="0.3">
      <c r="A238" t="s">
        <v>524</v>
      </c>
      <c r="C238" s="154">
        <v>21.463843348816944</v>
      </c>
      <c r="D238" s="154">
        <f t="shared" si="52"/>
        <v>16.698870125379582</v>
      </c>
      <c r="G238">
        <f t="shared" si="53"/>
        <v>0</v>
      </c>
      <c r="H238">
        <f t="shared" si="51"/>
        <v>0</v>
      </c>
    </row>
    <row r="239" spans="1:8" x14ac:dyDescent="0.3">
      <c r="A239" t="s">
        <v>525</v>
      </c>
      <c r="C239" s="154">
        <v>3.0677532691485601</v>
      </c>
      <c r="D239" s="154">
        <f t="shared" si="52"/>
        <v>2.3867120433975799</v>
      </c>
      <c r="F239">
        <v>0.3</v>
      </c>
      <c r="G239">
        <f t="shared" si="53"/>
        <v>0.2334</v>
      </c>
      <c r="H239">
        <f t="shared" si="51"/>
        <v>72.412350000000004</v>
      </c>
    </row>
  </sheetData>
  <scenarios current="0">
    <scenario name="Test1" count="1" user="Author" comment="Created by Author on 1/17/2022">
      <inputCells r="D15" val="261.747273174708" numFmtId="164"/>
    </scenario>
  </scenarios>
  <dataConsolidate link="1"/>
  <mergeCells count="23">
    <mergeCell ref="B6:C6"/>
    <mergeCell ref="B3:C3"/>
    <mergeCell ref="F3:G3"/>
    <mergeCell ref="B4:C4"/>
    <mergeCell ref="I4:J4"/>
    <mergeCell ref="B5:C5"/>
    <mergeCell ref="BD22:BF22"/>
    <mergeCell ref="BG22:BH22"/>
    <mergeCell ref="A7:A9"/>
    <mergeCell ref="B7:C9"/>
    <mergeCell ref="E10:F10"/>
    <mergeCell ref="S10:Y10"/>
    <mergeCell ref="AO21:BH21"/>
    <mergeCell ref="E22:G22"/>
    <mergeCell ref="H22:I22"/>
    <mergeCell ref="K22:P22"/>
    <mergeCell ref="S22:Y22"/>
    <mergeCell ref="AB22:AD22"/>
    <mergeCell ref="T34:X34"/>
    <mergeCell ref="AO22:AP22"/>
    <mergeCell ref="AQ22:AT22"/>
    <mergeCell ref="AU22:AZ22"/>
    <mergeCell ref="BA22:BC22"/>
  </mergeCells>
  <dataValidations count="3">
    <dataValidation type="list" allowBlank="1" showInputMessage="1" showErrorMessage="1" sqref="B146:B149 B152:B155 B159:B167" xr:uid="{00000000-0002-0000-0300-000000000000}">
      <formula1>$B$140:$B$143</formula1>
    </dataValidation>
    <dataValidation type="list" allowBlank="1" showInputMessage="1" showErrorMessage="1" sqref="B109:B117 B84:B92 B68:B81" xr:uid="{00000000-0002-0000-0300-000001000000}">
      <formula1>$AF$3:$AF$51</formula1>
    </dataValidation>
    <dataValidation type="list" allowBlank="1" showInputMessage="1" showErrorMessage="1" sqref="B97:B105 B82 B144:B145" xr:uid="{00000000-0002-0000-0300-000002000000}">
      <formula1>$B$24:$B$30</formula1>
    </dataValidation>
  </dataValidation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300-000003000000}">
          <x14:formula1>
            <xm:f>'Imported products'!$B$5:$B$54</xm:f>
          </x14:formula1>
          <xm:sqref>B17:B18 F12:F18 G24:G30</xm:sqref>
        </x14:dataValidation>
        <x14:dataValidation type="list" allowBlank="1" showInputMessage="1" showErrorMessage="1" xr:uid="{00000000-0002-0000-0300-000004000000}">
          <x14:formula1>
            <xm:f>'Respiration and enteric gas los'!$A$4:$A$35</xm:f>
          </x14:formula1>
          <xm:sqref>B54</xm:sqref>
        </x14:dataValidation>
        <x14:dataValidation type="list" allowBlank="1" showInputMessage="1" showErrorMessage="1" xr:uid="{00000000-0002-0000-0300-000005000000}">
          <x14:formula1>
            <xm:f>'Respiration and enteric gas los'!$M$4:$M$35</xm:f>
          </x14:formula1>
          <xm:sqref>B55</xm:sqref>
        </x14:dataValidation>
        <x14:dataValidation type="list" allowBlank="1" showInputMessage="1" showErrorMessage="1" xr:uid="{00000000-0002-0000-0300-000007000000}">
          <x14:formula1>
            <xm:f>Converted_feedstuff!$C$5:$C$54</xm:f>
          </x14:formula1>
          <xm:sqref>B24:B30 E24:E30</xm:sqref>
        </x14:dataValidation>
        <x14:dataValidation type="list" allowBlank="1" showInputMessage="1" showErrorMessage="1" xr:uid="{00000000-0002-0000-0300-000008000000}">
          <x14:formula1>
            <xm:f>Other_tables!$G$5:$G$12</xm:f>
          </x14:formula1>
          <xm:sqref>C54:C58 C172:C174</xm:sqref>
        </x14:dataValidation>
        <x14:dataValidation type="list" allowBlank="1" showInputMessage="1" showErrorMessage="1" xr:uid="{00000000-0002-0000-0300-000009000000}">
          <x14:formula1>
            <xm:f>'Diesel consumption for field op'!$B$4:$B$78</xm:f>
          </x14:formula1>
          <xm:sqref>C109:C117 C159:C167</xm:sqref>
        </x14:dataValidation>
        <x14:dataValidation type="list" allowBlank="1" showInputMessage="1" showErrorMessage="1" xr:uid="{00000000-0002-0000-0300-00000A000000}">
          <x14:formula1>
            <xm:f>Other_tables!$S$5:$S$22</xm:f>
          </x14:formula1>
          <xm:sqref>C84:C92</xm:sqref>
        </x14:dataValidation>
        <x14:dataValidation type="list" allowBlank="1" showInputMessage="1" showErrorMessage="1" xr:uid="{00000000-0002-0000-0300-00000B000000}">
          <x14:formula1>
            <xm:f>'Processed products'!$B$5:$B$104</xm:f>
          </x14:formula1>
          <xm:sqref>B35:B42 L35:M37</xm:sqref>
        </x14:dataValidation>
        <x14:dataValidation type="list" allowBlank="1" showInputMessage="1" showErrorMessage="1" xr:uid="{00000000-0002-0000-0300-00000C000000}">
          <x14:formula1>
            <xm:f>Other_tables!$A$5:$A$50</xm:f>
          </x14:formula1>
          <xm:sqref>C19 C33</xm:sqref>
        </x14:dataValidation>
        <x14:dataValidation type="list" allowBlank="1" showInputMessage="1" showErrorMessage="1" xr:uid="{00000000-0002-0000-0300-00000D000000}">
          <x14:formula1>
            <xm:f>Biomass_pool_output_Tech1_modul!$A$3:$A$100</xm:f>
          </x14:formula1>
          <xm:sqref>D122:D135 E12:E18 B12:B16 B140:B143 F24:F30</xm:sqref>
        </x14:dataValidation>
        <x14:dataValidation type="list" allowBlank="1" showInputMessage="1" showErrorMessage="1" xr:uid="{00000000-0002-0000-0300-00000F000000}">
          <x14:formula1>
            <xm:f>Other_tables!$L$5:$L$13</xm:f>
          </x14:formula1>
          <xm:sqref>D146:D149 D68:D82</xm:sqref>
        </x14:dataValidation>
        <x14:dataValidation type="list" allowBlank="1" showInputMessage="1" showErrorMessage="1" xr:uid="{00000000-0002-0000-0300-000010000000}">
          <x14:formula1>
            <xm:f>Other_tables!$Q$5:$Q$6</xm:f>
          </x14:formula1>
          <xm:sqref>E146:E149 E68:E82</xm:sqref>
        </x14:dataValidation>
        <x14:dataValidation type="list" allowBlank="1" showInputMessage="1" showErrorMessage="1" xr:uid="{00000000-0002-0000-0300-000011000000}">
          <x14:formula1>
            <xm:f>'Processed products'!$C$5:$C$104</xm:f>
          </x14:formula1>
          <xm:sqref>D4</xm:sqref>
        </x14:dataValidation>
        <x14:dataValidation type="list" allowBlank="1" showInputMessage="1" showErrorMessage="1" xr:uid="{00000000-0002-0000-0300-000012000000}">
          <x14:formula1>
            <xm:f>'Processed products'!$AJ$5:$AJ$104</xm:f>
          </x14:formula1>
          <xm:sqref>A136</xm:sqref>
        </x14:dataValidation>
        <x14:dataValidation type="list" allowBlank="1" showInputMessage="1" showErrorMessage="1" xr:uid="{BC3B4A2A-3E3F-42A9-9373-DFD0966B386F}">
          <x14:formula1>
            <xm:f>'Processed products'!$AJ$5:$AJ$250</xm:f>
          </x14:formula1>
          <xm:sqref>B45:B49</xm:sqref>
        </x14:dataValidation>
        <x14:dataValidation type="list" allowBlank="1" showInputMessage="1" showErrorMessage="1" xr:uid="{00000000-0002-0000-0300-000006000000}">
          <x14:formula1>
            <xm:f>'Stable systems'!$A$4:$A$105</xm:f>
          </x14:formula1>
          <xm:sqref>A122:A134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0 l H d U h o D + 5 K o A A A A + A A A A B I A H A B D b 2 5 m a W c v U G F j a 2 F n Z S 5 4 b W w g o h g A K K A U A A A A A A A A A A A A A A A A A A A A A A A A A A A A h Y 9 B D o I w F E S v Q r q n p V W J m k 9 Z 6 E 5 J T E y M 2 6 Z U a I R i a L H c z Y V H 8 g q S K O r O 5 U z e J G 8 e t z u k f V 0 F V 9 V a 3 Z g E U R y h Q B n Z 5 N o U C e r c K Z y j l M N O y L M o V D D A x i 5 7 q x N U O n d Z E u K 9 x 3 6 C m 7 Y g L I o o O W b b v S x V L U J t r B N G K v R Z 5 f 9 X i M P h J c M Z j i m e 0 Q X D 0 5 g C G W v I t P k i b D D G E Z C f E l Z d 5 b p W 8 V y E 6 w 2 Q M Q J 5 v + B P U E s D B B Q A A g A I A N J R 3 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d 1 S K I p H u A 4 A A A A R A A A A E w A c A E Z v c m 1 1 b G F z L 1 N l Y 3 R p b 2 4 x L m 0 g o h g A K K A U A A A A A A A A A A A A A A A A A A A A A A A A A A A A K 0 5 N L s n M z 1 M I h t C G 1 g B Q S w E C L Q A U A A I A C A D S U d 1 S G g P 7 k q g A A A D 4 A A A A E g A A A A A A A A A A A A A A A A A A A A A A Q 2 9 u Z m l n L 1 B h Y 2 t h Z 2 U u e G 1 s U E s B A i 0 A F A A C A A g A 0 l H d U g / K 6 a u k A A A A 6 Q A A A B M A A A A A A A A A A A A A A A A A 9 A A A A F t D b 2 5 0 Z W 5 0 X 1 R 5 c G V z X S 5 4 b W x Q S w E C L Q A U A A I A C A D S U d 1 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o v E k 4 t O L U C + K g V k 3 s L J 5 w A A A A A C A A A A A A A D Z g A A w A A A A B A A A A D f i S N n W E 5 r d w C h L D F f e R 5 y A A A A A A S A A A C g A A A A E A A A A H v L b m B F W W p j c v E r x Q J z N + R Q A A A A m y A V z B l r D J y B h 7 l N 0 I s Z l v Z X g b u b 3 A V N g m O m B G q X R T U k H u y d p l M 3 x A D l 8 t n 1 p a l L s W 5 m h D V i Y e 8 f s a s A q k F Z M D 8 I x / N h 3 z 0 / 1 B i o 8 K 1 S y y A U A A A A + O Y b u W J J G j H U q 7 F 2 7 j j V 1 y G r 1 x Y = < / D a t a M a s h u p > 
</file>

<file path=customXml/itemProps1.xml><?xml version="1.0" encoding="utf-8"?>
<ds:datastoreItem xmlns:ds="http://schemas.openxmlformats.org/officeDocument/2006/customXml" ds:itemID="{4BB93B0E-0CC3-402E-8F77-C0F0D361D2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Example</vt:lpstr>
      <vt:lpstr>LittlePigs_up_to_31_1_conv </vt:lpstr>
      <vt:lpstr>Slpig1_conv</vt:lpstr>
      <vt:lpstr>Sow1_conv</vt:lpstr>
      <vt:lpstr>LittlePigs_up_to_31_org</vt:lpstr>
      <vt:lpstr>Slpig1_org</vt:lpstr>
      <vt:lpstr>Sow1_org</vt:lpstr>
      <vt:lpstr>Dairy_bull1_conv</vt:lpstr>
      <vt:lpstr>Dairy_heifer1_conv</vt:lpstr>
      <vt:lpstr>Dairy_cow1_conv</vt:lpstr>
      <vt:lpstr>Dairy_cow2_conv</vt:lpstr>
      <vt:lpstr>Dairy_bull1_org</vt:lpstr>
      <vt:lpstr>Dairy_heifer1_org</vt:lpstr>
      <vt:lpstr>Dairy_cow1_org</vt:lpstr>
      <vt:lpstr>Stable systems</vt:lpstr>
      <vt:lpstr>Converted_feedstuff</vt:lpstr>
      <vt:lpstr>Respiration and enteric gas los</vt:lpstr>
      <vt:lpstr>Biomass_pool_output_Tech1_modul</vt:lpstr>
      <vt:lpstr>Crop definitions</vt:lpstr>
      <vt:lpstr>Imported products</vt:lpstr>
      <vt:lpstr>Diesel consumption for field op</vt:lpstr>
      <vt:lpstr>Other_tables</vt:lpstr>
      <vt:lpstr>Processed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2024-10-22T06:41:24Z</dcterms:modified>
</cp:coreProperties>
</file>