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hidePivotFieldList="1"/>
  <xr:revisionPtr revIDLastSave="0" documentId="13_ncr:1_{CC0F0896-988F-44FD-AA28-F815A7A80D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4" l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F3" i="4"/>
  <c r="R27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6" i="4"/>
  <c r="R5" i="4"/>
  <c r="R4" i="4"/>
  <c r="J16" i="5"/>
  <c r="I16" i="5"/>
  <c r="H16" i="5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0" i="6"/>
  <c r="C20" i="6"/>
  <c r="C39" i="6"/>
  <c r="C33" i="6"/>
  <c r="C23" i="6"/>
  <c r="C25" i="6"/>
  <c r="C27" i="6"/>
  <c r="C29" i="6"/>
  <c r="C31" i="6"/>
  <c r="C35" i="6"/>
  <c r="C37" i="6"/>
  <c r="C21" i="6"/>
  <c r="E40" i="6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C2" i="4"/>
  <c r="C24" i="6"/>
  <c r="C34" i="6"/>
  <c r="C32" i="6"/>
  <c r="C22" i="6"/>
  <c r="C28" i="6"/>
  <c r="C36" i="6"/>
  <c r="C38" i="6"/>
  <c r="C26" i="6"/>
  <c r="C30" i="6"/>
  <c r="D40" i="6" l="1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E28" i="7" l="1"/>
  <c r="N3" i="5"/>
  <c r="S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F14" i="6" l="1"/>
  <c r="E14" i="6"/>
  <c r="K2" i="3" l="1"/>
  <c r="S20" i="6" l="1" a="1"/>
  <c r="S20" i="6" s="1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<sst xmlns="http://schemas.openxmlformats.org/spreadsheetml/2006/main" count="89" uniqueCount="67">
  <si>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</si>
  <si>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</si>
  <si>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</si>
  <si>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</si>
  <si>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</si>
  <si>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</si>
  <si>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</si>
  <si>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</si>
  <si>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</si>
  <si>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</si>
  <si>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</si>
  <si>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</si>
  <si>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</si>
  <si>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</si>
  <si>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</si>
  <si>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</si>
  <si>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</si>
  <si>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</si>
  <si>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</si>
  <si>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</si>
  <si>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</si>
  <si>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</si>
  <si>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</si>
  <si>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</si>
  <si>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</si>
  <si>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</si>
  <si>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</si>
  <si>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</si>
  <si>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</si>
  <si>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</si>
  <si>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</si>
  <si>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</si>
  <si>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</si>
  <si>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</si>
  <si>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</si>
  <si>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</si>
  <si>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</si>
  <si>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</si>
  <si>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</si>
  <si>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</si>
  <si>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</si>
  <si>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</si>
  <si>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</si>
  <si>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</si>
  <si>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</si>
  <si>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</si>
  <si>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</si>
  <si>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</si>
  <si>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</si>
  <si>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</si>
  <si>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</si>
  <si>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</si>
  <si>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</si>
  <si>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</si>
  <si>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</si>
  <si>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</si>
  <si>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</si>
  <si>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</si>
  <si>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</si>
  <si>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</si>
  <si>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</si>
  <si>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</si>
  <si>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</si>
  <si>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</si>
  <si>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</si>
  <si>
    <t>Ocurrencias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</si>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</sst>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3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0" borderId="18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9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2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1" xfId="0" applyFill="1" applyBorder="1"/>
    <xf numFmtId="0" fontId="0" fillId="0" borderId="22" xfId="0" applyBorder="1"/>
    <xf numFmtId="0" fontId="0" fillId="5" borderId="23" xfId="0" applyFill="1" applyBorder="1"/>
    <xf numFmtId="0" fontId="0" fillId="5" borderId="24" xfId="0" applyFill="1" applyBorder="1"/>
    <xf numFmtId="0" fontId="0" fillId="2" borderId="26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2" xfId="0" applyNumberFormat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2" fontId="0" fillId="0" borderId="22" xfId="0" applyNumberFormat="1" applyBorder="1"/>
    <xf numFmtId="2" fontId="0" fillId="0" borderId="0" xfId="0" applyNumberFormat="1" applyBorder="1"/>
    <xf numFmtId="2" fontId="0" fillId="0" borderId="25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1" xfId="0" applyFill="1" applyBorder="1"/>
    <xf numFmtId="0" fontId="0" fillId="5" borderId="30" xfId="0" applyFill="1" applyBorder="1"/>
    <xf numFmtId="0" fontId="0" fillId="5" borderId="32" xfId="0" applyFill="1" applyBorder="1"/>
    <xf numFmtId="1" fontId="0" fillId="0" borderId="0" xfId="0" applyNumberFormat="1" applyBorder="1"/>
    <xf numFmtId="0" fontId="0" fillId="2" borderId="3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20" xfId="0" applyNumberFormat="1" applyFill="1" applyBorder="1"/>
    <xf numFmtId="1" fontId="0" fillId="0" borderId="29" xfId="0" applyNumberFormat="1" applyFill="1" applyBorder="1"/>
    <xf numFmtId="0" fontId="0" fillId="2" borderId="2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  <xf numFmtId="3" fontId="0" fillId="0" borderId="0" xfId="0" applyNumberFormat="1" applyBorder="1"/>
    <xf numFmtId="3" fontId="0" fillId="0" borderId="25" xfId="0" applyNumberFormat="1" applyBorder="1"/>
  </cellXfs>
  <cellStyles count="2">
    <cellStyle name="Normal" xfId="0" builtinId="0"/>
    <cellStyle name="Porcentaje" xfId="1" builtinId="5"/>
  </cellStyles>
  <dxfs count="29"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3.9574904473039503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2.4339596031261825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2.4339596031261825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Tiempos!$Q$4:$Q$27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Tiempos!$R$4:$R$27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scatterChart>
        <c:scatterStyle val="smoothMarker"/>
        <c:varyColors val="0"/>
        <c:ser>
          <c:idx val="1"/>
          <c:order val="1"/>
          <c:tx>
            <c:strRef>
              <c:f>Tiempos!$S$3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Tiempos!$Q$4:$Q$27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Tiempos!$S$4:$S$27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5-42C5-A687-967C66B5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2.4339596031261825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34</xdr:row>
      <xdr:rowOff>119062</xdr:rowOff>
    </xdr:from>
    <xdr:to>
      <xdr:col>13</xdr:col>
      <xdr:colOff>238125</xdr:colOff>
      <xdr:row>49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26">
  <autoFilter ref="A1:N1048576" xr:uid="{B7E8E3F6-4A56-4C38-9CDA-83612E98463A}"/>
  <tableColumns count="14">
    <tableColumn id="12" xr3:uid="{0AB4C432-387A-4CA4-B057-810DBFBD7743}" name="Id" dataDxfId="25"/>
    <tableColumn id="1" xr3:uid="{D4B468C3-7CDA-4F31-9638-09A527779C87}" name="Mia" dataDxfId="24"/>
    <tableColumn id="2" xr3:uid="{65EE12B7-2552-4910-A353-7AE48A3D7AA6}" name="FA"/>
    <tableColumn id="3" xr3:uid="{1D6E5D7A-6668-40F4-BA00-3A91CC9AC5BF}" name="Duracion" dataDxfId="23"/>
    <tableColumn id="4" xr3:uid="{E8F61A2B-CC2B-4DF4-AE8C-8C20147ABC40}" name="Visionados" dataDxfId="22"/>
    <tableColumn id="14" xr3:uid="{2E72113E-50BE-41C7-8BFD-59035950093F}" name="Varianza_FA" dataDxfId="21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20">
      <calculatedColumnFormula>IF($H2&gt;0,1,0.1)</calculatedColumnFormula>
    </tableColumn>
    <tableColumn id="9" xr3:uid="{C6FE0FC6-41FF-42DC-95D7-3BA16482D743}" name="Mia_ruido" dataDxfId="19"/>
    <tableColumn id="13" xr3:uid="{F6539847-A910-4F63-B100-298A992D7D82}" name="FA_ruido" dataDxfId="18">
      <calculatedColumnFormula>C2+(RAND()-0.5)/10</calculatedColumnFormula>
    </tableColumn>
    <tableColumn id="10" xr3:uid="{1D5E088C-37BD-4B8F-BD0A-602AB1027E68}" name="Mia_rees" dataDxfId="17"/>
    <tableColumn id="11" xr3:uid="{19C47E50-9952-473E-A08A-65D82E3962A6}" name="FA_re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5">
  <autoFilter ref="B3:F13" xr:uid="{B2653B35-92CE-4059-8AD4-DBAEE93A2DB7}"/>
  <tableColumns count="5">
    <tableColumn id="1" xr3:uid="{AF390C70-03AA-431F-A8ED-30C0DCB9DFDF}" name="Puntos" dataDxfId="14"/>
    <tableColumn id="2" xr3:uid="{598A8C01-1D1C-420B-8694-D25317E8EB25}" name="Yo" dataDxfId="13">
      <calculatedColumnFormula>COUNTIF(NotasMias,Normal_discreta[[#This Row],[Puntos]])</calculatedColumnFormula>
    </tableColumn>
    <tableColumn id="3" xr3:uid="{B4249F61-8354-492B-A8D7-1FC4AD8817B0}" name="FilmAffinity" dataDxfId="12"/>
    <tableColumn id="4" xr3:uid="{02468E76-7BC0-4435-8771-BCB059D4E47D}" name="Normal yo" dataDxfId="11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10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9" tableBorderDxfId="8">
  <autoFilter ref="B19:F39" xr:uid="{E0D9576F-E16E-4D59-8D7E-7FCBC06A5729}"/>
  <tableColumns count="5">
    <tableColumn id="1" xr3:uid="{0239E3C8-6B59-4E95-8128-0CA23E525DC8}" name="Puntos " dataDxfId="7"/>
    <tableColumn id="2" xr3:uid="{DD42BB33-62C8-4E24-BD0D-81BEC813AAE5}" name="Yo" dataDxfId="6"/>
    <tableColumn id="3" xr3:uid="{22EF7FA5-DCB7-4C87-8C5D-261E5B9E0111}" name="FilmAffinity" dataDxfId="5">
      <calculatedColumnFormula>COUNTIF(Tabla1[FA_redondeo],Normal_continua[[#This Row],[Puntos ]])</calculatedColumnFormula>
    </tableColumn>
    <tableColumn id="4" xr3:uid="{7D5AFCB4-B113-4668-BD2B-91ABFA1287DC}" name="Normal Yo" dataDxfId="4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3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FFC25-E554-49FC-9485-58BDC89F7ED4}" name="Tiempos_normal" displayName="Tiempos_normal" ref="Q3:S27" totalsRowShown="0" tableBorderDxfId="2">
  <autoFilter ref="Q3:S27" xr:uid="{E5AFFC25-E554-49FC-9485-58BDC89F7ED4}"/>
  <tableColumns count="3">
    <tableColumn id="1" xr3:uid="{9480A362-FEE1-48D4-8ACA-A2492EA7E360}" name="Minutos" dataDxfId="1"/>
    <tableColumn id="2" xr3:uid="{A2427276-3F9C-4E12-9EC9-F89716AF732E}" name="Ocurrencias">
      <calculatedColumnFormula>COUNTIF(Notas!D:D,"&lt;="&amp;Q4)-COUNTIF(Notas!D:D,"&lt;="&amp;Q3)</calculatedColumnFormula>
    </tableColumn>
    <tableColumn id="3" xr3:uid="{FCC37941-690A-4CC1-A9C7-96E0FC9A264C}" name="Normal" dataDxfId="0">
      <calculatedColumnFormula>(_xlfn.NORM.DIST(Tiempos_normal[[#This Row],[Minutos]],$F$1,SQRT($F$3),TRUE)-_xlfn.NORM.DIST(OFFSET(Tiempos_normal[[#This Row],[Minutos]],-1,0),$F$1,SQRT($F$3),TRUE))*$C$2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69" customWidth="1"/>
    <col min="5" max="6" width="12.140625" style="69" customWidth="1"/>
    <col min="7" max="7" width="13.5703125" customWidth="1"/>
    <col min="8" max="8" width="11.7109375" customWidth="1"/>
    <col min="9" max="9" width="9.42578125" customWidth="1"/>
    <col min="10" max="10" width="10.5703125" style="74" customWidth="1"/>
    <col min="11" max="12" width="7.42578125" style="28" customWidth="1"/>
    <col min="13" max="13" width="15.85546875" style="67" customWidth="1"/>
    <col min="14" max="14" width="14.85546875" style="67" customWidth="1"/>
    <col min="15" max="15" width="8.28515625" style="52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52</v>
      </c>
      <c r="B1" t="s">
        <v>47</v>
      </c>
      <c r="C1" t="s">
        <v>48</v>
      </c>
      <c r="D1" t="s">
        <v>49</v>
      </c>
      <c r="E1" s="69" t="s">
        <v>50</v>
      </c>
      <c r="F1" s="69" t="s">
        <v>53</v>
      </c>
      <c r="G1" t="s">
        <v>54</v>
      </c>
      <c r="H1" t="s">
        <v>51</v>
      </c>
      <c r="I1" t="s">
        <v>55</v>
      </c>
      <c r="J1" s="29" t="s">
        <v>56</v>
      </c>
      <c r="K1" t="s">
        <v>57</v>
      </c>
      <c r="L1" t="s">
        <v>58</v>
      </c>
      <c r="M1" s="67" t="s">
        <v>59</v>
      </c>
      <c r="N1" s="67" t="s">
        <v>60</v>
      </c>
    </row>
    <row r="2" spans="1:31" x14ac:dyDescent="0.25">
      <c r="A2" s="17">
        <v>555555</v>
      </c>
      <c r="B2" s="17">
        <v>2</v>
      </c>
      <c r="C2">
        <v>4</v>
      </c>
      <c r="D2" s="69">
        <v>130</v>
      </c>
      <c r="E2" s="69">
        <v>26047</v>
      </c>
      <c r="F2" s="75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4">
        <f t="shared" ref="J2" si="2">IF($H2&gt;0,1,0.1)</f>
        <v>0.1</v>
      </c>
      <c r="K2" s="28">
        <f t="shared" ref="K2" ca="1" si="3">B2+RAND()-0.5</f>
        <v>2.4339596031261825</v>
      </c>
      <c r="L2" s="28">
        <f t="shared" ref="L2" ca="1" si="4">C2+(RAND()-0.5)/10</f>
        <v>3.9574904473039503</v>
      </c>
      <c r="M2" s="67">
        <f t="shared" ref="M2" si="5">(B2-1)*10/9</f>
        <v>1.1111111111111112</v>
      </c>
      <c r="N2" s="67">
        <f t="shared" ref="N2" si="6">(C2-1)*10/9</f>
        <v>3.3333333333333335</v>
      </c>
      <c r="O2" s="53"/>
      <c r="P2" s="25"/>
      <c r="Q2" s="25"/>
      <c r="R2" s="25"/>
      <c r="V2" s="52"/>
      <c r="W2" s="52"/>
    </row>
    <row r="3" spans="1:31" x14ac:dyDescent="0.25">
      <c r="O3" s="62"/>
      <c r="P3" s="27"/>
      <c r="Q3" s="27"/>
      <c r="R3" s="25"/>
      <c r="V3" s="52"/>
      <c r="W3" s="52"/>
    </row>
    <row r="4" spans="1:31" x14ac:dyDescent="0.25">
      <c r="O4" s="62"/>
      <c r="P4" s="27"/>
      <c r="Q4" s="27"/>
      <c r="R4" s="25"/>
      <c r="V4" s="53"/>
      <c r="W4" s="53"/>
    </row>
    <row r="5" spans="1:31" x14ac:dyDescent="0.25">
      <c r="O5" s="53"/>
      <c r="P5" s="25"/>
      <c r="Q5" s="25"/>
      <c r="R5" s="25"/>
      <c r="V5" s="53"/>
      <c r="W5" s="53"/>
      <c r="AE5" s="1"/>
    </row>
    <row r="6" spans="1:31" x14ac:dyDescent="0.25">
      <c r="O6" s="53"/>
      <c r="P6" s="25"/>
      <c r="Q6" s="25"/>
      <c r="R6" s="25"/>
      <c r="V6" s="53"/>
      <c r="W6" s="53"/>
    </row>
    <row r="7" spans="1:31" x14ac:dyDescent="0.25">
      <c r="O7" s="53"/>
      <c r="P7" s="25"/>
      <c r="Q7" s="25"/>
      <c r="R7" s="25"/>
      <c r="V7" s="53"/>
      <c r="W7" s="53"/>
    </row>
    <row r="8" spans="1:31" x14ac:dyDescent="0.25">
      <c r="O8" s="53"/>
      <c r="P8" s="25"/>
      <c r="Q8" s="25"/>
      <c r="R8" s="25"/>
      <c r="V8" s="53"/>
      <c r="W8" s="53"/>
    </row>
    <row r="9" spans="1:31" x14ac:dyDescent="0.25">
      <c r="O9" s="53"/>
      <c r="P9" s="25"/>
      <c r="Q9" s="25"/>
      <c r="R9" s="25"/>
      <c r="V9" s="53"/>
      <c r="W9" s="53"/>
    </row>
    <row r="10" spans="1:31" x14ac:dyDescent="0.25">
      <c r="O10" s="53"/>
      <c r="P10" s="25"/>
      <c r="Q10" s="25"/>
      <c r="R10" s="25"/>
      <c r="V10" s="53"/>
      <c r="W10" s="53"/>
    </row>
    <row r="11" spans="1:31" x14ac:dyDescent="0.25">
      <c r="O11" s="53"/>
      <c r="P11" s="25"/>
      <c r="Q11" s="25"/>
      <c r="R11" s="25"/>
      <c r="V11" s="53"/>
      <c r="W11" s="53"/>
    </row>
    <row r="12" spans="1:31" x14ac:dyDescent="0.25">
      <c r="O12" s="53"/>
      <c r="P12" s="25"/>
      <c r="Q12" s="25"/>
      <c r="R12" s="25"/>
      <c r="V12" s="53"/>
      <c r="W12" s="53"/>
    </row>
    <row r="13" spans="1:31" x14ac:dyDescent="0.25">
      <c r="O13" s="53"/>
      <c r="P13" s="25"/>
      <c r="Q13" s="25"/>
      <c r="R13" s="25"/>
      <c r="V13" s="53"/>
      <c r="W13" s="53"/>
    </row>
    <row r="14" spans="1:31" x14ac:dyDescent="0.25">
      <c r="O14" s="53"/>
      <c r="P14" s="25"/>
      <c r="Q14" s="25"/>
      <c r="R14" s="25"/>
      <c r="V14" s="53"/>
      <c r="W14" s="53"/>
    </row>
    <row r="15" spans="1:31" x14ac:dyDescent="0.25">
      <c r="O15" s="53"/>
      <c r="P15" s="25"/>
      <c r="Q15" s="25"/>
      <c r="R15" s="25"/>
      <c r="V15" s="53"/>
      <c r="W15" s="53"/>
    </row>
    <row r="16" spans="1:31" x14ac:dyDescent="0.25">
      <c r="O16" s="53"/>
      <c r="P16" s="25"/>
      <c r="Q16" s="25"/>
      <c r="R16" s="25"/>
      <c r="V16" s="53"/>
      <c r="W16" s="53"/>
    </row>
    <row r="17" spans="22:23" x14ac:dyDescent="0.25">
      <c r="V17" s="53"/>
      <c r="W17" s="53"/>
    </row>
    <row r="18" spans="22:23" x14ac:dyDescent="0.25">
      <c r="V18" s="53"/>
      <c r="W18" s="53"/>
    </row>
    <row r="19" spans="22:23" x14ac:dyDescent="0.25">
      <c r="V19" s="53"/>
      <c r="W19" s="53"/>
    </row>
    <row r="20" spans="22:23" x14ac:dyDescent="0.25">
      <c r="V20" s="53"/>
      <c r="W20" s="53"/>
    </row>
    <row r="21" spans="22:23" x14ac:dyDescent="0.25">
      <c r="V21" s="53"/>
      <c r="W21" s="53"/>
    </row>
    <row r="22" spans="22:23" x14ac:dyDescent="0.25">
      <c r="V22" s="53"/>
      <c r="W22" s="53"/>
    </row>
    <row r="23" spans="22:23" x14ac:dyDescent="0.25">
      <c r="V23" s="53"/>
      <c r="W23" s="53"/>
    </row>
    <row r="24" spans="22:23" x14ac:dyDescent="0.25">
      <c r="V24" s="53"/>
      <c r="W24" s="53"/>
    </row>
    <row r="25" spans="22:23" x14ac:dyDescent="0.25">
      <c r="V25" s="53"/>
      <c r="W25" s="53"/>
    </row>
    <row r="26" spans="22:23" x14ac:dyDescent="0.25">
      <c r="V26" s="53"/>
      <c r="W26" s="53"/>
    </row>
    <row r="27" spans="22:23" x14ac:dyDescent="0.25">
      <c r="V27" s="53"/>
      <c r="W27" s="53"/>
    </row>
    <row r="28" spans="22:23" x14ac:dyDescent="0.25">
      <c r="V28" s="53"/>
      <c r="W28" s="53"/>
    </row>
    <row r="29" spans="22:23" x14ac:dyDescent="0.25">
      <c r="V29" s="53"/>
      <c r="W29" s="53"/>
    </row>
    <row r="30" spans="22:23" x14ac:dyDescent="0.25">
      <c r="V30" s="53"/>
      <c r="W30" s="53"/>
    </row>
    <row r="31" spans="22:23" x14ac:dyDescent="0.25">
      <c r="V31" s="53"/>
      <c r="W31" s="53"/>
    </row>
    <row r="32" spans="22:23" x14ac:dyDescent="0.25">
      <c r="V32" s="53"/>
      <c r="W32" s="53"/>
    </row>
    <row r="33" spans="22:23" x14ac:dyDescent="0.25">
      <c r="V33" s="53"/>
      <c r="W33" s="53"/>
    </row>
    <row r="34" spans="22:23" x14ac:dyDescent="0.25">
      <c r="V34" s="53"/>
      <c r="W34" s="53"/>
    </row>
    <row r="35" spans="22:23" x14ac:dyDescent="0.25">
      <c r="V35" s="53"/>
      <c r="W35" s="53"/>
    </row>
    <row r="36" spans="22:23" x14ac:dyDescent="0.25">
      <c r="V36" s="53"/>
      <c r="W36" s="53"/>
    </row>
    <row r="37" spans="22:23" x14ac:dyDescent="0.25">
      <c r="V37" s="53"/>
      <c r="W37" s="53"/>
    </row>
    <row r="38" spans="22:23" x14ac:dyDescent="0.25">
      <c r="V38" s="53"/>
      <c r="W38" s="53"/>
    </row>
    <row r="39" spans="22:23" x14ac:dyDescent="0.25">
      <c r="V39" s="53"/>
      <c r="W39" s="53"/>
    </row>
    <row r="40" spans="22:23" x14ac:dyDescent="0.25">
      <c r="V40" s="53"/>
      <c r="W40" s="53"/>
    </row>
    <row r="41" spans="22:23" x14ac:dyDescent="0.25">
      <c r="V41" s="53"/>
      <c r="W41" s="53"/>
    </row>
    <row r="42" spans="22:23" x14ac:dyDescent="0.25">
      <c r="V42" s="53"/>
      <c r="W42" s="53"/>
    </row>
    <row r="43" spans="22:23" x14ac:dyDescent="0.25">
      <c r="V43" s="52"/>
      <c r="W43" s="52"/>
    </row>
    <row r="44" spans="22:23" x14ac:dyDescent="0.25">
      <c r="V44" s="52"/>
      <c r="W44" s="52"/>
    </row>
    <row r="45" spans="22:23" x14ac:dyDescent="0.25">
      <c r="V45" s="52"/>
      <c r="W45" s="52"/>
    </row>
    <row r="46" spans="22:23" x14ac:dyDescent="0.25">
      <c r="V46" s="52"/>
      <c r="W46" s="52"/>
    </row>
    <row r="47" spans="22:23" x14ac:dyDescent="0.25">
      <c r="V47" s="52"/>
      <c r="W47" s="52"/>
    </row>
    <row r="48" spans="22:23" x14ac:dyDescent="0.25">
      <c r="V48" s="52"/>
      <c r="W48" s="52"/>
    </row>
    <row r="49" spans="22:23" x14ac:dyDescent="0.25">
      <c r="V49" s="52"/>
      <c r="W49" s="52"/>
    </row>
    <row r="164" ht="15.75" customHeight="1" x14ac:dyDescent="0.25"/>
    <row r="165" ht="15.75" customHeight="1" x14ac:dyDescent="0.25"/>
  </sheetData>
  <conditionalFormatting sqref="J1:J1048576">
    <cfRule type="cellIs" dxfId="28" priority="4" operator="equal">
      <formula>0.1</formula>
    </cfRule>
    <cfRule type="cellIs" dxfId="27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F4" sqref="F4"/>
    </sheetView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5"/>
    </row>
    <row r="2" spans="1:14" x14ac:dyDescent="0.25">
      <c r="A2" t="s">
        <v>61</v>
      </c>
      <c r="B2">
        <f>COUNT(Tabla1[FA])</f>
        <v>1</v>
      </c>
      <c r="G2" s="25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6" t="s">
        <v>17</v>
      </c>
      <c r="F3" s="8">
        <f>_xlfn.VAR.P(Tabla1[FA])</f>
        <v>0</v>
      </c>
      <c r="G3" s="26" t="s">
        <v>20</v>
      </c>
      <c r="H3" s="7">
        <f>MEDIAN(Tabla1[FA])</f>
        <v>4</v>
      </c>
      <c r="I3" s="27" t="s">
        <v>22</v>
      </c>
      <c r="J3" s="7" t="e">
        <f>SKEW(Tabla1[FA])</f>
        <v>#DIV/0!</v>
      </c>
      <c r="K3" t="s">
        <v>25</v>
      </c>
      <c r="L3" s="55">
        <f>MAX(Tabla1[FA])</f>
        <v>4</v>
      </c>
      <c r="M3" t="s">
        <v>26</v>
      </c>
      <c r="N3" s="55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6" t="s">
        <v>17</v>
      </c>
      <c r="F4" s="6">
        <f>_xlfn.VAR.P(NotasMias)</f>
        <v>0</v>
      </c>
      <c r="G4" s="26" t="s">
        <v>20</v>
      </c>
      <c r="H4" s="5">
        <f>MEDIAN(NotasMias)</f>
        <v>2</v>
      </c>
      <c r="I4" s="27" t="s">
        <v>22</v>
      </c>
      <c r="J4" s="5" t="e">
        <f>SKEW(NotasMias)</f>
        <v>#DIV/0!</v>
      </c>
      <c r="K4" t="s">
        <v>25</v>
      </c>
      <c r="L4" s="56">
        <f>MAX(NotasMias)</f>
        <v>2</v>
      </c>
      <c r="M4" t="s">
        <v>26</v>
      </c>
      <c r="N4" s="56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5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7"/>
      <c r="F6" s="1"/>
      <c r="G6" s="27"/>
    </row>
    <row r="8" spans="1:14" x14ac:dyDescent="0.25">
      <c r="A8" t="s">
        <v>4</v>
      </c>
      <c r="B8">
        <f>MAX(Tabla1[Diferencia_abs])</f>
        <v>2</v>
      </c>
      <c r="C8" t="s">
        <v>23</v>
      </c>
      <c r="D8" s="30" t="e">
        <f>CORREL(Notas!B:B,Notas!C:C)</f>
        <v>#DIV/0!</v>
      </c>
      <c r="E8" s="51"/>
      <c r="F8" s="30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5"/>
      <c r="G14" s="25" t="s">
        <v>63</v>
      </c>
      <c r="H14" t="s">
        <v>50</v>
      </c>
      <c r="I14" t="s">
        <v>64</v>
      </c>
      <c r="J14" t="s">
        <v>17</v>
      </c>
    </row>
    <row r="15" spans="1:14" x14ac:dyDescent="0.25">
      <c r="A15" s="12" t="s">
        <v>13</v>
      </c>
      <c r="F15" s="25"/>
      <c r="G15" s="73">
        <v>7.8</v>
      </c>
      <c r="H15" s="89">
        <v>1000</v>
      </c>
      <c r="I15" s="89">
        <v>90</v>
      </c>
      <c r="J15" s="90">
        <v>1.6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2"/>
      <c r="F16" s="62" t="s">
        <v>43</v>
      </c>
      <c r="G16" s="71">
        <f>COUNTIF(NotasFA,"&lt;="&amp;G15)/Pelis_con_nota</f>
        <v>1</v>
      </c>
      <c r="H16" s="71">
        <f>COUNTIF(Tabla1[Visionados],"&lt;="&amp;H15)/Pelis_con_nota</f>
        <v>0</v>
      </c>
      <c r="I16" s="71">
        <f>COUNTIF(Tabla1[Duracion],"&lt;="&amp;I15)/Pelis_con_nota</f>
        <v>0</v>
      </c>
      <c r="J16" s="71">
        <f>COUNTIF(Tabla1[Varianza_FA],"&lt;="&amp;J15)/Pelis_con_nota</f>
        <v>0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2"/>
      <c r="F17" s="62" t="s">
        <v>44</v>
      </c>
      <c r="G17" s="72">
        <f>COUNTIF(NotasMias,"&lt;="&amp;G15)/Pelis</f>
        <v>1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workbookViewId="0">
      <selection activeCell="E5" sqref="E5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80" t="s">
        <v>62</v>
      </c>
      <c r="C3" s="81" t="s">
        <v>9</v>
      </c>
      <c r="D3" s="82" t="s">
        <v>12</v>
      </c>
      <c r="E3" s="83" t="s">
        <v>18</v>
      </c>
      <c r="F3" s="84" t="s">
        <v>19</v>
      </c>
    </row>
    <row r="4" spans="2:6" x14ac:dyDescent="0.25">
      <c r="B4" s="76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40" t="e">
        <f>_xlfn.NORM.DIST(Normal_discreta[[#This Row],[Puntos]],MediaMia,SQRT(VarMia),TRUE)*Pelis</f>
        <v>#NUM!</v>
      </c>
      <c r="F4" s="63" t="e">
        <f>_xlfn.NORM.DIST(Normal_discreta[[#This Row],[Puntos]],MediaFA,SQRT(VarFA),TRUE)*Pelis_con_nota</f>
        <v>#NUM!</v>
      </c>
    </row>
    <row r="5" spans="2:6" x14ac:dyDescent="0.25">
      <c r="B5" s="77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1" t="e">
        <f ca="1">(_xlfn.NORM.DIST(Normal_discreta[[#This Row],[Puntos]],MediaMia,SQRT(VarMia),TRUE)-_xlfn.NORM.DIST(OFFSET(Normal_discreta[[#This Row],[Puntos]],-1,0),MediaMia,SQRT(VarMia),TRUE))*Pelis</f>
        <v>#NUM!</v>
      </c>
      <c r="F5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77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1" t="e">
        <f ca="1">(_xlfn.NORM.DIST(Normal_discreta[[#This Row],[Puntos]],MediaMia,SQRT(VarMia),TRUE)-_xlfn.NORM.DIST(OFFSET(Normal_discreta[[#This Row],[Puntos]],-1,0),MediaMia,SQRT(VarMia),TRUE))*Pelis</f>
        <v>#NUM!</v>
      </c>
      <c r="F6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77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1" t="e">
        <f ca="1">(_xlfn.NORM.DIST(Normal_discreta[[#This Row],[Puntos]],MediaMia,SQRT(VarMia),TRUE)-_xlfn.NORM.DIST(OFFSET(Normal_discreta[[#This Row],[Puntos]],-1,0),MediaMia,SQRT(VarMia),TRUE))*Pelis</f>
        <v>#NUM!</v>
      </c>
      <c r="F7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77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1" t="e">
        <f ca="1">(_xlfn.NORM.DIST(Normal_discreta[[#This Row],[Puntos]],MediaMia,SQRT(VarMia),TRUE)-_xlfn.NORM.DIST(OFFSET(Normal_discreta[[#This Row],[Puntos]],-1,0),MediaMia,SQRT(VarMia),TRUE))*Pelis</f>
        <v>#NUM!</v>
      </c>
      <c r="F8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77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1" t="e">
        <f ca="1">(_xlfn.NORM.DIST(Normal_discreta[[#This Row],[Puntos]],MediaMia,SQRT(VarMia),TRUE)-_xlfn.NORM.DIST(OFFSET(Normal_discreta[[#This Row],[Puntos]],-1,0),MediaMia,SQRT(VarMia),TRUE))*Pelis</f>
        <v>#NUM!</v>
      </c>
      <c r="F9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77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1" t="e">
        <f ca="1">(_xlfn.NORM.DIST(Normal_discreta[[#This Row],[Puntos]],MediaMia,SQRT(VarMia),TRUE)-_xlfn.NORM.DIST(OFFSET(Normal_discreta[[#This Row],[Puntos]],-1,0),MediaMia,SQRT(VarMia),TRUE))*Pelis</f>
        <v>#NUM!</v>
      </c>
      <c r="F10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77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1" t="e">
        <f ca="1">(_xlfn.NORM.DIST(Normal_discreta[[#This Row],[Puntos]],MediaMia,SQRT(VarMia),TRUE)-_xlfn.NORM.DIST(OFFSET(Normal_discreta[[#This Row],[Puntos]],-1,0),MediaMia,SQRT(VarMia),TRUE))*Pelis</f>
        <v>#NUM!</v>
      </c>
      <c r="F11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77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1" t="e">
        <f ca="1">(_xlfn.NORM.DIST(Normal_discreta[[#This Row],[Puntos]],MediaMia,SQRT(VarMia),TRUE)-_xlfn.NORM.DIST(OFFSET(Normal_discreta[[#This Row],[Puntos]],-1,0),MediaMia,SQRT(VarMia),TRUE))*Pelis</f>
        <v>#NUM!</v>
      </c>
      <c r="F12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78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1" t="e">
        <f ca="1">(_xlfn.NORM.DIST(Normal_discreta[[#This Row],[Puntos]],MediaMia,SQRT(VarMia),TRUE)-_xlfn.NORM.DIST(OFFSET(Normal_discreta[[#This Row],[Puntos]],-1,0),MediaMia,SQRT(VarMia),TRUE))*Pelis</f>
        <v>#NUM!</v>
      </c>
      <c r="F13" s="79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3" t="e">
        <f>SUM(E4:E13)</f>
        <v>#NUM!</v>
      </c>
      <c r="F14" s="63" t="e">
        <f>SUM(F4:F13)</f>
        <v>#NUM!</v>
      </c>
    </row>
    <row r="19" spans="2:19" ht="15.75" thickBot="1" x14ac:dyDescent="0.3">
      <c r="B19" s="80" t="s">
        <v>7</v>
      </c>
      <c r="C19" s="81" t="s">
        <v>9</v>
      </c>
      <c r="D19" s="87" t="s">
        <v>12</v>
      </c>
      <c r="E19" s="88" t="s">
        <v>24</v>
      </c>
      <c r="F19" s="87" t="s">
        <v>19</v>
      </c>
    </row>
    <row r="20" spans="2:19" x14ac:dyDescent="0.25">
      <c r="B20" s="76">
        <v>0.5</v>
      </c>
      <c r="C20" s="33">
        <f>C21/2</f>
        <v>0</v>
      </c>
      <c r="D20" s="43">
        <f>COUNTIF(Tabla1[FA_redondeo],Normal_continua[[#This Row],[Puntos ]])</f>
        <v>0</v>
      </c>
      <c r="E20" s="40" t="e">
        <f>(_xlfn.NORM.DIST(Normal_continua[[#This Row],[Puntos ]],MediaMia,SQRT(VarMia),TRUE))*Pelis</f>
        <v>#NUM!</v>
      </c>
      <c r="F20" s="85" t="e">
        <f>_xlfn.NORM.DIST(Normal_continua[[#This Row],[Puntos ]],MediaFA,SQRT(VarFA),TRUE)*Pelis_con_nota</f>
        <v>#NUM!</v>
      </c>
      <c r="R20" t="s">
        <v>28</v>
      </c>
      <c r="S20" s="30" t="e" cm="1">
        <f t="array" aca="1" ref="S20" ca="1">_xlfn.CHISQ.DIST(SUM((C22:C39-E22:E39)^2/E22:E39),18,TRUE)</f>
        <v>#NUM!</v>
      </c>
    </row>
    <row r="21" spans="2:19" x14ac:dyDescent="0.25">
      <c r="B21" s="77">
        <v>1</v>
      </c>
      <c r="C21" s="34">
        <f>COUNTIF(NotasMias,Normal_continua[[#This Row],[Puntos ]])/2</f>
        <v>0</v>
      </c>
      <c r="D21" s="44">
        <f>COUNTIF(Tabla1[FA_redondeo],Normal_continua[[#This Row],[Puntos ]])</f>
        <v>0</v>
      </c>
      <c r="E21" s="41" t="e">
        <f ca="1">(_xlfn.NORM.DIST(Normal_continua[[#This Row],[Puntos ]],MediaMia,SQRT(VarMia),TRUE)-_xlfn.NORM.DIST(OFFSET(Normal_continua[[#This Row],[Puntos ]],-1,0),MediaMia,SQRT(VarMia),TRUE))*Pelis</f>
        <v>#NUM!</v>
      </c>
      <c r="F21" s="86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29</v>
      </c>
      <c r="S21" s="30" t="e" cm="1">
        <f t="array" aca="1" ref="S21" ca="1">_xlfn.CHISQ.DIST(SUM((D25:D39-F25:F39)^2/F25:F39),18,TRUE)</f>
        <v>#NUM!</v>
      </c>
    </row>
    <row r="22" spans="2:19" x14ac:dyDescent="0.25">
      <c r="B22" s="77">
        <v>1.5</v>
      </c>
      <c r="C22" s="34">
        <f ca="1">AVERAGE(INDIRECT(ADDRESS(ROW()-1,COLUMN())),INDIRECT(ADDRESS(ROW()+1,COLUMN())))</f>
        <v>0.25</v>
      </c>
      <c r="D22" s="44">
        <f>COUNTIF(Tabla1[FA_redondeo],Normal_continua[[#This Row],[Puntos ]])</f>
        <v>0</v>
      </c>
      <c r="E22" s="41" t="e">
        <f ca="1">(_xlfn.NORM.DIST(Normal_continua[[#This Row],[Puntos ]],MediaMia,SQRT(VarMia),TRUE)-_xlfn.NORM.DIST(OFFSET(Normal_continua[[#This Row],[Puntos ]],-1,0),MediaMia,SQRT(VarMia),TRUE))*Pelis</f>
        <v>#NUM!</v>
      </c>
      <c r="F22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77">
        <v>2</v>
      </c>
      <c r="C23" s="34">
        <f>COUNTIF(NotasMias,Normal_continua[[#This Row],[Puntos ]])/2</f>
        <v>0.5</v>
      </c>
      <c r="D23" s="44">
        <f>COUNTIF(Tabla1[FA_redondeo],Normal_continua[[#This Row],[Puntos ]])</f>
        <v>0</v>
      </c>
      <c r="E23" s="41" t="e">
        <f ca="1">(_xlfn.NORM.DIST(Normal_continua[[#This Row],[Puntos ]],MediaMia,SQRT(VarMia),TRUE)-_xlfn.NORM.DIST(OFFSET(Normal_continua[[#This Row],[Puntos ]],-1,0),MediaMia,SQRT(VarMia),TRUE))*Pelis</f>
        <v>#NUM!</v>
      </c>
      <c r="F23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77">
        <v>2.5</v>
      </c>
      <c r="C24" s="34">
        <f ca="1">AVERAGE(INDIRECT(ADDRESS(ROW()-1,COLUMN())),INDIRECT(ADDRESS(ROW()+1,COLUMN())))</f>
        <v>0.25</v>
      </c>
      <c r="D24" s="44">
        <f>COUNTIF(Tabla1[FA_redondeo],Normal_continua[[#This Row],[Puntos ]])</f>
        <v>0</v>
      </c>
      <c r="E24" s="41" t="e">
        <f ca="1">(_xlfn.NORM.DIST(Normal_continua[[#This Row],[Puntos ]],MediaMia,SQRT(VarMia),TRUE)-_xlfn.NORM.DIST(OFFSET(Normal_continua[[#This Row],[Puntos ]],-1,0),MediaMia,SQRT(VarMia),TRUE))*Pelis</f>
        <v>#NUM!</v>
      </c>
      <c r="F24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77">
        <v>3</v>
      </c>
      <c r="C25" s="34">
        <f>COUNTIF(NotasMias,Normal_continua[[#This Row],[Puntos ]])/2</f>
        <v>0</v>
      </c>
      <c r="D25" s="44">
        <f>COUNTIF(Tabla1[FA_redondeo],Normal_continua[[#This Row],[Puntos ]])</f>
        <v>0</v>
      </c>
      <c r="E25" s="41" t="e">
        <f ca="1">(_xlfn.NORM.DIST(Normal_continua[[#This Row],[Puntos ]],MediaMia,SQRT(VarMia),TRUE)-_xlfn.NORM.DIST(OFFSET(Normal_continua[[#This Row],[Puntos ]],-1,0),MediaMia,SQRT(VarMia),TRUE))*Pelis</f>
        <v>#NUM!</v>
      </c>
      <c r="F25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77">
        <v>3.5</v>
      </c>
      <c r="C26" s="34">
        <f ca="1">AVERAGE(INDIRECT(ADDRESS(ROW()-1,COLUMN())),INDIRECT(ADDRESS(ROW()+1,COLUMN())))</f>
        <v>0</v>
      </c>
      <c r="D26" s="44">
        <f>COUNTIF(Tabla1[FA_redondeo],Normal_continua[[#This Row],[Puntos ]])</f>
        <v>0</v>
      </c>
      <c r="E26" s="41" t="e">
        <f ca="1">(_xlfn.NORM.DIST(Normal_continua[[#This Row],[Puntos ]],MediaMia,SQRT(VarMia),TRUE)-_xlfn.NORM.DIST(OFFSET(Normal_continua[[#This Row],[Puntos ]],-1,0),MediaMia,SQRT(VarMia),TRUE))*Pelis</f>
        <v>#NUM!</v>
      </c>
      <c r="F26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77">
        <v>4</v>
      </c>
      <c r="C27" s="34">
        <f>COUNTIF(NotasMias,Normal_continua[[#This Row],[Puntos ]])/2</f>
        <v>0</v>
      </c>
      <c r="D27" s="44">
        <f>COUNTIF(Tabla1[FA_redondeo],Normal_continua[[#This Row],[Puntos ]])</f>
        <v>1</v>
      </c>
      <c r="E27" s="41" t="e">
        <f ca="1">(_xlfn.NORM.DIST(Normal_continua[[#This Row],[Puntos ]],MediaMia,SQRT(VarMia),TRUE)-_xlfn.NORM.DIST(OFFSET(Normal_continua[[#This Row],[Puntos ]],-1,0),MediaMia,SQRT(VarMia),TRUE))*Pelis</f>
        <v>#NUM!</v>
      </c>
      <c r="F27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77">
        <v>4.5</v>
      </c>
      <c r="C28" s="34">
        <f ca="1">AVERAGE(INDIRECT(ADDRESS(ROW()-1,COLUMN())),INDIRECT(ADDRESS(ROW()+1,COLUMN())))</f>
        <v>0</v>
      </c>
      <c r="D28" s="44">
        <f>COUNTIF(Tabla1[FA_redondeo],Normal_continua[[#This Row],[Puntos ]])</f>
        <v>0</v>
      </c>
      <c r="E28" s="41" t="e">
        <f ca="1">(_xlfn.NORM.DIST(Normal_continua[[#This Row],[Puntos ]],MediaMia,SQRT(VarMia),TRUE)-_xlfn.NORM.DIST(OFFSET(Normal_continua[[#This Row],[Puntos ]],-1,0),MediaMia,SQRT(VarMia),TRUE))*Pelis</f>
        <v>#NUM!</v>
      </c>
      <c r="F28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77">
        <v>5</v>
      </c>
      <c r="C29" s="34">
        <f>COUNTIF(NotasMias,Normal_continua[[#This Row],[Puntos ]])/2</f>
        <v>0</v>
      </c>
      <c r="D29" s="44">
        <f>COUNTIF(Tabla1[FA_redondeo],Normal_continua[[#This Row],[Puntos ]])</f>
        <v>0</v>
      </c>
      <c r="E29" s="41" t="e">
        <f ca="1">(_xlfn.NORM.DIST(Normal_continua[[#This Row],[Puntos ]],MediaMia,SQRT(VarMia),TRUE)-_xlfn.NORM.DIST(OFFSET(Normal_continua[[#This Row],[Puntos ]],-1,0),MediaMia,SQRT(VarMia),TRUE))*Pelis</f>
        <v>#NUM!</v>
      </c>
      <c r="F29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77">
        <v>5.5</v>
      </c>
      <c r="C30" s="34">
        <f ca="1">AVERAGE(INDIRECT(ADDRESS(ROW()-1,COLUMN())),INDIRECT(ADDRESS(ROW()+1,COLUMN())))</f>
        <v>0</v>
      </c>
      <c r="D30" s="44">
        <f>COUNTIF(Tabla1[FA_redondeo],Normal_continua[[#This Row],[Puntos ]])</f>
        <v>0</v>
      </c>
      <c r="E30" s="41" t="e">
        <f ca="1">(_xlfn.NORM.DIST(Normal_continua[[#This Row],[Puntos ]],MediaMia,SQRT(VarMia),TRUE)-_xlfn.NORM.DIST(OFFSET(Normal_continua[[#This Row],[Puntos ]],-1,0),MediaMia,SQRT(VarMia),TRUE))*Pelis</f>
        <v>#NUM!</v>
      </c>
      <c r="F30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77">
        <v>6</v>
      </c>
      <c r="C31" s="34">
        <f>COUNTIF(NotasMias,Normal_continua[[#This Row],[Puntos ]])/2</f>
        <v>0</v>
      </c>
      <c r="D31" s="44">
        <f>COUNTIF(Tabla1[FA_redondeo],Normal_continua[[#This Row],[Puntos ]])</f>
        <v>0</v>
      </c>
      <c r="E31" s="41" t="e">
        <f ca="1">(_xlfn.NORM.DIST(Normal_continua[[#This Row],[Puntos ]],MediaMia,SQRT(VarMia),TRUE)-_xlfn.NORM.DIST(OFFSET(Normal_continua[[#This Row],[Puntos ]],-1,0),MediaMia,SQRT(VarMia),TRUE))*Pelis</f>
        <v>#NUM!</v>
      </c>
      <c r="F31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77">
        <v>6.5</v>
      </c>
      <c r="C32" s="34">
        <f ca="1">AVERAGE(INDIRECT(ADDRESS(ROW()-1,COLUMN())),INDIRECT(ADDRESS(ROW()+1,COLUMN())))</f>
        <v>0</v>
      </c>
      <c r="D32" s="44">
        <f>COUNTIF(Tabla1[FA_redondeo],Normal_continua[[#This Row],[Puntos ]])</f>
        <v>0</v>
      </c>
      <c r="E32" s="41" t="e">
        <f ca="1">(_xlfn.NORM.DIST(Normal_continua[[#This Row],[Puntos ]],MediaMia,SQRT(VarMia),TRUE)-_xlfn.NORM.DIST(OFFSET(Normal_continua[[#This Row],[Puntos ]],-1,0),MediaMia,SQRT(VarMia),TRUE))*Pelis</f>
        <v>#NUM!</v>
      </c>
      <c r="F32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77">
        <v>7</v>
      </c>
      <c r="C33" s="34">
        <f>COUNTIF(NotasMias,Normal_continua[[#This Row],[Puntos ]])/2</f>
        <v>0</v>
      </c>
      <c r="D33" s="44">
        <f>COUNTIF(Tabla1[FA_redondeo],Normal_continua[[#This Row],[Puntos ]])</f>
        <v>0</v>
      </c>
      <c r="E33" s="41" t="e">
        <f ca="1">(_xlfn.NORM.DIST(Normal_continua[[#This Row],[Puntos ]],MediaMia,SQRT(VarMia),TRUE)-_xlfn.NORM.DIST(OFFSET(Normal_continua[[#This Row],[Puntos ]],-1,0),MediaMia,SQRT(VarMia),TRUE))*Pelis</f>
        <v>#NUM!</v>
      </c>
      <c r="F33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77">
        <v>7.5</v>
      </c>
      <c r="C34" s="34">
        <f ca="1">AVERAGE(INDIRECT(ADDRESS(ROW()-1,COLUMN())),INDIRECT(ADDRESS(ROW()+1,COLUMN())))</f>
        <v>0</v>
      </c>
      <c r="D34" s="44">
        <f>COUNTIF(Tabla1[FA_redondeo],Normal_continua[[#This Row],[Puntos ]])</f>
        <v>0</v>
      </c>
      <c r="E34" s="41" t="e">
        <f ca="1">(_xlfn.NORM.DIST(Normal_continua[[#This Row],[Puntos ]],MediaMia,SQRT(VarMia),TRUE)-_xlfn.NORM.DIST(OFFSET(Normal_continua[[#This Row],[Puntos ]],-1,0),MediaMia,SQRT(VarMia),TRUE))*Pelis</f>
        <v>#NUM!</v>
      </c>
      <c r="F34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77">
        <v>8</v>
      </c>
      <c r="C35" s="34">
        <f>COUNTIF(NotasMias,Normal_continua[[#This Row],[Puntos ]])/2</f>
        <v>0</v>
      </c>
      <c r="D35" s="44">
        <f>COUNTIF(Tabla1[FA_redondeo],Normal_continua[[#This Row],[Puntos ]])</f>
        <v>0</v>
      </c>
      <c r="E35" s="41" t="e">
        <f ca="1">(_xlfn.NORM.DIST(Normal_continua[[#This Row],[Puntos ]],MediaMia,SQRT(VarMia),TRUE)-_xlfn.NORM.DIST(OFFSET(Normal_continua[[#This Row],[Puntos ]],-1,0),MediaMia,SQRT(VarMia),TRUE))*Pelis</f>
        <v>#NUM!</v>
      </c>
      <c r="F35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77">
        <v>8.5</v>
      </c>
      <c r="C36" s="34">
        <f ca="1">AVERAGE(INDIRECT(ADDRESS(ROW()-1,COLUMN())),INDIRECT(ADDRESS(ROW()+1,COLUMN())))</f>
        <v>0</v>
      </c>
      <c r="D36" s="44">
        <f>COUNTIF(Tabla1[FA_redondeo],Normal_continua[[#This Row],[Puntos ]])</f>
        <v>0</v>
      </c>
      <c r="E36" s="41" t="e">
        <f ca="1">(_xlfn.NORM.DIST(Normal_continua[[#This Row],[Puntos ]],MediaMia,SQRT(VarMia),TRUE)-_xlfn.NORM.DIST(OFFSET(Normal_continua[[#This Row],[Puntos ]],-1,0),MediaMia,SQRT(VarMia),TRUE))*Pelis</f>
        <v>#NUM!</v>
      </c>
      <c r="F36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77">
        <v>9</v>
      </c>
      <c r="C37" s="34">
        <f>COUNTIF(NotasMias,Normal_continua[[#This Row],[Puntos ]])/2</f>
        <v>0</v>
      </c>
      <c r="D37" s="44">
        <f>COUNTIF(Tabla1[FA_redondeo],Normal_continua[[#This Row],[Puntos ]])</f>
        <v>0</v>
      </c>
      <c r="E37" s="41" t="e">
        <f ca="1">(_xlfn.NORM.DIST(Normal_continua[[#This Row],[Puntos ]],MediaMia,SQRT(VarMia),TRUE)-_xlfn.NORM.DIST(OFFSET(Normal_continua[[#This Row],[Puntos ]],-1,0),MediaMia,SQRT(VarMia),TRUE))*Pelis</f>
        <v>#NUM!</v>
      </c>
      <c r="F37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77">
        <v>9.5</v>
      </c>
      <c r="C38" s="34">
        <f ca="1">AVERAGE(INDIRECT(ADDRESS(ROW()-1,COLUMN())),INDIRECT(ADDRESS(ROW()+1,COLUMN())))</f>
        <v>0</v>
      </c>
      <c r="D38" s="44">
        <f>COUNTIF(Tabla1[FA_redondeo],Normal_continua[[#This Row],[Puntos ]])</f>
        <v>0</v>
      </c>
      <c r="E38" s="41" t="e">
        <f ca="1">(_xlfn.NORM.DIST(Normal_continua[[#This Row],[Puntos ]],MediaMia,SQRT(VarMia),TRUE)-_xlfn.NORM.DIST(OFFSET(Normal_continua[[#This Row],[Puntos ]],-1,0),MediaMia,SQRT(VarMia),TRUE))*Pelis</f>
        <v>#NUM!</v>
      </c>
      <c r="F38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78">
        <v>10</v>
      </c>
      <c r="C39" s="35">
        <f>COUNTIF(NotasMias,Normal_continua[[#This Row],[Puntos ]])*2/3</f>
        <v>0</v>
      </c>
      <c r="D39" s="45">
        <f>COUNTIF(Tabla1[FA_redondeo],Normal_continua[[#This Row],[Puntos ]])</f>
        <v>0</v>
      </c>
      <c r="E39" s="41" t="e">
        <f ca="1">(_xlfn.NORM.DIST(Normal_continua[[#This Row],[Puntos ]],MediaMia,SQRT(VarMia),TRUE)-_xlfn.NORM.DIST(OFFSET(Normal_continua[[#This Row],[Puntos ]],-1,0),MediaMia,SQRT(VarMia),TRUE))*Pelis</f>
        <v>#NUM!</v>
      </c>
      <c r="F39" s="86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7">
        <f ca="1">SUM(Normal_continua[Yo])</f>
        <v>1</v>
      </c>
      <c r="D40" s="17">
        <f>SUM(Normal_continua[FilmAffinity])</f>
        <v>1</v>
      </c>
      <c r="E40" s="63" t="e">
        <f>SUM(Normal_continua[Normal Yo])</f>
        <v>#NUM!</v>
      </c>
      <c r="F40" s="63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S28"/>
  <sheetViews>
    <sheetView zoomScaleNormal="100" workbookViewId="0">
      <selection activeCell="S28" sqref="S28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customWidth="1"/>
    <col min="19" max="19" width="13.140625" customWidth="1"/>
  </cols>
  <sheetData>
    <row r="1" spans="1:19" x14ac:dyDescent="0.25">
      <c r="A1" s="54"/>
      <c r="E1" t="s">
        <v>15</v>
      </c>
      <c r="F1" s="17">
        <f>AVERAGE(Tabla1[Duracion])</f>
        <v>130</v>
      </c>
      <c r="G1" t="s">
        <v>21</v>
      </c>
      <c r="H1">
        <f>MEDIAN(Tabla1[Duracion])</f>
        <v>130</v>
      </c>
      <c r="L1" t="s">
        <v>32</v>
      </c>
      <c r="M1">
        <f>MAX(Tabla1[Duracion])</f>
        <v>130</v>
      </c>
    </row>
    <row r="2" spans="1:19" x14ac:dyDescent="0.25">
      <c r="C2">
        <f>COUNTIF(Tabla1[Duracion],"&gt;50")</f>
        <v>1</v>
      </c>
      <c r="E2" t="s">
        <v>16</v>
      </c>
      <c r="F2" s="17">
        <f>AVERAGEIF(Tabla1[Duracion],"&gt;50")</f>
        <v>130</v>
      </c>
      <c r="G2" t="s">
        <v>30</v>
      </c>
      <c r="H2" s="17" cm="1">
        <f t="array" ref="H2">STDEVP(IF(Tabla1[Duracion]&gt;50,Tabla1[Duracion]))</f>
        <v>0</v>
      </c>
      <c r="L2" t="s">
        <v>33</v>
      </c>
      <c r="M2">
        <f>MIN(Tabla1[Duracion])</f>
        <v>130</v>
      </c>
    </row>
    <row r="3" spans="1:19" ht="15.75" thickBot="1" x14ac:dyDescent="0.3">
      <c r="E3" t="s">
        <v>17</v>
      </c>
      <c r="F3" s="17">
        <f>_xlfn.VAR.P(Tabla1[Duracion])</f>
        <v>0</v>
      </c>
      <c r="G3" t="s">
        <v>31</v>
      </c>
      <c r="H3" cm="1">
        <f t="array" ref="H3">_xlfn.VAR.P(IF(Tabla1[Duracion]&gt;50,Tabla1[Duracion],))</f>
        <v>1.6117095947250967E-2</v>
      </c>
      <c r="Q3" t="s">
        <v>27</v>
      </c>
      <c r="R3" t="s">
        <v>65</v>
      </c>
      <c r="S3" t="s">
        <v>66</v>
      </c>
    </row>
    <row r="4" spans="1:19" x14ac:dyDescent="0.25">
      <c r="F4" s="17"/>
      <c r="Q4" s="57">
        <v>10</v>
      </c>
      <c r="R4" s="58">
        <f>COUNTIF(Notas!D:D,"&lt;="&amp;Q4)</f>
        <v>0</v>
      </c>
      <c r="S4" s="39" t="e">
        <f>(_xlfn.NORM.DIST(Tiempos_normal[[#This Row],[Minutos]],$F$1,SQRT($F$3),TRUE))*$C$2</f>
        <v>#NUM!</v>
      </c>
    </row>
    <row r="5" spans="1:19" x14ac:dyDescent="0.25">
      <c r="Q5" s="59">
        <v>20</v>
      </c>
      <c r="R5" s="91">
        <f>COUNTIF(Tabla1[Duracion],"&lt;="&amp;Q5)-COUNTIF(Tabla1[Duracion],"&lt;="&amp;Q4)</f>
        <v>0</v>
      </c>
      <c r="S5" s="31" t="e">
        <f ca="1">(_xlfn.NORM.DIST(Tiempos_normal[[#This Row],[Minutos]],$F$1,SQRT($F$3),TRUE)-_xlfn.NORM.DIST(OFFSET(Tiempos_normal[[#This Row],[Minutos]],-1,0),$F$1,SQRT($F$3),TRUE))*$C$2</f>
        <v>#NUM!</v>
      </c>
    </row>
    <row r="6" spans="1:19" x14ac:dyDescent="0.25">
      <c r="Q6" s="59">
        <v>30</v>
      </c>
      <c r="R6" s="91">
        <f>COUNTIF(Tabla1[Duracion],"&lt;="&amp;Q6)-COUNTIF(Tabla1[Duracion],"&lt;="&amp;Q5)</f>
        <v>0</v>
      </c>
      <c r="S6" s="31" t="e">
        <f ca="1">(_xlfn.NORM.DIST(Tiempos_normal[[#This Row],[Minutos]],$F$1,SQRT($F$3),TRUE)-_xlfn.NORM.DIST(OFFSET(Tiempos_normal[[#This Row],[Minutos]],-1,0),$F$1,SQRT($F$3),TRUE))*$C$2</f>
        <v>#NUM!</v>
      </c>
    </row>
    <row r="7" spans="1:19" x14ac:dyDescent="0.25">
      <c r="Q7" s="59">
        <v>40</v>
      </c>
      <c r="R7" s="91">
        <f>COUNTIF(Tabla1[Duracion],"&lt;="&amp;Q7)-COUNTIF(Tabla1[Duracion],"&lt;="&amp;Q6)</f>
        <v>0</v>
      </c>
      <c r="S7" s="31" t="e">
        <f ca="1">(_xlfn.NORM.DIST(Tiempos_normal[[#This Row],[Minutos]],$F$1,SQRT($F$3),TRUE)-_xlfn.NORM.DIST(OFFSET(Tiempos_normal[[#This Row],[Minutos]],-1,0),$F$1,SQRT($F$3),TRUE))*$C$2</f>
        <v>#NUM!</v>
      </c>
    </row>
    <row r="8" spans="1:19" x14ac:dyDescent="0.25">
      <c r="Q8" s="59">
        <v>50</v>
      </c>
      <c r="R8" s="91">
        <f>COUNTIF(Tabla1[Duracion],"&lt;="&amp;Q8)-COUNTIF(Tabla1[Duracion],"&lt;="&amp;Q7)</f>
        <v>0</v>
      </c>
      <c r="S8" s="31" t="e">
        <f ca="1">(_xlfn.NORM.DIST(Tiempos_normal[[#This Row],[Minutos]],$F$1,SQRT($F$3),TRUE)-_xlfn.NORM.DIST(OFFSET(Tiempos_normal[[#This Row],[Minutos]],-1,0),$F$1,SQRT($F$3),TRUE))*$C$2</f>
        <v>#NUM!</v>
      </c>
    </row>
    <row r="9" spans="1:19" x14ac:dyDescent="0.25">
      <c r="Q9" s="59">
        <v>60</v>
      </c>
      <c r="R9" s="91">
        <f>COUNTIF(Tabla1[Duracion],"&lt;="&amp;Q9)-COUNTIF(Tabla1[Duracion],"&lt;="&amp;Q8)</f>
        <v>0</v>
      </c>
      <c r="S9" s="31" t="e">
        <f ca="1">(_xlfn.NORM.DIST(Tiempos_normal[[#This Row],[Minutos]],$F$1,SQRT($F$3),TRUE)-_xlfn.NORM.DIST(OFFSET(Tiempos_normal[[#This Row],[Minutos]],-1,0),$F$1,SQRT($F$3),TRUE))*$C$2</f>
        <v>#NUM!</v>
      </c>
    </row>
    <row r="10" spans="1:19" x14ac:dyDescent="0.25">
      <c r="Q10" s="59">
        <v>70</v>
      </c>
      <c r="R10" s="91">
        <f>COUNTIF(Tabla1[Duracion],"&lt;="&amp;Q10)-COUNTIF(Tabla1[Duracion],"&lt;="&amp;Q9)</f>
        <v>0</v>
      </c>
      <c r="S10" s="31" t="e">
        <f ca="1">(_xlfn.NORM.DIST(Tiempos_normal[[#This Row],[Minutos]],$F$1,SQRT($F$3),TRUE)-_xlfn.NORM.DIST(OFFSET(Tiempos_normal[[#This Row],[Minutos]],-1,0),$F$1,SQRT($F$3),TRUE))*$C$2</f>
        <v>#NUM!</v>
      </c>
    </row>
    <row r="11" spans="1:19" x14ac:dyDescent="0.25">
      <c r="Q11" s="59">
        <v>80</v>
      </c>
      <c r="R11" s="91">
        <f>COUNTIF(Tabla1[Duracion],"&lt;="&amp;Q11)-COUNTIF(Tabla1[Duracion],"&lt;="&amp;Q10)</f>
        <v>0</v>
      </c>
      <c r="S11" s="31" t="e">
        <f ca="1">(_xlfn.NORM.DIST(Tiempos_normal[[#This Row],[Minutos]],$F$1,SQRT($F$3),TRUE)-_xlfn.NORM.DIST(OFFSET(Tiempos_normal[[#This Row],[Minutos]],-1,0),$F$1,SQRT($F$3),TRUE))*$C$2</f>
        <v>#NUM!</v>
      </c>
    </row>
    <row r="12" spans="1:19" x14ac:dyDescent="0.25">
      <c r="Q12" s="59">
        <v>90</v>
      </c>
      <c r="R12" s="91">
        <f>COUNTIF(Tabla1[Duracion],"&lt;="&amp;Q12)-COUNTIF(Tabla1[Duracion],"&lt;="&amp;Q11)</f>
        <v>0</v>
      </c>
      <c r="S12" s="31" t="e">
        <f ca="1">(_xlfn.NORM.DIST(Tiempos_normal[[#This Row],[Minutos]],$F$1,SQRT($F$3),TRUE)-_xlfn.NORM.DIST(OFFSET(Tiempos_normal[[#This Row],[Minutos]],-1,0),$F$1,SQRT($F$3),TRUE))*$C$2</f>
        <v>#NUM!</v>
      </c>
    </row>
    <row r="13" spans="1:19" x14ac:dyDescent="0.25">
      <c r="Q13" s="59">
        <v>100</v>
      </c>
      <c r="R13" s="91">
        <f>COUNTIF(Tabla1[Duracion],"&lt;="&amp;Q13)-COUNTIF(Tabla1[Duracion],"&lt;="&amp;Q12)</f>
        <v>0</v>
      </c>
      <c r="S13" s="31" t="e">
        <f ca="1">(_xlfn.NORM.DIST(Tiempos_normal[[#This Row],[Minutos]],$F$1,SQRT($F$3),TRUE)-_xlfn.NORM.DIST(OFFSET(Tiempos_normal[[#This Row],[Minutos]],-1,0),$F$1,SQRT($F$3),TRUE))*$C$2</f>
        <v>#NUM!</v>
      </c>
    </row>
    <row r="14" spans="1:19" x14ac:dyDescent="0.25">
      <c r="Q14" s="59">
        <v>110</v>
      </c>
      <c r="R14" s="91">
        <f>COUNTIF(Tabla1[Duracion],"&lt;="&amp;Q14)-COUNTIF(Tabla1[Duracion],"&lt;="&amp;Q13)</f>
        <v>0</v>
      </c>
      <c r="S14" s="31" t="e">
        <f ca="1">(_xlfn.NORM.DIST(Tiempos_normal[[#This Row],[Minutos]],$F$1,SQRT($F$3),TRUE)-_xlfn.NORM.DIST(OFFSET(Tiempos_normal[[#This Row],[Minutos]],-1,0),$F$1,SQRT($F$3),TRUE))*$C$2</f>
        <v>#NUM!</v>
      </c>
    </row>
    <row r="15" spans="1:19" x14ac:dyDescent="0.25">
      <c r="Q15" s="59">
        <v>120</v>
      </c>
      <c r="R15" s="91">
        <f>COUNTIF(Tabla1[Duracion],"&lt;="&amp;Q15)-COUNTIF(Tabla1[Duracion],"&lt;="&amp;Q14)</f>
        <v>0</v>
      </c>
      <c r="S15" s="31" t="e">
        <f ca="1">(_xlfn.NORM.DIST(Tiempos_normal[[#This Row],[Minutos]],$F$1,SQRT($F$3),TRUE)-_xlfn.NORM.DIST(OFFSET(Tiempos_normal[[#This Row],[Minutos]],-1,0),$F$1,SQRT($F$3),TRUE))*$C$2</f>
        <v>#NUM!</v>
      </c>
    </row>
    <row r="16" spans="1:19" x14ac:dyDescent="0.25">
      <c r="Q16" s="59">
        <v>130</v>
      </c>
      <c r="R16" s="91">
        <f>COUNTIF(Tabla1[Duracion],"&lt;="&amp;Q16)-COUNTIF(Tabla1[Duracion],"&lt;="&amp;Q15)</f>
        <v>1</v>
      </c>
      <c r="S16" s="31" t="e">
        <f ca="1">(_xlfn.NORM.DIST(Tiempos_normal[[#This Row],[Minutos]],$F$1,SQRT($F$3),TRUE)-_xlfn.NORM.DIST(OFFSET(Tiempos_normal[[#This Row],[Minutos]],-1,0),$F$1,SQRT($F$3),TRUE))*$C$2</f>
        <v>#NUM!</v>
      </c>
    </row>
    <row r="17" spans="17:19" x14ac:dyDescent="0.25">
      <c r="Q17" s="59">
        <v>140</v>
      </c>
      <c r="R17" s="91">
        <f>COUNTIF(Tabla1[Duracion],"&lt;="&amp;Q17)-COUNTIF(Tabla1[Duracion],"&lt;="&amp;Q16)</f>
        <v>0</v>
      </c>
      <c r="S17" s="31" t="e">
        <f ca="1">(_xlfn.NORM.DIST(Tiempos_normal[[#This Row],[Minutos]],$F$1,SQRT($F$3),TRUE)-_xlfn.NORM.DIST(OFFSET(Tiempos_normal[[#This Row],[Minutos]],-1,0),$F$1,SQRT($F$3),TRUE))*$C$2</f>
        <v>#NUM!</v>
      </c>
    </row>
    <row r="18" spans="17:19" x14ac:dyDescent="0.25">
      <c r="Q18" s="59">
        <v>150</v>
      </c>
      <c r="R18" s="91">
        <f>COUNTIF(Tabla1[Duracion],"&lt;="&amp;Q18)-COUNTIF(Tabla1[Duracion],"&lt;="&amp;Q17)</f>
        <v>0</v>
      </c>
      <c r="S18" s="31" t="e">
        <f ca="1">(_xlfn.NORM.DIST(Tiempos_normal[[#This Row],[Minutos]],$F$1,SQRT($F$3),TRUE)-_xlfn.NORM.DIST(OFFSET(Tiempos_normal[[#This Row],[Minutos]],-1,0),$F$1,SQRT($F$3),TRUE))*$C$2</f>
        <v>#NUM!</v>
      </c>
    </row>
    <row r="19" spans="17:19" x14ac:dyDescent="0.25">
      <c r="Q19" s="59">
        <v>160</v>
      </c>
      <c r="R19" s="91">
        <f>COUNTIF(Tabla1[Duracion],"&lt;="&amp;Q19)-COUNTIF(Tabla1[Duracion],"&lt;="&amp;Q18)</f>
        <v>0</v>
      </c>
      <c r="S19" s="31" t="e">
        <f ca="1">(_xlfn.NORM.DIST(Tiempos_normal[[#This Row],[Minutos]],$F$1,SQRT($F$3),TRUE)-_xlfn.NORM.DIST(OFFSET(Tiempos_normal[[#This Row],[Minutos]],-1,0),$F$1,SQRT($F$3),TRUE))*$C$2</f>
        <v>#NUM!</v>
      </c>
    </row>
    <row r="20" spans="17:19" x14ac:dyDescent="0.25">
      <c r="Q20" s="59">
        <v>170</v>
      </c>
      <c r="R20" s="91">
        <f>COUNTIF(Tabla1[Duracion],"&lt;="&amp;Q20)-COUNTIF(Tabla1[Duracion],"&lt;="&amp;Q19)</f>
        <v>0</v>
      </c>
      <c r="S20" s="31" t="e">
        <f ca="1">(_xlfn.NORM.DIST(Tiempos_normal[[#This Row],[Minutos]],$F$1,SQRT($F$3),TRUE)-_xlfn.NORM.DIST(OFFSET(Tiempos_normal[[#This Row],[Minutos]],-1,0),$F$1,SQRT($F$3),TRUE))*$C$2</f>
        <v>#NUM!</v>
      </c>
    </row>
    <row r="21" spans="17:19" x14ac:dyDescent="0.25">
      <c r="Q21" s="59">
        <v>180</v>
      </c>
      <c r="R21" s="91">
        <f>COUNTIF(Tabla1[Duracion],"&lt;="&amp;Q21)-COUNTIF(Tabla1[Duracion],"&lt;="&amp;Q20)</f>
        <v>0</v>
      </c>
      <c r="S21" s="31" t="e">
        <f ca="1">(_xlfn.NORM.DIST(Tiempos_normal[[#This Row],[Minutos]],$F$1,SQRT($F$3),TRUE)-_xlfn.NORM.DIST(OFFSET(Tiempos_normal[[#This Row],[Minutos]],-1,0),$F$1,SQRT($F$3),TRUE))*$C$2</f>
        <v>#NUM!</v>
      </c>
    </row>
    <row r="22" spans="17:19" x14ac:dyDescent="0.25">
      <c r="Q22" s="59">
        <v>190</v>
      </c>
      <c r="R22" s="91">
        <f>COUNTIF(Tabla1[Duracion],"&lt;="&amp;Q22)-COUNTIF(Tabla1[Duracion],"&lt;="&amp;Q21)</f>
        <v>0</v>
      </c>
      <c r="S22" s="31" t="e">
        <f ca="1">(_xlfn.NORM.DIST(Tiempos_normal[[#This Row],[Minutos]],$F$1,SQRT($F$3),TRUE)-_xlfn.NORM.DIST(OFFSET(Tiempos_normal[[#This Row],[Minutos]],-1,0),$F$1,SQRT($F$3),TRUE))*$C$2</f>
        <v>#NUM!</v>
      </c>
    </row>
    <row r="23" spans="17:19" x14ac:dyDescent="0.25">
      <c r="Q23" s="59">
        <v>200</v>
      </c>
      <c r="R23" s="91">
        <f>COUNTIF(Tabla1[Duracion],"&lt;="&amp;Q23)-COUNTIF(Tabla1[Duracion],"&lt;="&amp;Q22)</f>
        <v>0</v>
      </c>
      <c r="S23" s="31" t="e">
        <f ca="1">(_xlfn.NORM.DIST(Tiempos_normal[[#This Row],[Minutos]],$F$1,SQRT($F$3),TRUE)-_xlfn.NORM.DIST(OFFSET(Tiempos_normal[[#This Row],[Minutos]],-1,0),$F$1,SQRT($F$3),TRUE))*$C$2</f>
        <v>#NUM!</v>
      </c>
    </row>
    <row r="24" spans="17:19" x14ac:dyDescent="0.25">
      <c r="Q24" s="59">
        <v>210</v>
      </c>
      <c r="R24" s="91">
        <f>COUNTIF(Tabla1[Duracion],"&lt;="&amp;Q24)-COUNTIF(Tabla1[Duracion],"&lt;="&amp;Q23)</f>
        <v>0</v>
      </c>
      <c r="S24" s="31" t="e">
        <f ca="1">(_xlfn.NORM.DIST(Tiempos_normal[[#This Row],[Minutos]],$F$1,SQRT($F$3),TRUE)-_xlfn.NORM.DIST(OFFSET(Tiempos_normal[[#This Row],[Minutos]],-1,0),$F$1,SQRT($F$3),TRUE))*$C$2</f>
        <v>#NUM!</v>
      </c>
    </row>
    <row r="25" spans="17:19" x14ac:dyDescent="0.25">
      <c r="Q25" s="59">
        <v>220</v>
      </c>
      <c r="R25" s="91">
        <f>COUNTIF(Tabla1[Duracion],"&lt;="&amp;Q25)-COUNTIF(Tabla1[Duracion],"&lt;="&amp;Q24)</f>
        <v>0</v>
      </c>
      <c r="S25" s="31" t="e">
        <f ca="1">(_xlfn.NORM.DIST(Tiempos_normal[[#This Row],[Minutos]],$F$1,SQRT($F$3),TRUE)-_xlfn.NORM.DIST(OFFSET(Tiempos_normal[[#This Row],[Minutos]],-1,0),$F$1,SQRT($F$3),TRUE))*$C$2</f>
        <v>#NUM!</v>
      </c>
    </row>
    <row r="26" spans="17:19" x14ac:dyDescent="0.25">
      <c r="Q26" s="59">
        <v>230</v>
      </c>
      <c r="R26" s="91">
        <f>COUNTIF(Tabla1[Duracion],"&lt;="&amp;Q26)-COUNTIF(Tabla1[Duracion],"&lt;="&amp;Q25)</f>
        <v>0</v>
      </c>
      <c r="S26" s="31" t="e">
        <f ca="1">(_xlfn.NORM.DIST(Tiempos_normal[[#This Row],[Minutos]],$F$1,SQRT($F$3),TRUE)-_xlfn.NORM.DIST(OFFSET(Tiempos_normal[[#This Row],[Minutos]],-1,0),$F$1,SQRT($F$3),TRUE))*$C$2</f>
        <v>#NUM!</v>
      </c>
    </row>
    <row r="27" spans="17:19" ht="15.75" thickBot="1" x14ac:dyDescent="0.3">
      <c r="Q27" s="60">
        <v>240</v>
      </c>
      <c r="R27" s="92">
        <f>COUNTIF(Tabla1[Duracion],"&lt;="&amp;Q27)-COUNTIF(Tabla1[Duracion],"&lt;="&amp;Q26)</f>
        <v>0</v>
      </c>
      <c r="S27" s="32" t="e">
        <f ca="1">(_xlfn.NORM.DIST(Tiempos_normal[[#This Row],[Minutos]],$F$1,SQRT($F$3),TRUE)-_xlfn.NORM.DIST(OFFSET(Tiempos_normal[[#This Row],[Minutos]],-1,0),$F$1,SQRT($F$3),TRUE))*$C$2</f>
        <v>#NUM!</v>
      </c>
    </row>
    <row r="28" spans="17:19" x14ac:dyDescent="0.25">
      <c r="Q28" s="25"/>
      <c r="S28" s="17" t="e">
        <f>SUM(S4:S27)</f>
        <v>#NUM!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34</v>
      </c>
      <c r="E3">
        <v>5.8154074312521944</v>
      </c>
      <c r="F3" t="s">
        <v>36</v>
      </c>
      <c r="G3">
        <v>6.4137430340189105</v>
      </c>
    </row>
    <row r="4" spans="2:8" x14ac:dyDescent="0.25">
      <c r="D4" t="s">
        <v>35</v>
      </c>
      <c r="E4">
        <v>4.4331233333245637</v>
      </c>
      <c r="F4" t="s">
        <v>37</v>
      </c>
      <c r="G4">
        <v>1.6223375982874726</v>
      </c>
    </row>
    <row r="5" spans="2:8" ht="15.75" thickBot="1" x14ac:dyDescent="0.3"/>
    <row r="6" spans="2:8" ht="15.75" thickBot="1" x14ac:dyDescent="0.3">
      <c r="B6" s="37" t="s">
        <v>7</v>
      </c>
      <c r="C6" s="36" t="s">
        <v>9</v>
      </c>
      <c r="D6" s="46" t="s">
        <v>12</v>
      </c>
      <c r="E6" s="64" t="s">
        <v>38</v>
      </c>
      <c r="F6" s="65" t="s">
        <v>39</v>
      </c>
      <c r="G6" s="61" t="s">
        <v>24</v>
      </c>
      <c r="H6" s="38" t="s">
        <v>19</v>
      </c>
    </row>
    <row r="7" spans="2:8" x14ac:dyDescent="0.25">
      <c r="B7" s="18">
        <v>0.5</v>
      </c>
      <c r="C7" s="33">
        <f>C8/2</f>
        <v>0</v>
      </c>
      <c r="D7" s="43">
        <f>COUNTIF(Notas!G:G,B7)</f>
        <v>0</v>
      </c>
      <c r="E7" s="66">
        <f>LOG(_xlfn.NORM.DIST($B7,$E$3,SQRT($E$4),TRUE)^$C7)</f>
        <v>0</v>
      </c>
      <c r="F7" s="66">
        <f>LOG(_xlfn.NORM.DIST(B7,$G$3,SQRT($G$4),TRUE)^D7)</f>
        <v>0</v>
      </c>
      <c r="G7" s="40">
        <f>_xlfn.NORM.DIST(B7,$E$3,SQRT($E$4),TRUE)*Pelis</f>
        <v>5.7925488621560443E-3</v>
      </c>
      <c r="H7" s="48">
        <f>_xlfn.NORM.DIST(B8,$G$3,SQRT($G$4),TRUE)*Pelis</f>
        <v>1.0670751456919622E-5</v>
      </c>
    </row>
    <row r="8" spans="2:8" x14ac:dyDescent="0.25">
      <c r="B8" s="20">
        <v>1</v>
      </c>
      <c r="C8" s="34">
        <f>COUNTIF(Notas!B:B,B8)/2</f>
        <v>0</v>
      </c>
      <c r="D8" s="44">
        <f>COUNTIF(Notas!G:G,B8)</f>
        <v>0</v>
      </c>
      <c r="E8" s="67">
        <f>LOG((_xlfn.NORM.DIST(B8,$E$3,SQRT($E$4),TRUE)-_xlfn.NORM.DIST(B7,$E$3,SQRT($E$4),TRUE))^C8)</f>
        <v>0</v>
      </c>
      <c r="F8" s="67">
        <f>LOG((_xlfn.NORM.DIST(B8,$G$3,SQRT($G$4),TRUE)-_xlfn.NORM.DIST(B7,$G$3,SQRT($G$4),TRUE))^$D8)</f>
        <v>0</v>
      </c>
      <c r="G8" s="41">
        <f t="shared" ref="G8:G26" si="0">(_xlfn.NORM.DIST(B8,$E$3,SQRT($E$4),TRUE)-_xlfn.NORM.DIST(B7,$E$3,SQRT($E$4),TRUE))*Pelis</f>
        <v>5.3035236315983354E-3</v>
      </c>
      <c r="H8" s="49">
        <f t="shared" ref="H8:H26" si="1">(_xlfn.NORM.DIST(B8,$G$3,SQRT($G$4),TRUE)-_xlfn.NORM.DIST(B7,$G$3,SQRT($G$4),TRUE))*Pelis</f>
        <v>8.9532107336445599E-6</v>
      </c>
    </row>
    <row r="9" spans="2:8" x14ac:dyDescent="0.25">
      <c r="B9" s="20">
        <v>1.5</v>
      </c>
      <c r="C9" s="34">
        <f>(C8+C10)/2</f>
        <v>0.25</v>
      </c>
      <c r="D9" s="44">
        <f>COUNTIF(Notas!G:G,B9)</f>
        <v>0</v>
      </c>
      <c r="E9" s="67">
        <f t="shared" ref="E9:E26" si="2">LOG((_xlfn.NORM.DIST(B9,$E$3,SQRT($E$4),TRUE)-_xlfn.NORM.DIST(B8,$E$3,SQRT($E$4),TRUE))^C9)</f>
        <v>-0.510165965966482</v>
      </c>
      <c r="F9" s="67">
        <f t="shared" ref="F9:F26" si="3">LOG((_xlfn.NORM.DIST(B9,$G$3,SQRT($G$4),TRUE)-_xlfn.NORM.DIST(B8,$G$3,SQRT($G$4),TRUE))^$D9)</f>
        <v>0</v>
      </c>
      <c r="G9" s="41">
        <f t="shared" si="0"/>
        <v>9.1061780178500785E-3</v>
      </c>
      <c r="H9" s="49">
        <f t="shared" si="1"/>
        <v>4.6530954287035938E-5</v>
      </c>
    </row>
    <row r="10" spans="2:8" x14ac:dyDescent="0.25">
      <c r="B10" s="20">
        <v>2</v>
      </c>
      <c r="C10" s="34">
        <f>COUNTIF(Notas!B:B,B10)/2</f>
        <v>0.5</v>
      </c>
      <c r="D10" s="44">
        <f>COUNTIF(Notas!G:G,B10)</f>
        <v>0</v>
      </c>
      <c r="E10" s="67">
        <f t="shared" si="2"/>
        <v>-0.91513515531428258</v>
      </c>
      <c r="F10" s="67">
        <f t="shared" si="3"/>
        <v>0</v>
      </c>
      <c r="G10" s="41">
        <f t="shared" si="0"/>
        <v>1.478188057990508E-2</v>
      </c>
      <c r="H10" s="49">
        <f t="shared" si="1"/>
        <v>2.0765310065299676E-4</v>
      </c>
    </row>
    <row r="11" spans="2:8" x14ac:dyDescent="0.25">
      <c r="B11" s="20">
        <v>2.5</v>
      </c>
      <c r="C11" s="34">
        <f>(C10+C12)/2</f>
        <v>0.25</v>
      </c>
      <c r="D11" s="44">
        <f>COUNTIF(Notas!G:G,B11)</f>
        <v>0</v>
      </c>
      <c r="E11" s="67">
        <f t="shared" si="2"/>
        <v>-0.41106363090054054</v>
      </c>
      <c r="F11" s="67">
        <f t="shared" si="3"/>
        <v>0</v>
      </c>
      <c r="G11" s="41">
        <f t="shared" si="0"/>
        <v>2.2685349595145655E-2</v>
      </c>
      <c r="H11" s="49">
        <f t="shared" si="1"/>
        <v>7.9576485490160656E-4</v>
      </c>
    </row>
    <row r="12" spans="2:8" x14ac:dyDescent="0.25">
      <c r="B12" s="20">
        <v>3</v>
      </c>
      <c r="C12" s="34">
        <f>COUNTIF(Notas!B:B,B12)/2</f>
        <v>0</v>
      </c>
      <c r="D12" s="44">
        <f>COUNTIF(Notas!G:G,B12)</f>
        <v>0</v>
      </c>
      <c r="E12" s="67">
        <f t="shared" si="2"/>
        <v>0</v>
      </c>
      <c r="F12" s="67">
        <f t="shared" si="3"/>
        <v>0</v>
      </c>
      <c r="G12" s="41">
        <f t="shared" si="0"/>
        <v>3.2914235407240124E-2</v>
      </c>
      <c r="H12" s="49">
        <f t="shared" si="1"/>
        <v>2.6187638771519059E-3</v>
      </c>
    </row>
    <row r="13" spans="2:8" x14ac:dyDescent="0.25">
      <c r="B13" s="20">
        <v>3.5</v>
      </c>
      <c r="C13" s="34">
        <f>(C12+C14)/2</f>
        <v>0</v>
      </c>
      <c r="D13" s="44">
        <f>COUNTIF(Notas!G:G,B13)</f>
        <v>0</v>
      </c>
      <c r="E13" s="67">
        <f t="shared" si="2"/>
        <v>0</v>
      </c>
      <c r="F13" s="67">
        <f t="shared" si="3"/>
        <v>0</v>
      </c>
      <c r="G13" s="41">
        <f t="shared" si="0"/>
        <v>4.5148654453109976E-2</v>
      </c>
      <c r="H13" s="49">
        <f t="shared" si="1"/>
        <v>7.400945940858444E-3</v>
      </c>
    </row>
    <row r="14" spans="2:8" x14ac:dyDescent="0.25">
      <c r="B14" s="20">
        <v>4</v>
      </c>
      <c r="C14" s="34">
        <f>COUNTIF(Notas!B:B,B14)/2</f>
        <v>0</v>
      </c>
      <c r="D14" s="44">
        <f>COUNTIF(Notas!G:G,B14)</f>
        <v>1</v>
      </c>
      <c r="E14" s="67">
        <f t="shared" si="2"/>
        <v>0</v>
      </c>
      <c r="F14" s="67">
        <f t="shared" si="3"/>
        <v>-1.7456299905769432</v>
      </c>
      <c r="G14" s="41">
        <f t="shared" si="0"/>
        <v>5.8550256516192611E-2</v>
      </c>
      <c r="H14" s="49">
        <f t="shared" si="1"/>
        <v>1.796263352278547E-2</v>
      </c>
    </row>
    <row r="15" spans="2:8" x14ac:dyDescent="0.25">
      <c r="B15" s="20">
        <v>4.5</v>
      </c>
      <c r="C15" s="34">
        <f>(C14+C16)/2</f>
        <v>0</v>
      </c>
      <c r="D15" s="44">
        <f>COUNTIF(Notas!G:G,B15)</f>
        <v>0</v>
      </c>
      <c r="E15" s="67">
        <f t="shared" si="2"/>
        <v>0</v>
      </c>
      <c r="F15" s="67">
        <f t="shared" si="3"/>
        <v>0</v>
      </c>
      <c r="G15" s="41">
        <f t="shared" si="0"/>
        <v>7.1785364468036045E-2</v>
      </c>
      <c r="H15" s="49">
        <f t="shared" si="1"/>
        <v>3.744170915363889E-2</v>
      </c>
    </row>
    <row r="16" spans="2:8" x14ac:dyDescent="0.25">
      <c r="B16" s="20">
        <v>5</v>
      </c>
      <c r="C16" s="34">
        <f>COUNTIF(Notas!B:B,B16)/2</f>
        <v>0</v>
      </c>
      <c r="D16" s="44">
        <f>COUNTIF(Notas!G:G,B16)</f>
        <v>0</v>
      </c>
      <c r="E16" s="67">
        <f t="shared" si="2"/>
        <v>0</v>
      </c>
      <c r="F16" s="67">
        <f t="shared" si="3"/>
        <v>0</v>
      </c>
      <c r="G16" s="41">
        <f t="shared" si="0"/>
        <v>8.320822664083477E-2</v>
      </c>
      <c r="H16" s="49">
        <f t="shared" si="1"/>
        <v>6.7027571512691578E-2</v>
      </c>
    </row>
    <row r="17" spans="2:8" x14ac:dyDescent="0.25">
      <c r="B17" s="20">
        <v>5.5</v>
      </c>
      <c r="C17" s="34">
        <f>(C16+C18)/2</f>
        <v>0</v>
      </c>
      <c r="D17" s="44">
        <f>COUNTIF(Notas!G:G,B17)</f>
        <v>0</v>
      </c>
      <c r="E17" s="67">
        <f t="shared" si="2"/>
        <v>0</v>
      </c>
      <c r="F17" s="67">
        <f t="shared" si="3"/>
        <v>0</v>
      </c>
      <c r="G17" s="41">
        <f t="shared" si="0"/>
        <v>9.1184278782524775E-2</v>
      </c>
      <c r="H17" s="49">
        <f t="shared" si="1"/>
        <v>0.10305544605641351</v>
      </c>
    </row>
    <row r="18" spans="2:8" x14ac:dyDescent="0.25">
      <c r="B18" s="20">
        <v>6</v>
      </c>
      <c r="C18" s="34">
        <f>COUNTIF(Notas!B:B,B18)/2</f>
        <v>0</v>
      </c>
      <c r="D18" s="44">
        <f>COUNTIF(Notas!G:G,B18)</f>
        <v>0</v>
      </c>
      <c r="E18" s="67">
        <f t="shared" si="2"/>
        <v>0</v>
      </c>
      <c r="F18" s="67">
        <f t="shared" si="3"/>
        <v>0</v>
      </c>
      <c r="G18" s="41">
        <f t="shared" si="0"/>
        <v>9.4470686747302468E-2</v>
      </c>
      <c r="H18" s="49">
        <f t="shared" si="1"/>
        <v>0.13608606230328921</v>
      </c>
    </row>
    <row r="19" spans="2:8" x14ac:dyDescent="0.25">
      <c r="B19" s="20">
        <v>6.5</v>
      </c>
      <c r="C19" s="34">
        <f>(C18+C20)/2</f>
        <v>0</v>
      </c>
      <c r="D19" s="44">
        <f>COUNTIF(Notas!G:G,B19)</f>
        <v>0</v>
      </c>
      <c r="E19" s="67">
        <f t="shared" si="2"/>
        <v>0</v>
      </c>
      <c r="F19" s="67">
        <f t="shared" si="3"/>
        <v>0</v>
      </c>
      <c r="G19" s="41">
        <f t="shared" si="0"/>
        <v>9.2533204903991528E-2</v>
      </c>
      <c r="H19" s="49">
        <f t="shared" si="1"/>
        <v>0.15434239427286445</v>
      </c>
    </row>
    <row r="20" spans="2:8" x14ac:dyDescent="0.25">
      <c r="B20" s="20">
        <v>7</v>
      </c>
      <c r="C20" s="34">
        <f>COUNTIF(Notas!B:B,B20)/2</f>
        <v>0</v>
      </c>
      <c r="D20" s="44">
        <f>COUNTIF(Notas!G:G,B20)</f>
        <v>0</v>
      </c>
      <c r="E20" s="67">
        <f t="shared" si="2"/>
        <v>0</v>
      </c>
      <c r="F20" s="67">
        <f t="shared" si="3"/>
        <v>0</v>
      </c>
      <c r="G20" s="41">
        <f t="shared" si="0"/>
        <v>8.5688304490451506E-2</v>
      </c>
      <c r="H20" s="49">
        <f t="shared" si="1"/>
        <v>0.15034443690384314</v>
      </c>
    </row>
    <row r="21" spans="2:8" x14ac:dyDescent="0.25">
      <c r="B21" s="20">
        <v>7.5</v>
      </c>
      <c r="C21" s="34">
        <f>(C20+C22)/2</f>
        <v>0</v>
      </c>
      <c r="D21" s="44">
        <f>COUNTIF(Notas!G:G,B21)</f>
        <v>0</v>
      </c>
      <c r="E21" s="67">
        <f t="shared" si="2"/>
        <v>0</v>
      </c>
      <c r="F21" s="67">
        <f t="shared" si="3"/>
        <v>0</v>
      </c>
      <c r="G21" s="41">
        <f t="shared" si="0"/>
        <v>7.5018583302613351E-2</v>
      </c>
      <c r="H21" s="49">
        <f t="shared" si="1"/>
        <v>0.12578234601277249</v>
      </c>
    </row>
    <row r="22" spans="2:8" x14ac:dyDescent="0.25">
      <c r="B22" s="20">
        <v>8</v>
      </c>
      <c r="C22" s="34">
        <f>COUNTIF(Notas!B:B,B22)/2</f>
        <v>0</v>
      </c>
      <c r="D22" s="44">
        <f>COUNTIF(Notas!G:G,B22)</f>
        <v>0</v>
      </c>
      <c r="E22" s="67">
        <f t="shared" si="2"/>
        <v>0</v>
      </c>
      <c r="F22" s="67">
        <f t="shared" si="3"/>
        <v>0</v>
      </c>
      <c r="G22" s="41">
        <f t="shared" si="0"/>
        <v>6.2092542712243848E-2</v>
      </c>
      <c r="H22" s="49">
        <f t="shared" si="1"/>
        <v>9.0381567263075557E-2</v>
      </c>
    </row>
    <row r="23" spans="2:8" x14ac:dyDescent="0.25">
      <c r="B23" s="20">
        <v>8.5</v>
      </c>
      <c r="C23" s="34">
        <f>(C22+C24)/2</f>
        <v>0</v>
      </c>
      <c r="D23" s="44">
        <f>COUNTIF(Notas!G:G,B23)</f>
        <v>0</v>
      </c>
      <c r="E23" s="67">
        <f t="shared" si="2"/>
        <v>0</v>
      </c>
      <c r="F23" s="67">
        <f t="shared" si="3"/>
        <v>0</v>
      </c>
      <c r="G23" s="41">
        <f t="shared" si="0"/>
        <v>4.8588465796543967E-2</v>
      </c>
      <c r="H23" s="49">
        <f t="shared" si="1"/>
        <v>5.5778081184472583E-2</v>
      </c>
    </row>
    <row r="24" spans="2:8" x14ac:dyDescent="0.25">
      <c r="B24" s="20">
        <v>9</v>
      </c>
      <c r="C24" s="34">
        <f>COUNTIF(Notas!B:B,B24)/2</f>
        <v>0</v>
      </c>
      <c r="D24" s="44">
        <f>COUNTIF(Notas!G:G,B24)</f>
        <v>0</v>
      </c>
      <c r="E24" s="67">
        <f t="shared" si="2"/>
        <v>0</v>
      </c>
      <c r="F24" s="67">
        <f t="shared" si="3"/>
        <v>0</v>
      </c>
      <c r="G24" s="41">
        <f t="shared" si="0"/>
        <v>3.5945946585823285E-2</v>
      </c>
      <c r="H24" s="49">
        <f t="shared" si="1"/>
        <v>2.9564091935930681E-2</v>
      </c>
    </row>
    <row r="25" spans="2:8" x14ac:dyDescent="0.25">
      <c r="B25" s="20">
        <v>9.5</v>
      </c>
      <c r="C25" s="34">
        <f>(C24+C26)/2</f>
        <v>0</v>
      </c>
      <c r="D25" s="44">
        <f>COUNTIF(Notas!G:G,B25)</f>
        <v>0</v>
      </c>
      <c r="E25" s="67">
        <f t="shared" si="2"/>
        <v>0</v>
      </c>
      <c r="F25" s="67">
        <f t="shared" si="3"/>
        <v>0</v>
      </c>
      <c r="G25" s="41">
        <f t="shared" si="0"/>
        <v>2.5141400473080999E-2</v>
      </c>
      <c r="H25" s="49">
        <f t="shared" si="1"/>
        <v>1.345781882502084E-2</v>
      </c>
    </row>
    <row r="26" spans="2:8" ht="15.75" thickBot="1" x14ac:dyDescent="0.3">
      <c r="B26" s="21">
        <v>10</v>
      </c>
      <c r="C26" s="35">
        <f>COUNTIF(Notas!B:B,B26)/2</f>
        <v>0</v>
      </c>
      <c r="D26" s="45">
        <f>COUNTIF(Notas!G:G,B26)</f>
        <v>0</v>
      </c>
      <c r="E26" s="68">
        <f t="shared" si="2"/>
        <v>0</v>
      </c>
      <c r="F26" s="68">
        <f t="shared" si="3"/>
        <v>0</v>
      </c>
      <c r="G26" s="42">
        <f t="shared" si="0"/>
        <v>1.6624614389095349E-2</v>
      </c>
      <c r="H26" s="50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69"/>
  </cols>
  <sheetData>
    <row r="1" spans="1:5" x14ac:dyDescent="0.25">
      <c r="A1" t="s">
        <v>40</v>
      </c>
      <c r="B1" s="69">
        <f>AVERAGE(Visionados)</f>
        <v>26047</v>
      </c>
      <c r="D1" t="s">
        <v>45</v>
      </c>
      <c r="E1" s="69">
        <f>MAX(Visionados)</f>
        <v>26047</v>
      </c>
    </row>
    <row r="2" spans="1:5" x14ac:dyDescent="0.25">
      <c r="A2" t="s">
        <v>20</v>
      </c>
      <c r="B2" s="69">
        <f>MEDIAN(Visionados)</f>
        <v>26047</v>
      </c>
      <c r="D2" t="s">
        <v>46</v>
      </c>
      <c r="E2">
        <f>MIN(Visionados)</f>
        <v>26047</v>
      </c>
    </row>
    <row r="4" spans="1:5" x14ac:dyDescent="0.25">
      <c r="A4" t="s">
        <v>41</v>
      </c>
      <c r="B4" s="70">
        <v>62533</v>
      </c>
      <c r="C4" t="s">
        <v>42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2022-03-27T12:36:35Z</dcterms:modified>
</cp:coreProperties>
</file>