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hidePivotFieldList="1"/>
  <xr:revisionPtr revIDLastSave="0" documentId="13_ncr:1_{3C7DF594-8238-40D1-ABDF-14FE6AFA71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Estadística!$D$2</definedName>
    <definedName name="DesvMia">Estadística!$D$3</definedName>
    <definedName name="Duraciones">Notas!$D:$D</definedName>
    <definedName name="MediaFA">Estadística!$B$2</definedName>
    <definedName name="MediaMia">Estadística!$B$3</definedName>
    <definedName name="MedianaFA">Estadística!$H$2</definedName>
    <definedName name="MedianaMia">Estadística!$H$3</definedName>
    <definedName name="NotasFA">Notas!$C:$C</definedName>
    <definedName name="NotasMias">Notas!$B:$B</definedName>
    <definedName name="NotasMiasRuido">Notas!$J:$J</definedName>
    <definedName name="Pelis">Estadística!$B$1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Estadística!$F$2</definedName>
    <definedName name="VarMia">Estadística!$F$3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" i="4" l="1"/>
  <c r="M2" i="4"/>
  <c r="H1" i="4"/>
  <c r="H2" i="4" a="1"/>
  <c r="H2" i="4" s="1"/>
  <c r="H3" i="4" a="1"/>
  <c r="H3" i="4" s="1"/>
  <c r="F1" i="4"/>
  <c r="F2" i="4"/>
  <c r="F3" i="4"/>
  <c r="C2" i="4"/>
  <c r="I2" i="3" l="1"/>
  <c r="B10" i="5" l="1"/>
  <c r="B9" i="5"/>
  <c r="B8" i="5"/>
  <c r="G2" i="3"/>
  <c r="B3" i="5"/>
  <c r="B2" i="5"/>
  <c r="E2" i="10" l="1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F2" i="5"/>
  <c r="C11" i="7" l="1"/>
  <c r="C19" i="7"/>
  <c r="E19" i="7" s="1"/>
  <c r="C9" i="7"/>
  <c r="E9" i="7" s="1"/>
  <c r="C17" i="7"/>
  <c r="C25" i="7"/>
  <c r="C23" i="7"/>
  <c r="E23" i="7" s="1"/>
  <c r="C15" i="7"/>
  <c r="E15" i="7" s="1"/>
  <c r="C21" i="7"/>
  <c r="E21" i="7" s="1"/>
  <c r="C7" i="7"/>
  <c r="E7" i="7" s="1"/>
  <c r="C13" i="7"/>
  <c r="E20" i="7"/>
  <c r="E24" i="7"/>
  <c r="E12" i="7"/>
  <c r="E8" i="7"/>
  <c r="E11" i="7"/>
  <c r="E16" i="7"/>
  <c r="E26" i="7"/>
  <c r="E22" i="7"/>
  <c r="E18" i="7"/>
  <c r="E14" i="7"/>
  <c r="E10" i="7"/>
  <c r="E25" i="7"/>
  <c r="E17" i="7"/>
  <c r="E13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2" i="5"/>
  <c r="L2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1" i="5"/>
  <c r="D4" i="10" l="1"/>
  <c r="G15" i="5"/>
  <c r="G16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S20" i="6" l="1" a="1"/>
  <c r="S20" i="6" s="1"/>
  <c r="R52" i="4"/>
  <c r="F14" i="6"/>
  <c r="E14" i="6"/>
  <c r="E40" i="6"/>
  <c r="F40" i="6"/>
  <c r="J2" i="3" l="1"/>
  <c r="L2" i="3" l="1"/>
  <c r="K2" i="3"/>
  <c r="D15" i="5" l="1"/>
  <c r="D16" i="5"/>
  <c r="F2" i="3"/>
  <c r="D10" i="7" l="1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G6" i="5"/>
  <c r="G5" i="5"/>
  <c r="B4" i="5"/>
  <c r="D40" i="6"/>
  <c r="H2" i="3"/>
  <c r="B5" i="5" l="1"/>
  <c r="D5" i="5"/>
  <c r="B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<sst xmlns="http://schemas.openxmlformats.org/spreadsheetml/2006/main" count="83" uniqueCount="61">
  <si>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</si>
  <si>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</si>
  <si>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</si>
  <si>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</si>
  <si>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</si>
  <si>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</si>
  <si>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</si>
  <si>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</si>
  <si>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</si>
  <si>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</si>
  <si>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</si>
  <si>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</si>
  <si>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</si>
  <si>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</si>
  <si>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</si>
  <si>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</si>
  <si>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</si>
  <si>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</si>
  <si>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</si>
  <si>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</si>
  <si>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</si>
  <si>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</si>
  <si>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</si>
  <si>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</si>
  <si>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</si>
  <si>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</si>
  <si>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</si>
  <si>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</si>
  <si>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</si>
  <si>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</si>
  <si>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</si>
  <si>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</si>
  <si>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</si>
  <si>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</si>
  <si>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</si>
  <si>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</si>
  <si>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</si>
  <si>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</si>
  <si>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</si>
  <si>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</si>
  <si>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</si>
  <si>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</si>
  <si>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</si>
  <si>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</si>
  <si>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</si>
  <si>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</si>
  <si>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</si>
  <si>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</si>
  <si>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</si>
  <si>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</si>
  <si>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</si>
  <si>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</si>
  <si>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</si>
  <si>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</si>
  <si>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FA redondeo</t>
  </si>
  <si>
    <t>Diferencia</t>
  </si>
  <si>
    <t>Diferencia abs</t>
  </si>
  <si>
    <t>Mia + ruido</t>
  </si>
  <si>
    <t>Me ha gustado más</t>
  </si>
  <si>
    <t>Mia reescalado</t>
  </si>
  <si>
    <t>FA reescalado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</si>
</sst>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1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2"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1" formatCode="0"/>
    </dxf>
    <dxf>
      <border outline="0">
        <right style="thin">
          <color indexed="64"/>
        </right>
      </border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Notas!$J$2:$J$1048576</c:f>
              <c:numCache>
                <c:formatCode>0.0</c:formatCode>
                <c:ptCount val="1048575"/>
                <c:pt idx="0">
                  <c:v>2.2179929386953763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B1:L1048576" totalsRowShown="0" tableBorderDxfId="11">
  <autoFilter ref="B1:L1048576" xr:uid="{B7E8E3F6-4A56-4C38-9CDA-83612E98463A}"/>
  <tableColumns count="11">
    <tableColumn id="1" xr3:uid="{D4B468C3-7CDA-4F31-9638-09A527779C87}" name="Mia" dataDxfId="10"/>
    <tableColumn id="2" xr3:uid="{65EE12B7-2552-4910-A353-7AE48A3D7AA6}" name="FA"/>
    <tableColumn id="3" xr3:uid="{1D6E5D7A-6668-40F4-BA00-3A91CC9AC5BF}" name="Duracion" dataDxfId="9"/>
    <tableColumn id="4" xr3:uid="{E8F61A2B-CC2B-4DF4-AE8C-8C20147ABC40}" name="Visionados" dataDxfId="8"/>
    <tableColumn id="5" xr3:uid="{FF19B5AE-C56B-4CA5-B812-840E5C110430}" name="FA redondeo"/>
    <tableColumn id="6" xr3:uid="{20BAA72D-A773-488D-B544-DAD2EF762D99}" name="Diferencia"/>
    <tableColumn id="7" xr3:uid="{E40D682E-5136-4AEB-BEE2-B6B87967AFB0}" name="Diferencia abs"/>
    <tableColumn id="8" xr3:uid="{7FF8C3DD-322A-4235-83BB-7D30EE81A4BF}" name="Me ha gustado más" dataDxfId="7">
      <calculatedColumnFormula>IF($G2&gt;0,1,0.1)</calculatedColumnFormula>
    </tableColumn>
    <tableColumn id="9" xr3:uid="{C6FE0FC6-41FF-42DC-95D7-3BA16482D743}" name="Mia + ruido" dataDxfId="6"/>
    <tableColumn id="10" xr3:uid="{1D5E088C-37BD-4B8F-BD0A-602AB1027E68}" name="Mia reescalado" dataDxfId="5"/>
    <tableColumn id="11" xr3:uid="{19C47E50-9952-473E-A08A-65D82E3962A6}" name="FA reescalad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B1:AC16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13.7109375" customWidth="1"/>
    <col min="2" max="2" width="6.42578125" style="19" customWidth="1"/>
    <col min="3" max="3" width="6.140625" customWidth="1"/>
    <col min="4" max="4" width="10.5703125" style="73" customWidth="1"/>
    <col min="5" max="5" width="12.140625" style="73" customWidth="1"/>
    <col min="6" max="6" width="13.5703125" customWidth="1"/>
    <col min="7" max="7" width="11.7109375" customWidth="1"/>
    <col min="8" max="8" width="9.42578125" customWidth="1"/>
    <col min="9" max="9" width="10.5703125" style="80" customWidth="1"/>
    <col min="10" max="10" width="7.42578125" style="30" customWidth="1"/>
    <col min="11" max="11" width="15.85546875" style="18" customWidth="1"/>
    <col min="12" max="12" width="14.85546875" style="78" customWidth="1"/>
    <col min="13" max="13" width="8.28515625" customWidth="1"/>
    <col min="14" max="14" width="9.42578125" customWidth="1"/>
    <col min="15" max="15" width="8.28515625" customWidth="1"/>
    <col min="16" max="16" width="8.85546875" customWidth="1"/>
    <col min="23" max="23" width="4.7109375" customWidth="1"/>
    <col min="24" max="24" width="10.85546875" customWidth="1"/>
    <col min="28" max="28" width="17.5703125" customWidth="1"/>
    <col min="29" max="29" width="11.85546875" customWidth="1"/>
    <col min="36" max="36" width="7.5703125" customWidth="1"/>
  </cols>
  <sheetData>
    <row r="1" spans="2:29" x14ac:dyDescent="0.25">
      <c r="B1" t="s">
        <v>50</v>
      </c>
      <c r="C1" t="s">
        <v>51</v>
      </c>
      <c r="D1" t="s">
        <v>52</v>
      </c>
      <c r="E1" s="73" t="s">
        <v>53</v>
      </c>
      <c r="F1" t="s">
        <v>54</v>
      </c>
      <c r="G1" t="s">
        <v>55</v>
      </c>
      <c r="H1" t="s">
        <v>56</v>
      </c>
      <c r="I1" s="31" t="s">
        <v>58</v>
      </c>
      <c r="J1" t="s">
        <v>57</v>
      </c>
      <c r="K1" s="18" t="s">
        <v>59</v>
      </c>
      <c r="L1" s="78" t="s">
        <v>60</v>
      </c>
    </row>
    <row r="2" spans="2:29" x14ac:dyDescent="0.25">
      <c r="B2" s="19">
        <v>2</v>
      </c>
      <c r="C2">
        <v>5.4</v>
      </c>
      <c r="D2" s="73">
        <v>130</v>
      </c>
      <c r="E2" s="73">
        <v>26047</v>
      </c>
      <c r="F2">
        <f t="shared" ref="F2" si="0">ROUND($C2*2, 0)/2</f>
        <v>5.5</v>
      </c>
      <c r="G2">
        <f>B2-C2</f>
        <v>-3.4000000000000004</v>
      </c>
      <c r="H2">
        <f t="shared" ref="H2" si="1">ABS(G2)</f>
        <v>3.4000000000000004</v>
      </c>
      <c r="I2" s="80">
        <f t="shared" ref="I2" si="2">IF($G2&gt;0,1,0.1)</f>
        <v>0.1</v>
      </c>
      <c r="J2" s="30">
        <f t="shared" ref="J2" ca="1" si="3">B2+RAND()-0.5</f>
        <v>2.2179929386953763</v>
      </c>
      <c r="K2" s="17">
        <f t="shared" ref="K2" si="4">(B2-1)*10/9</f>
        <v>1.1111111111111112</v>
      </c>
      <c r="L2" s="79">
        <f t="shared" ref="L2" si="5">(C2-1)*10/9</f>
        <v>4.8888888888888893</v>
      </c>
      <c r="M2" s="27"/>
      <c r="N2" s="27"/>
      <c r="O2" s="27"/>
      <c r="P2" s="27"/>
      <c r="T2" s="55"/>
      <c r="U2" s="55"/>
    </row>
    <row r="3" spans="2:29" x14ac:dyDescent="0.25">
      <c r="M3" s="29"/>
      <c r="N3" s="29"/>
      <c r="O3" s="29"/>
      <c r="P3" s="27"/>
      <c r="T3" s="55"/>
      <c r="U3" s="55"/>
    </row>
    <row r="4" spans="2:29" x14ac:dyDescent="0.25">
      <c r="M4" s="29"/>
      <c r="N4" s="29"/>
      <c r="O4" s="29"/>
      <c r="P4" s="27"/>
      <c r="T4" s="56"/>
      <c r="U4" s="56"/>
    </row>
    <row r="5" spans="2:29" x14ac:dyDescent="0.25">
      <c r="M5" s="27"/>
      <c r="N5" s="27"/>
      <c r="O5" s="27"/>
      <c r="P5" s="27"/>
      <c r="T5" s="56"/>
      <c r="U5" s="56"/>
      <c r="AC5" s="1"/>
    </row>
    <row r="6" spans="2:29" x14ac:dyDescent="0.25">
      <c r="M6" s="27"/>
      <c r="N6" s="27"/>
      <c r="O6" s="27"/>
      <c r="P6" s="27"/>
      <c r="T6" s="56"/>
      <c r="U6" s="56"/>
    </row>
    <row r="7" spans="2:29" x14ac:dyDescent="0.25">
      <c r="M7" s="27"/>
      <c r="N7" s="27"/>
      <c r="O7" s="27"/>
      <c r="P7" s="27"/>
      <c r="T7" s="56"/>
      <c r="U7" s="56"/>
    </row>
    <row r="8" spans="2:29" x14ac:dyDescent="0.25">
      <c r="M8" s="27"/>
      <c r="N8" s="27"/>
      <c r="O8" s="27"/>
      <c r="P8" s="27"/>
      <c r="T8" s="56"/>
      <c r="U8" s="56"/>
    </row>
    <row r="9" spans="2:29" x14ac:dyDescent="0.25">
      <c r="M9" s="27"/>
      <c r="N9" s="27"/>
      <c r="O9" s="27"/>
      <c r="P9" s="27"/>
      <c r="T9" s="56"/>
      <c r="U9" s="56"/>
    </row>
    <row r="10" spans="2:29" x14ac:dyDescent="0.25">
      <c r="M10" s="27"/>
      <c r="N10" s="27"/>
      <c r="O10" s="27"/>
      <c r="P10" s="27"/>
      <c r="T10" s="56"/>
      <c r="U10" s="56"/>
    </row>
    <row r="11" spans="2:29" x14ac:dyDescent="0.25">
      <c r="M11" s="27"/>
      <c r="N11" s="27"/>
      <c r="O11" s="27"/>
      <c r="P11" s="27"/>
      <c r="T11" s="56"/>
      <c r="U11" s="56"/>
    </row>
    <row r="12" spans="2:29" x14ac:dyDescent="0.25">
      <c r="M12" s="27"/>
      <c r="N12" s="27"/>
      <c r="O12" s="27"/>
      <c r="P12" s="27"/>
      <c r="T12" s="56"/>
      <c r="U12" s="56"/>
    </row>
    <row r="13" spans="2:29" x14ac:dyDescent="0.25">
      <c r="M13" s="27"/>
      <c r="N13" s="27"/>
      <c r="O13" s="27"/>
      <c r="P13" s="27"/>
      <c r="T13" s="56"/>
      <c r="U13" s="56"/>
    </row>
    <row r="14" spans="2:29" x14ac:dyDescent="0.25">
      <c r="M14" s="27"/>
      <c r="N14" s="27"/>
      <c r="O14" s="27"/>
      <c r="P14" s="27"/>
      <c r="T14" s="56"/>
      <c r="U14" s="56"/>
    </row>
    <row r="15" spans="2:29" x14ac:dyDescent="0.25">
      <c r="M15" s="27"/>
      <c r="N15" s="27"/>
      <c r="O15" s="27"/>
      <c r="P15" s="27"/>
      <c r="T15" s="56"/>
      <c r="U15" s="56"/>
    </row>
    <row r="16" spans="2:29" x14ac:dyDescent="0.25">
      <c r="M16" s="27"/>
      <c r="N16" s="27"/>
      <c r="O16" s="27"/>
      <c r="P16" s="27"/>
      <c r="T16" s="56"/>
      <c r="U16" s="56"/>
    </row>
    <row r="17" spans="20:21" x14ac:dyDescent="0.25">
      <c r="T17" s="56"/>
      <c r="U17" s="56"/>
    </row>
    <row r="18" spans="20:21" x14ac:dyDescent="0.25">
      <c r="T18" s="56"/>
      <c r="U18" s="56"/>
    </row>
    <row r="19" spans="20:21" x14ac:dyDescent="0.25">
      <c r="T19" s="56"/>
      <c r="U19" s="56"/>
    </row>
    <row r="20" spans="20:21" x14ac:dyDescent="0.25">
      <c r="T20" s="56"/>
      <c r="U20" s="56"/>
    </row>
    <row r="21" spans="20:21" x14ac:dyDescent="0.25">
      <c r="T21" s="56"/>
      <c r="U21" s="56"/>
    </row>
    <row r="22" spans="20:21" x14ac:dyDescent="0.25">
      <c r="T22" s="56"/>
      <c r="U22" s="56"/>
    </row>
    <row r="23" spans="20:21" x14ac:dyDescent="0.25">
      <c r="T23" s="56"/>
      <c r="U23" s="56"/>
    </row>
    <row r="24" spans="20:21" x14ac:dyDescent="0.25">
      <c r="T24" s="56"/>
      <c r="U24" s="56"/>
    </row>
    <row r="25" spans="20:21" x14ac:dyDescent="0.25">
      <c r="T25" s="56"/>
      <c r="U25" s="56"/>
    </row>
    <row r="26" spans="20:21" x14ac:dyDescent="0.25">
      <c r="T26" s="56"/>
      <c r="U26" s="56"/>
    </row>
    <row r="27" spans="20:21" x14ac:dyDescent="0.25">
      <c r="T27" s="56"/>
      <c r="U27" s="56"/>
    </row>
    <row r="28" spans="20:21" x14ac:dyDescent="0.25">
      <c r="T28" s="56"/>
      <c r="U28" s="56"/>
    </row>
    <row r="29" spans="20:21" x14ac:dyDescent="0.25">
      <c r="T29" s="56"/>
      <c r="U29" s="56"/>
    </row>
    <row r="30" spans="20:21" x14ac:dyDescent="0.25">
      <c r="T30" s="56"/>
      <c r="U30" s="56"/>
    </row>
    <row r="31" spans="20:21" x14ac:dyDescent="0.25">
      <c r="T31" s="56"/>
      <c r="U31" s="56"/>
    </row>
    <row r="32" spans="20:21" x14ac:dyDescent="0.25">
      <c r="T32" s="56"/>
      <c r="U32" s="56"/>
    </row>
    <row r="33" spans="20:21" x14ac:dyDescent="0.25">
      <c r="T33" s="56"/>
      <c r="U33" s="56"/>
    </row>
    <row r="34" spans="20:21" x14ac:dyDescent="0.25">
      <c r="T34" s="56"/>
      <c r="U34" s="56"/>
    </row>
    <row r="35" spans="20:21" x14ac:dyDescent="0.25">
      <c r="T35" s="56"/>
      <c r="U35" s="56"/>
    </row>
    <row r="36" spans="20:21" x14ac:dyDescent="0.25">
      <c r="T36" s="56"/>
      <c r="U36" s="56"/>
    </row>
    <row r="37" spans="20:21" x14ac:dyDescent="0.25">
      <c r="T37" s="56"/>
      <c r="U37" s="56"/>
    </row>
    <row r="38" spans="20:21" x14ac:dyDescent="0.25">
      <c r="T38" s="56"/>
      <c r="U38" s="56"/>
    </row>
    <row r="39" spans="20:21" x14ac:dyDescent="0.25">
      <c r="T39" s="56"/>
      <c r="U39" s="56"/>
    </row>
    <row r="40" spans="20:21" x14ac:dyDescent="0.25">
      <c r="T40" s="56"/>
      <c r="U40" s="56"/>
    </row>
    <row r="41" spans="20:21" x14ac:dyDescent="0.25">
      <c r="T41" s="56"/>
      <c r="U41" s="56"/>
    </row>
    <row r="42" spans="20:21" x14ac:dyDescent="0.25">
      <c r="T42" s="56"/>
      <c r="U42" s="56"/>
    </row>
    <row r="43" spans="20:21" x14ac:dyDescent="0.25">
      <c r="T43" s="55"/>
      <c r="U43" s="55"/>
    </row>
    <row r="44" spans="20:21" x14ac:dyDescent="0.25">
      <c r="T44" s="55"/>
      <c r="U44" s="55"/>
    </row>
    <row r="45" spans="20:21" x14ac:dyDescent="0.25">
      <c r="T45" s="55"/>
      <c r="U45" s="55"/>
    </row>
    <row r="46" spans="20:21" x14ac:dyDescent="0.25">
      <c r="T46" s="55"/>
      <c r="U46" s="55"/>
    </row>
    <row r="47" spans="20:21" x14ac:dyDescent="0.25">
      <c r="T47" s="55"/>
      <c r="U47" s="55"/>
    </row>
    <row r="48" spans="20:21" x14ac:dyDescent="0.25">
      <c r="T48" s="55"/>
      <c r="U48" s="55"/>
    </row>
    <row r="49" spans="20:21" x14ac:dyDescent="0.25">
      <c r="T49" s="55"/>
      <c r="U49" s="55"/>
    </row>
    <row r="164" ht="15.75" customHeight="1" x14ac:dyDescent="0.25"/>
    <row r="165" ht="15.75" customHeight="1" x14ac:dyDescent="0.25"/>
  </sheetData>
  <conditionalFormatting sqref="I1:I1048576">
    <cfRule type="cellIs" dxfId="3" priority="4" operator="equal">
      <formula>0.1</formula>
    </cfRule>
    <cfRule type="cellIs" dxfId="2" priority="5" operator="equal">
      <formula>1</formula>
    </cfRule>
  </conditionalFormatting>
  <conditionalFormatting sqref="K1:K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L1:L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H1:H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1</v>
      </c>
      <c r="G1" s="27"/>
    </row>
    <row r="2" spans="1:14" x14ac:dyDescent="0.25">
      <c r="A2" t="s">
        <v>0</v>
      </c>
      <c r="B2" s="7">
        <f>AVERAGE(Tabla1[FA])</f>
        <v>5.4</v>
      </c>
      <c r="C2" t="s">
        <v>8</v>
      </c>
      <c r="D2" s="8">
        <f>STDEVP(Notas!C:C)</f>
        <v>0</v>
      </c>
      <c r="E2" s="28" t="s">
        <v>17</v>
      </c>
      <c r="F2" s="8">
        <f>_xlfn.VAR.P(Notas!C:C)</f>
        <v>0</v>
      </c>
      <c r="G2" s="28" t="s">
        <v>20</v>
      </c>
      <c r="H2" s="7">
        <f>MEDIAN(Notas!C:C)</f>
        <v>5.4</v>
      </c>
      <c r="I2" s="29" t="s">
        <v>22</v>
      </c>
      <c r="J2" s="7" t="e">
        <f>SKEW(Notas!C:C)</f>
        <v>#DIV/0!</v>
      </c>
      <c r="K2" t="s">
        <v>25</v>
      </c>
      <c r="L2" s="58">
        <f>MAX(Notas!C:C)</f>
        <v>5.4</v>
      </c>
      <c r="M2" t="s">
        <v>26</v>
      </c>
      <c r="N2" s="58">
        <f>MIN(Notas!C:C)</f>
        <v>5.4</v>
      </c>
    </row>
    <row r="3" spans="1:14" x14ac:dyDescent="0.25">
      <c r="A3" t="s">
        <v>1</v>
      </c>
      <c r="B3" s="5">
        <f>AVERAGE(Tabla1[Mia])</f>
        <v>2</v>
      </c>
      <c r="C3" t="s">
        <v>8</v>
      </c>
      <c r="D3" s="6">
        <f>STDEVP(NotasMias)</f>
        <v>0</v>
      </c>
      <c r="E3" s="28" t="s">
        <v>17</v>
      </c>
      <c r="F3" s="6">
        <f>_xlfn.VAR.P(NotasMias)</f>
        <v>0</v>
      </c>
      <c r="G3" s="28" t="s">
        <v>20</v>
      </c>
      <c r="H3" s="5">
        <f>MEDIAN(NotasMias)</f>
        <v>2</v>
      </c>
      <c r="I3" s="29" t="s">
        <v>22</v>
      </c>
      <c r="J3" s="5" t="e">
        <f>SKEW(NotasMias)</f>
        <v>#DIV/0!</v>
      </c>
      <c r="K3" t="s">
        <v>25</v>
      </c>
      <c r="L3" s="59">
        <f>MAX(NotasMias)</f>
        <v>2</v>
      </c>
      <c r="M3" t="s">
        <v>26</v>
      </c>
      <c r="N3" s="59">
        <f>MIN(NotasMias)</f>
        <v>2</v>
      </c>
    </row>
    <row r="4" spans="1:14" x14ac:dyDescent="0.25">
      <c r="A4" t="s">
        <v>2</v>
      </c>
      <c r="B4" s="1">
        <f>AVERAGE(Notas!G:G)</f>
        <v>-3.4000000000000004</v>
      </c>
      <c r="G4" s="27"/>
    </row>
    <row r="5" spans="1:14" x14ac:dyDescent="0.25">
      <c r="A5" t="s">
        <v>3</v>
      </c>
      <c r="B5" s="1">
        <f>AVERAGE(Tabla1[Diferencia abs])</f>
        <v>3.4000000000000004</v>
      </c>
      <c r="C5" t="s">
        <v>8</v>
      </c>
      <c r="D5" s="1">
        <f>STDEVP(Tabla1[Diferencia abs])</f>
        <v>0</v>
      </c>
      <c r="E5" s="29"/>
      <c r="F5" s="1"/>
      <c r="G5" s="29">
        <f>AVERAGE(Notas!G:G)</f>
        <v>-3.4000000000000004</v>
      </c>
    </row>
    <row r="6" spans="1:14" x14ac:dyDescent="0.25">
      <c r="G6">
        <f>MEDIAN(Notas!G:G)</f>
        <v>-3.4000000000000004</v>
      </c>
    </row>
    <row r="7" spans="1:14" x14ac:dyDescent="0.25">
      <c r="A7" t="s">
        <v>4</v>
      </c>
      <c r="B7">
        <f>MAX(Tabla1[Diferencia abs])</f>
        <v>3.4000000000000004</v>
      </c>
      <c r="C7" t="s">
        <v>23</v>
      </c>
      <c r="D7" s="32" t="e">
        <f>CORREL(Notas!B:B,Notas!C:C)</f>
        <v>#DIV/0!</v>
      </c>
      <c r="E7" s="54"/>
      <c r="F7" s="32"/>
    </row>
    <row r="8" spans="1:14" x14ac:dyDescent="0.25">
      <c r="A8" t="s">
        <v>5</v>
      </c>
      <c r="B8">
        <f>MIN(Tabla1[Diferencia])</f>
        <v>-3.4000000000000004</v>
      </c>
    </row>
    <row r="9" spans="1:14" x14ac:dyDescent="0.25">
      <c r="A9" t="s">
        <v>6</v>
      </c>
      <c r="B9">
        <f>MAX(Tabla1[Diferencia])</f>
        <v>-3.4000000000000004</v>
      </c>
    </row>
    <row r="10" spans="1:14" x14ac:dyDescent="0.25">
      <c r="A10" t="s">
        <v>10</v>
      </c>
      <c r="B10" s="2">
        <f>AVERAGE(Tabla1[Me ha gustado más])</f>
        <v>0.1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45</v>
      </c>
      <c r="G14" s="77">
        <v>7.8</v>
      </c>
    </row>
    <row r="15" spans="1:14" x14ac:dyDescent="0.25">
      <c r="A15" s="13" t="s">
        <v>14</v>
      </c>
      <c r="B15" s="15">
        <f>(Estadística!B2-1)*10/9</f>
        <v>4.8888888888888893</v>
      </c>
      <c r="C15" s="14" t="s">
        <v>8</v>
      </c>
      <c r="D15" s="15">
        <f>STDEVP(Notas!L:L)</f>
        <v>0</v>
      </c>
      <c r="E15" s="66"/>
      <c r="F15" s="66" t="s">
        <v>46</v>
      </c>
      <c r="G15" s="75">
        <f>COUNTIF(NotasFA,"&lt;="&amp;G14)/Pelis</f>
        <v>1</v>
      </c>
    </row>
    <row r="16" spans="1:14" x14ac:dyDescent="0.25">
      <c r="A16" s="9" t="s">
        <v>1</v>
      </c>
      <c r="B16" s="16">
        <f>(Estadística!B3-1)*10/9</f>
        <v>1.1111111111111112</v>
      </c>
      <c r="C16" s="10" t="s">
        <v>8</v>
      </c>
      <c r="D16" s="11">
        <f>STDEVP(Notas!K:K)</f>
        <v>0</v>
      </c>
      <c r="E16" s="66"/>
      <c r="F16" s="66" t="s">
        <v>47</v>
      </c>
      <c r="G16" s="76">
        <f>COUNTIF(NotasMias,"&lt;="&amp;G14)/Pelis</f>
        <v>1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0</v>
      </c>
      <c r="D4" s="25">
        <f>COUNTIF(NotasFA,"&lt;=($B6+0,5)")</f>
        <v>0</v>
      </c>
      <c r="E4" s="43" t="e">
        <f>_xlfn.NORM.DIST(B4,MediaMia,SQRT(VarMia),TRUE)*Pelis</f>
        <v>#NUM!</v>
      </c>
      <c r="F4" s="42" t="e">
        <f>_xlfn.NORM.DIST(B4,MediaFA,SQRT(VarFA),TRUE)*Pelis</f>
        <v>#NUM!</v>
      </c>
    </row>
    <row r="5" spans="2:6" x14ac:dyDescent="0.25">
      <c r="B5" s="22">
        <v>2</v>
      </c>
      <c r="C5" s="3">
        <f t="shared" si="0"/>
        <v>1</v>
      </c>
      <c r="D5" s="4">
        <f>COUNTIF(NotasFA,"&gt;1,5")-COUNTIF(Notas!F:F,"&gt;2,5")</f>
        <v>0</v>
      </c>
      <c r="E5" s="44" t="e">
        <f t="shared" ref="E5:E13" si="1">(_xlfn.NORM.DIST(B5,MediaMia,SQRT(VarMia),TRUE)-_xlfn.NORM.DIST(B4,MediaMia,SQRT(VarMia),TRUE))*Pelis</f>
        <v>#NUM!</v>
      </c>
      <c r="F5" s="33" t="e">
        <f t="shared" ref="F5:F13" si="2">(_xlfn.NORM.DIST(B5,MediaFA,SQRT(VarFA),TRUE)-_xlfn.NORM.DIST(B4,MediaFA,SQRT(VarFA),TRUE))*Pelis</f>
        <v>#NUM!</v>
      </c>
    </row>
    <row r="6" spans="2:6" x14ac:dyDescent="0.25">
      <c r="B6" s="22">
        <v>3</v>
      </c>
      <c r="C6" s="3">
        <f t="shared" si="0"/>
        <v>0</v>
      </c>
      <c r="D6" s="4">
        <f>COUNTIF(Notas!F:F,"&gt;2,5")-COUNTIF(Notas!F:F,"&gt;3,5")</f>
        <v>0</v>
      </c>
      <c r="E6" s="44" t="e">
        <f t="shared" si="1"/>
        <v>#NUM!</v>
      </c>
      <c r="F6" s="33" t="e">
        <f t="shared" si="2"/>
        <v>#NUM!</v>
      </c>
    </row>
    <row r="7" spans="2:6" x14ac:dyDescent="0.25">
      <c r="B7" s="22">
        <v>4</v>
      </c>
      <c r="C7" s="3">
        <f t="shared" si="0"/>
        <v>0</v>
      </c>
      <c r="D7" s="4">
        <f>COUNTIF(Notas!F:F,"&gt;3,5")-COUNTIF(Notas!F:F,"&gt;4,5")</f>
        <v>0</v>
      </c>
      <c r="E7" s="44" t="e">
        <f t="shared" si="1"/>
        <v>#NUM!</v>
      </c>
      <c r="F7" s="33" t="e">
        <f t="shared" si="2"/>
        <v>#NUM!</v>
      </c>
    </row>
    <row r="8" spans="2:6" x14ac:dyDescent="0.25">
      <c r="B8" s="22">
        <v>5</v>
      </c>
      <c r="C8" s="3">
        <f t="shared" si="0"/>
        <v>0</v>
      </c>
      <c r="D8" s="4">
        <f>COUNTIF(Notas!F:F,"&gt;4,5")-COUNTIF(Notas!F:F,"&gt;5,5")</f>
        <v>1</v>
      </c>
      <c r="E8" s="44" t="e">
        <f t="shared" si="1"/>
        <v>#NUM!</v>
      </c>
      <c r="F8" s="33" t="e">
        <f t="shared" si="2"/>
        <v>#NUM!</v>
      </c>
    </row>
    <row r="9" spans="2:6" x14ac:dyDescent="0.25">
      <c r="B9" s="22">
        <v>6</v>
      </c>
      <c r="C9" s="3">
        <f t="shared" si="0"/>
        <v>0</v>
      </c>
      <c r="D9" s="4">
        <f>COUNTIF(Notas!F:F,"&gt;5,5")-COUNTIF(Notas!F:F,"&gt;6,5")</f>
        <v>0</v>
      </c>
      <c r="E9" s="44" t="e">
        <f t="shared" si="1"/>
        <v>#NUM!</v>
      </c>
      <c r="F9" s="33" t="e">
        <f t="shared" si="2"/>
        <v>#NUM!</v>
      </c>
    </row>
    <row r="10" spans="2:6" x14ac:dyDescent="0.25">
      <c r="B10" s="22">
        <v>7</v>
      </c>
      <c r="C10" s="3">
        <f t="shared" si="0"/>
        <v>0</v>
      </c>
      <c r="D10" s="4">
        <f>COUNTIF(Notas!F:F,"&gt;6,5")-COUNTIF(Notas!F:F,"&gt;7,5")</f>
        <v>0</v>
      </c>
      <c r="E10" s="44" t="e">
        <f t="shared" si="1"/>
        <v>#NUM!</v>
      </c>
      <c r="F10" s="33" t="e">
        <f t="shared" si="2"/>
        <v>#NUM!</v>
      </c>
    </row>
    <row r="11" spans="2:6" x14ac:dyDescent="0.25">
      <c r="B11" s="22">
        <v>8</v>
      </c>
      <c r="C11" s="3">
        <f t="shared" si="0"/>
        <v>0</v>
      </c>
      <c r="D11" s="4">
        <f>COUNTIF(Notas!F:F,"&gt;7,5")-COUNTIF(Notas!F:F,"&gt;8,5")</f>
        <v>0</v>
      </c>
      <c r="E11" s="44" t="e">
        <f t="shared" si="1"/>
        <v>#NUM!</v>
      </c>
      <c r="F11" s="33" t="e">
        <f t="shared" si="2"/>
        <v>#NUM!</v>
      </c>
    </row>
    <row r="12" spans="2:6" x14ac:dyDescent="0.25">
      <c r="B12" s="22">
        <v>9</v>
      </c>
      <c r="C12" s="3">
        <f t="shared" si="0"/>
        <v>0</v>
      </c>
      <c r="D12" s="4">
        <f>COUNTIF(Notas!F:F,"&gt;8,5")-COUNTIF(Notas!F:F,"&gt;9,5")</f>
        <v>0</v>
      </c>
      <c r="E12" s="44" t="e">
        <f t="shared" si="1"/>
        <v>#NUM!</v>
      </c>
      <c r="F12" s="33" t="e">
        <f t="shared" si="2"/>
        <v>#NUM!</v>
      </c>
    </row>
    <row r="13" spans="2:6" ht="15.75" thickBot="1" x14ac:dyDescent="0.3">
      <c r="B13" s="23">
        <v>10</v>
      </c>
      <c r="C13" s="24">
        <f t="shared" si="0"/>
        <v>0</v>
      </c>
      <c r="D13" s="26">
        <f>COUNTIF(Notas!F:F,"&gt;9,5")</f>
        <v>0</v>
      </c>
      <c r="E13" s="44" t="e">
        <f t="shared" si="1"/>
        <v>#NUM!</v>
      </c>
      <c r="F13" s="33" t="e">
        <f t="shared" si="2"/>
        <v>#NUM!</v>
      </c>
    </row>
    <row r="14" spans="2:6" x14ac:dyDescent="0.25">
      <c r="E14" s="67" t="e">
        <f>SUM(E4:E13)</f>
        <v>#NUM!</v>
      </c>
      <c r="F14" s="67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6">
        <f>COUNTIF(Notas!F:F,Normales!B20)</f>
        <v>0</v>
      </c>
      <c r="E20" s="43" t="e">
        <f>_xlfn.NORM.DIST(B20,MediaMia,SQRT(VarMia),TRUE)*Pelis</f>
        <v>#NUM!</v>
      </c>
      <c r="F20" s="51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7">
        <f>COUNTIF(Notas!F:F,Normales!B21)</f>
        <v>0</v>
      </c>
      <c r="E21" s="44" t="e">
        <f t="shared" ref="E21:E39" si="3">(_xlfn.NORM.DIST(B21,MediaMia,SQRT(VarMia),TRUE)-_xlfn.NORM.DIST(B20,MediaMia,SQRT(VarMia),TRUE))*Pelis</f>
        <v>#NUM!</v>
      </c>
      <c r="F21" s="52" t="e">
        <f t="shared" ref="F21:F39" si="4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7">
        <f>COUNTIF(Notas!F:F,Normales!B22)</f>
        <v>0</v>
      </c>
      <c r="E22" s="44" t="e">
        <f t="shared" si="3"/>
        <v>#NUM!</v>
      </c>
      <c r="F22" s="52" t="e">
        <f t="shared" si="4"/>
        <v>#NUM!</v>
      </c>
    </row>
    <row r="23" spans="2:19" x14ac:dyDescent="0.25">
      <c r="B23" s="22">
        <v>2</v>
      </c>
      <c r="C23" s="36">
        <f>COUNTIF(Notas!B:B,B23)/2</f>
        <v>0.5</v>
      </c>
      <c r="D23" s="47">
        <f>COUNTIF(Notas!F:F,Normales!B23)</f>
        <v>0</v>
      </c>
      <c r="E23" s="44" t="e">
        <f t="shared" si="3"/>
        <v>#NUM!</v>
      </c>
      <c r="F23" s="52" t="e">
        <f t="shared" si="4"/>
        <v>#NUM!</v>
      </c>
    </row>
    <row r="24" spans="2:19" x14ac:dyDescent="0.25">
      <c r="B24" s="22">
        <v>2.5</v>
      </c>
      <c r="C24" s="36">
        <f>(C23+C25)/2</f>
        <v>0.25</v>
      </c>
      <c r="D24" s="47">
        <f>COUNTIF(Notas!F:F,Normales!B24)</f>
        <v>0</v>
      </c>
      <c r="E24" s="44" t="e">
        <f t="shared" si="3"/>
        <v>#NUM!</v>
      </c>
      <c r="F24" s="52" t="e">
        <f t="shared" si="4"/>
        <v>#NUM!</v>
      </c>
    </row>
    <row r="25" spans="2:19" x14ac:dyDescent="0.25">
      <c r="B25" s="22">
        <v>3</v>
      </c>
      <c r="C25" s="36">
        <f>COUNTIF(Notas!B:B,B25)/2</f>
        <v>0</v>
      </c>
      <c r="D25" s="47">
        <f>COUNTIF(Notas!F:F,Normales!B25)</f>
        <v>0</v>
      </c>
      <c r="E25" s="44" t="e">
        <f t="shared" si="3"/>
        <v>#NUM!</v>
      </c>
      <c r="F25" s="52" t="e">
        <f t="shared" si="4"/>
        <v>#NUM!</v>
      </c>
    </row>
    <row r="26" spans="2:19" x14ac:dyDescent="0.25">
      <c r="B26" s="22">
        <v>3.5</v>
      </c>
      <c r="C26" s="36">
        <f>(C25+C27)/2</f>
        <v>0</v>
      </c>
      <c r="D26" s="47">
        <f>COUNTIF(Notas!F:F,Normales!B26)</f>
        <v>0</v>
      </c>
      <c r="E26" s="44" t="e">
        <f t="shared" si="3"/>
        <v>#NUM!</v>
      </c>
      <c r="F26" s="52" t="e">
        <f t="shared" si="4"/>
        <v>#NUM!</v>
      </c>
    </row>
    <row r="27" spans="2:19" x14ac:dyDescent="0.25">
      <c r="B27" s="22">
        <v>4</v>
      </c>
      <c r="C27" s="36">
        <f>COUNTIF(Notas!B:B,B27)/2</f>
        <v>0</v>
      </c>
      <c r="D27" s="47">
        <f>COUNTIF(Notas!F:F,Normales!B27)</f>
        <v>0</v>
      </c>
      <c r="E27" s="44" t="e">
        <f t="shared" si="3"/>
        <v>#NUM!</v>
      </c>
      <c r="F27" s="52" t="e">
        <f t="shared" si="4"/>
        <v>#NUM!</v>
      </c>
    </row>
    <row r="28" spans="2:19" x14ac:dyDescent="0.25">
      <c r="B28" s="22">
        <v>4.5</v>
      </c>
      <c r="C28" s="36">
        <f>(C27+C29)/2</f>
        <v>0</v>
      </c>
      <c r="D28" s="47">
        <f>COUNTIF(Notas!F:F,Normales!B28)</f>
        <v>0</v>
      </c>
      <c r="E28" s="44" t="e">
        <f t="shared" si="3"/>
        <v>#NUM!</v>
      </c>
      <c r="F28" s="52" t="e">
        <f t="shared" si="4"/>
        <v>#NUM!</v>
      </c>
    </row>
    <row r="29" spans="2:19" x14ac:dyDescent="0.25">
      <c r="B29" s="22">
        <v>5</v>
      </c>
      <c r="C29" s="36">
        <f>COUNTIF(Notas!B:B,B29)/2</f>
        <v>0</v>
      </c>
      <c r="D29" s="47">
        <f>COUNTIF(Notas!F:F,Normales!B29)</f>
        <v>0</v>
      </c>
      <c r="E29" s="44" t="e">
        <f t="shared" si="3"/>
        <v>#NUM!</v>
      </c>
      <c r="F29" s="52" t="e">
        <f t="shared" si="4"/>
        <v>#NUM!</v>
      </c>
    </row>
    <row r="30" spans="2:19" x14ac:dyDescent="0.25">
      <c r="B30" s="22">
        <v>5.5</v>
      </c>
      <c r="C30" s="36">
        <f>(C29+C31)/2</f>
        <v>0</v>
      </c>
      <c r="D30" s="47">
        <f>COUNTIF(Notas!F:F,Normales!B30)</f>
        <v>1</v>
      </c>
      <c r="E30" s="44" t="e">
        <f t="shared" si="3"/>
        <v>#NUM!</v>
      </c>
      <c r="F30" s="52" t="e">
        <f t="shared" si="4"/>
        <v>#NUM!</v>
      </c>
    </row>
    <row r="31" spans="2:19" x14ac:dyDescent="0.25">
      <c r="B31" s="22">
        <v>6</v>
      </c>
      <c r="C31" s="36">
        <f>COUNTIF(Notas!B:B,B31)/2</f>
        <v>0</v>
      </c>
      <c r="D31" s="47">
        <f>COUNTIF(Notas!F:F,Normales!B31)</f>
        <v>0</v>
      </c>
      <c r="E31" s="44" t="e">
        <f t="shared" si="3"/>
        <v>#NUM!</v>
      </c>
      <c r="F31" s="52" t="e">
        <f t="shared" si="4"/>
        <v>#NUM!</v>
      </c>
    </row>
    <row r="32" spans="2:19" x14ac:dyDescent="0.25">
      <c r="B32" s="22">
        <v>6.5</v>
      </c>
      <c r="C32" s="36">
        <f>(C31+C33)/2</f>
        <v>0</v>
      </c>
      <c r="D32" s="47">
        <f>COUNTIF(Notas!F:F,Normales!B32)</f>
        <v>0</v>
      </c>
      <c r="E32" s="44" t="e">
        <f t="shared" si="3"/>
        <v>#NUM!</v>
      </c>
      <c r="F32" s="52" t="e">
        <f t="shared" si="4"/>
        <v>#NUM!</v>
      </c>
    </row>
    <row r="33" spans="2:6" x14ac:dyDescent="0.25">
      <c r="B33" s="22">
        <v>7</v>
      </c>
      <c r="C33" s="36">
        <f>COUNTIF(Notas!B:B,B33)/2</f>
        <v>0</v>
      </c>
      <c r="D33" s="47">
        <f>COUNTIF(Notas!F:F,Normales!B33)</f>
        <v>0</v>
      </c>
      <c r="E33" s="44" t="e">
        <f t="shared" si="3"/>
        <v>#NUM!</v>
      </c>
      <c r="F33" s="52" t="e">
        <f t="shared" si="4"/>
        <v>#NUM!</v>
      </c>
    </row>
    <row r="34" spans="2:6" x14ac:dyDescent="0.25">
      <c r="B34" s="22">
        <v>7.5</v>
      </c>
      <c r="C34" s="36">
        <f>(C33+C35)/2</f>
        <v>0</v>
      </c>
      <c r="D34" s="47">
        <f>COUNTIF(Notas!F:F,Normales!B34)</f>
        <v>0</v>
      </c>
      <c r="E34" s="44" t="e">
        <f t="shared" si="3"/>
        <v>#NUM!</v>
      </c>
      <c r="F34" s="52" t="e">
        <f t="shared" si="4"/>
        <v>#NUM!</v>
      </c>
    </row>
    <row r="35" spans="2:6" x14ac:dyDescent="0.25">
      <c r="B35" s="22">
        <v>8</v>
      </c>
      <c r="C35" s="36">
        <f>COUNTIF(Notas!B:B,B35)/2</f>
        <v>0</v>
      </c>
      <c r="D35" s="47">
        <f>COUNTIF(Notas!F:F,Normales!B35)</f>
        <v>0</v>
      </c>
      <c r="E35" s="44" t="e">
        <f t="shared" si="3"/>
        <v>#NUM!</v>
      </c>
      <c r="F35" s="52" t="e">
        <f t="shared" si="4"/>
        <v>#NUM!</v>
      </c>
    </row>
    <row r="36" spans="2:6" x14ac:dyDescent="0.25">
      <c r="B36" s="22">
        <v>8.5</v>
      </c>
      <c r="C36" s="36">
        <f>(C35+C37)/2</f>
        <v>0</v>
      </c>
      <c r="D36" s="47">
        <f>COUNTIF(Notas!F:F,Normales!B36)</f>
        <v>0</v>
      </c>
      <c r="E36" s="44" t="e">
        <f t="shared" si="3"/>
        <v>#NUM!</v>
      </c>
      <c r="F36" s="52" t="e">
        <f t="shared" si="4"/>
        <v>#NUM!</v>
      </c>
    </row>
    <row r="37" spans="2:6" x14ac:dyDescent="0.25">
      <c r="B37" s="22">
        <v>9</v>
      </c>
      <c r="C37" s="36">
        <f>COUNTIF(Notas!B:B,B37)/2</f>
        <v>0</v>
      </c>
      <c r="D37" s="47">
        <f>COUNTIF(Notas!F:F,Normales!B37)</f>
        <v>0</v>
      </c>
      <c r="E37" s="44" t="e">
        <f t="shared" si="3"/>
        <v>#NUM!</v>
      </c>
      <c r="F37" s="52" t="e">
        <f t="shared" si="4"/>
        <v>#NUM!</v>
      </c>
    </row>
    <row r="38" spans="2:6" x14ac:dyDescent="0.25">
      <c r="B38" s="22">
        <v>9.5</v>
      </c>
      <c r="C38" s="36">
        <f>(C37+C39)/2</f>
        <v>0</v>
      </c>
      <c r="D38" s="47">
        <f>COUNTIF(Notas!F:F,Normales!B38)</f>
        <v>0</v>
      </c>
      <c r="E38" s="44" t="e">
        <f t="shared" si="3"/>
        <v>#NUM!</v>
      </c>
      <c r="F38" s="52" t="e">
        <f t="shared" si="4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8">
        <f>COUNTIF(Notas!F:F,Normales!B39)</f>
        <v>0</v>
      </c>
      <c r="E39" s="44" t="e">
        <f t="shared" si="3"/>
        <v>#NUM!</v>
      </c>
      <c r="F39" s="52" t="e">
        <f t="shared" si="4"/>
        <v>#NUM!</v>
      </c>
    </row>
    <row r="40" spans="2:6" x14ac:dyDescent="0.25">
      <c r="C40" s="50">
        <f>SUM(C20:C39)</f>
        <v>1</v>
      </c>
      <c r="D40" s="19">
        <f>SUM(D20:D39)</f>
        <v>1</v>
      </c>
      <c r="E40" s="67" t="e">
        <f>SUM(E20:E39)</f>
        <v>#NUM!</v>
      </c>
      <c r="F40" s="67" t="e">
        <f>SUM(F20:F39)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M2" sqref="M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0</v>
      </c>
      <c r="R4" s="42" t="e">
        <f>EXP((P4-$F$1)^2/(-2*$F$3))/SQRT(2*PI()*$F$3)*Estadística!$B$1</f>
        <v>#DIV/0!</v>
      </c>
      <c r="T4" s="60">
        <v>10</v>
      </c>
      <c r="U4" s="61">
        <f>COUNTIF(Notas!D:D,"&lt;="&amp;T4)</f>
        <v>0</v>
      </c>
      <c r="V4" s="42" t="e">
        <f>EXP((T4-$F$2)^2/(-2*$H$2))/SQRT(2*PI()*$H$2)*$C$2*10</f>
        <v>#DIV/0!</v>
      </c>
    </row>
    <row r="5" spans="1:22" x14ac:dyDescent="0.25">
      <c r="P5" s="62">
        <v>10</v>
      </c>
      <c r="Q5" s="55">
        <f>COUNTIF(Notas!D:D,"&lt;="&amp;P5)-COUNTIF(Notas!D:D,"&lt;="&amp;P4)</f>
        <v>0</v>
      </c>
      <c r="R5" s="33" t="e">
        <f>EXP((P5-$F$1)^2/(-2*$F$3))/SQRT(2*PI()*$F$3)*Estadística!$B$1</f>
        <v>#DIV/0!</v>
      </c>
      <c r="T5" s="62">
        <v>20</v>
      </c>
      <c r="U5" s="55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2">
        <v>15</v>
      </c>
      <c r="Q6" s="55">
        <f>COUNTIF(Notas!D:D,"&lt;="&amp;P6)-COUNTIF(Notas!D:D,"&lt;="&amp;P5)</f>
        <v>0</v>
      </c>
      <c r="R6" s="33" t="e">
        <f>EXP((P6-$F$1)^2/(-2*$F$3))/SQRT(2*PI()*$F$3)*Estadística!$B$1</f>
        <v>#DIV/0!</v>
      </c>
      <c r="T6" s="62">
        <v>30</v>
      </c>
      <c r="U6" s="55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2">
        <v>20</v>
      </c>
      <c r="Q7" s="55">
        <f>COUNTIF(Notas!D:D,"&lt;="&amp;P7)-COUNTIF(Notas!D:D,"&lt;="&amp;P6)</f>
        <v>0</v>
      </c>
      <c r="R7" s="33" t="e">
        <f>EXP((P7-$F$1)^2/(-2*$F$3))/SQRT(2*PI()*$F$3)*Estadística!$B$1</f>
        <v>#DIV/0!</v>
      </c>
      <c r="T7" s="62">
        <v>40</v>
      </c>
      <c r="U7" s="55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2">
        <v>25</v>
      </c>
      <c r="Q8" s="55">
        <f>COUNTIF(Notas!D:D,"&lt;="&amp;P8)-COUNTIF(Notas!D:D,"&lt;="&amp;P7)</f>
        <v>0</v>
      </c>
      <c r="R8" s="33" t="e">
        <f>EXP((P8-$F$1)^2/(-2*$F$3))/SQRT(2*PI()*$F$3)*Estadística!$B$1</f>
        <v>#DIV/0!</v>
      </c>
      <c r="T8" s="62">
        <v>50</v>
      </c>
      <c r="U8" s="55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2">
        <v>30</v>
      </c>
      <c r="Q9" s="55">
        <f>COUNTIF(Notas!D:D,"&lt;="&amp;P9)-COUNTIF(Notas!D:D,"&lt;="&amp;P8)</f>
        <v>0</v>
      </c>
      <c r="R9" s="33" t="e">
        <f>EXP((P9-$F$1)^2/(-2*$F$3))/SQRT(2*PI()*$F$3)*Estadística!$B$1</f>
        <v>#DIV/0!</v>
      </c>
      <c r="T9" s="62">
        <v>60</v>
      </c>
      <c r="U9" s="55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2">
        <v>35</v>
      </c>
      <c r="Q10" s="55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2">
        <v>70</v>
      </c>
      <c r="U10" s="55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2">
        <v>40</v>
      </c>
      <c r="Q11" s="55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2">
        <v>80</v>
      </c>
      <c r="U11" s="55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2">
        <v>45</v>
      </c>
      <c r="Q12" s="55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2">
        <v>90</v>
      </c>
      <c r="U12" s="55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2">
        <v>50</v>
      </c>
      <c r="Q13" s="55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2">
        <v>100</v>
      </c>
      <c r="U13" s="55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2">
        <v>55</v>
      </c>
      <c r="Q14" s="55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2">
        <v>110</v>
      </c>
      <c r="U14" s="55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2">
        <v>60</v>
      </c>
      <c r="Q15" s="55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2">
        <v>120</v>
      </c>
      <c r="U15" s="55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2">
        <v>65</v>
      </c>
      <c r="Q16" s="55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2">
        <v>130</v>
      </c>
      <c r="U16" s="55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2">
        <v>70</v>
      </c>
      <c r="Q17" s="55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2">
        <v>140</v>
      </c>
      <c r="U17" s="55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2">
        <v>75</v>
      </c>
      <c r="Q18" s="55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2">
        <v>150</v>
      </c>
      <c r="U18" s="55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2">
        <v>80</v>
      </c>
      <c r="Q19" s="55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2">
        <v>160</v>
      </c>
      <c r="U19" s="55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2">
        <v>85</v>
      </c>
      <c r="Q20" s="55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2">
        <v>170</v>
      </c>
      <c r="U20" s="55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2">
        <v>90</v>
      </c>
      <c r="Q21" s="55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2">
        <v>180</v>
      </c>
      <c r="U21" s="55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2">
        <v>95</v>
      </c>
      <c r="Q22" s="55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2">
        <v>190</v>
      </c>
      <c r="U22" s="55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2">
        <v>100</v>
      </c>
      <c r="Q23" s="55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2">
        <v>200</v>
      </c>
      <c r="U23" s="55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2">
        <v>105</v>
      </c>
      <c r="Q24" s="55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2">
        <v>210</v>
      </c>
      <c r="U24" s="55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2">
        <v>110</v>
      </c>
      <c r="Q25" s="55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2">
        <v>220</v>
      </c>
      <c r="U25" s="55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2">
        <v>115</v>
      </c>
      <c r="Q26" s="55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2">
        <v>230</v>
      </c>
      <c r="U26" s="55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3">
        <v>240</v>
      </c>
      <c r="U27" s="64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2">
        <v>125</v>
      </c>
      <c r="Q28" s="55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2">
        <v>130</v>
      </c>
      <c r="Q29" s="55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2">
        <v>135</v>
      </c>
      <c r="Q30" s="55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2">
        <v>140</v>
      </c>
      <c r="Q31" s="55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2">
        <v>145</v>
      </c>
      <c r="Q32" s="55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2">
        <v>150</v>
      </c>
      <c r="Q33" s="55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2">
        <v>155</v>
      </c>
      <c r="Q34" s="55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2">
        <v>160</v>
      </c>
      <c r="Q35" s="55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2">
        <v>165</v>
      </c>
      <c r="Q36" s="55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2">
        <v>170</v>
      </c>
      <c r="Q37" s="55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2">
        <v>175</v>
      </c>
      <c r="Q38" s="55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2">
        <v>180</v>
      </c>
      <c r="Q39" s="55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2">
        <v>190</v>
      </c>
      <c r="Q41" s="55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2">
        <v>195</v>
      </c>
      <c r="Q42" s="55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2">
        <v>205</v>
      </c>
      <c r="Q44" s="55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6">
        <f>COUNTIF(Notas!F:F,B7)</f>
        <v>0</v>
      </c>
      <c r="E7" s="70">
        <f>LOG(_xlfn.NORM.DIST($B7,$E$3,SQRT($E$4),TRUE)^$C7)</f>
        <v>0</v>
      </c>
      <c r="F7" s="70">
        <f>LOG(_xlfn.NORM.DIST(B7,$G$3,SQRT($G$4),TRUE)^D7)</f>
        <v>0</v>
      </c>
      <c r="G7" s="43">
        <f>_xlfn.NORM.DIST(B7,$E$3,SQRT($E$4),TRUE)*Pelis</f>
        <v>5.7925488621560443E-3</v>
      </c>
      <c r="H7" s="51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7">
        <f>COUNTIF(Notas!F:F,B8)</f>
        <v>0</v>
      </c>
      <c r="E8" s="71">
        <f>LOG((_xlfn.NORM.DIST(B8,$E$3,SQRT($E$4),TRUE)-_xlfn.NORM.DIST(B7,$E$3,SQRT($E$4),TRUE))^C8)</f>
        <v>0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5.3035236315983354E-3</v>
      </c>
      <c r="H8" s="52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7">
        <f>COUNTIF(Notas!F:F,B9)</f>
        <v>0</v>
      </c>
      <c r="E9" s="71">
        <f t="shared" ref="E9:E26" si="2">LOG((_xlfn.NORM.DIST(B9,$E$3,SQRT($E$4),TRUE)-_xlfn.NORM.DIST(B8,$E$3,SQRT($E$4),TRUE))^C9)</f>
        <v>-0.510165965966482</v>
      </c>
      <c r="F9" s="71">
        <f t="shared" ref="F9:F26" si="3">LOG((_xlfn.NORM.DIST(B9,$G$3,SQRT($G$4),TRUE)-_xlfn.NORM.DIST(B8,$G$3,SQRT($G$4),TRUE))^$D9)</f>
        <v>0</v>
      </c>
      <c r="G9" s="44">
        <f t="shared" si="0"/>
        <v>9.1061780178500785E-3</v>
      </c>
      <c r="H9" s="52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7">
        <f>COUNTIF(Notas!F:F,B10)</f>
        <v>0</v>
      </c>
      <c r="E10" s="71">
        <f t="shared" si="2"/>
        <v>-0.91513515531428258</v>
      </c>
      <c r="F10" s="71">
        <f t="shared" si="3"/>
        <v>0</v>
      </c>
      <c r="G10" s="44">
        <f t="shared" si="0"/>
        <v>1.478188057990508E-2</v>
      </c>
      <c r="H10" s="52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7">
        <f>COUNTIF(Notas!F:F,B11)</f>
        <v>0</v>
      </c>
      <c r="E11" s="71">
        <f t="shared" si="2"/>
        <v>-0.41106363090054054</v>
      </c>
      <c r="F11" s="71">
        <f t="shared" si="3"/>
        <v>0</v>
      </c>
      <c r="G11" s="44">
        <f t="shared" si="0"/>
        <v>2.2685349595145655E-2</v>
      </c>
      <c r="H11" s="52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7">
        <f>COUNTIF(Notas!F:F,B12)</f>
        <v>0</v>
      </c>
      <c r="E12" s="71">
        <f t="shared" si="2"/>
        <v>0</v>
      </c>
      <c r="F12" s="71">
        <f t="shared" si="3"/>
        <v>0</v>
      </c>
      <c r="G12" s="44">
        <f t="shared" si="0"/>
        <v>3.2914235407240124E-2</v>
      </c>
      <c r="H12" s="52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7">
        <f>COUNTIF(Notas!F:F,B13)</f>
        <v>0</v>
      </c>
      <c r="E13" s="71">
        <f t="shared" si="2"/>
        <v>0</v>
      </c>
      <c r="F13" s="71">
        <f t="shared" si="3"/>
        <v>0</v>
      </c>
      <c r="G13" s="44">
        <f t="shared" si="0"/>
        <v>4.5148654453109976E-2</v>
      </c>
      <c r="H13" s="52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7">
        <f>COUNTIF(Notas!F:F,B14)</f>
        <v>0</v>
      </c>
      <c r="E14" s="71">
        <f t="shared" si="2"/>
        <v>0</v>
      </c>
      <c r="F14" s="71">
        <f t="shared" si="3"/>
        <v>0</v>
      </c>
      <c r="G14" s="44">
        <f t="shared" si="0"/>
        <v>5.8550256516192611E-2</v>
      </c>
      <c r="H14" s="52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7">
        <f>COUNTIF(Notas!F:F,B15)</f>
        <v>0</v>
      </c>
      <c r="E15" s="71">
        <f t="shared" si="2"/>
        <v>0</v>
      </c>
      <c r="F15" s="71">
        <f t="shared" si="3"/>
        <v>0</v>
      </c>
      <c r="G15" s="44">
        <f t="shared" si="0"/>
        <v>7.1785364468036045E-2</v>
      </c>
      <c r="H15" s="52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7">
        <f>COUNTIF(Notas!F:F,B16)</f>
        <v>0</v>
      </c>
      <c r="E16" s="71">
        <f t="shared" si="2"/>
        <v>0</v>
      </c>
      <c r="F16" s="71">
        <f t="shared" si="3"/>
        <v>0</v>
      </c>
      <c r="G16" s="44">
        <f t="shared" si="0"/>
        <v>8.320822664083477E-2</v>
      </c>
      <c r="H16" s="52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7">
        <f>COUNTIF(Notas!F:F,B17)</f>
        <v>1</v>
      </c>
      <c r="E17" s="71">
        <f t="shared" si="2"/>
        <v>0</v>
      </c>
      <c r="F17" s="71">
        <f t="shared" si="3"/>
        <v>-0.98692905260139052</v>
      </c>
      <c r="G17" s="44">
        <f t="shared" si="0"/>
        <v>9.1184278782524775E-2</v>
      </c>
      <c r="H17" s="52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7">
        <f>COUNTIF(Notas!F:F,B18)</f>
        <v>0</v>
      </c>
      <c r="E18" s="71">
        <f t="shared" si="2"/>
        <v>0</v>
      </c>
      <c r="F18" s="71">
        <f t="shared" si="3"/>
        <v>0</v>
      </c>
      <c r="G18" s="44">
        <f t="shared" si="0"/>
        <v>9.4470686747302468E-2</v>
      </c>
      <c r="H18" s="52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7">
        <f>COUNTIF(Notas!F:F,B19)</f>
        <v>0</v>
      </c>
      <c r="E19" s="71">
        <f t="shared" si="2"/>
        <v>0</v>
      </c>
      <c r="F19" s="71">
        <f t="shared" si="3"/>
        <v>0</v>
      </c>
      <c r="G19" s="44">
        <f t="shared" si="0"/>
        <v>9.2533204903991528E-2</v>
      </c>
      <c r="H19" s="52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7">
        <f>COUNTIF(Notas!F:F,B20)</f>
        <v>0</v>
      </c>
      <c r="E20" s="71">
        <f t="shared" si="2"/>
        <v>0</v>
      </c>
      <c r="F20" s="71">
        <f t="shared" si="3"/>
        <v>0</v>
      </c>
      <c r="G20" s="44">
        <f t="shared" si="0"/>
        <v>8.5688304490451506E-2</v>
      </c>
      <c r="H20" s="52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7">
        <f>COUNTIF(Notas!F:F,B21)</f>
        <v>0</v>
      </c>
      <c r="E21" s="71">
        <f t="shared" si="2"/>
        <v>0</v>
      </c>
      <c r="F21" s="71">
        <f t="shared" si="3"/>
        <v>0</v>
      </c>
      <c r="G21" s="44">
        <f t="shared" si="0"/>
        <v>7.5018583302613351E-2</v>
      </c>
      <c r="H21" s="52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7">
        <f>COUNTIF(Notas!F:F,B22)</f>
        <v>0</v>
      </c>
      <c r="E22" s="71">
        <f t="shared" si="2"/>
        <v>0</v>
      </c>
      <c r="F22" s="71">
        <f t="shared" si="3"/>
        <v>0</v>
      </c>
      <c r="G22" s="44">
        <f t="shared" si="0"/>
        <v>6.2092542712243848E-2</v>
      </c>
      <c r="H22" s="52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7">
        <f>COUNTIF(Notas!F:F,B23)</f>
        <v>0</v>
      </c>
      <c r="E23" s="71">
        <f t="shared" si="2"/>
        <v>0</v>
      </c>
      <c r="F23" s="71">
        <f t="shared" si="3"/>
        <v>0</v>
      </c>
      <c r="G23" s="44">
        <f t="shared" si="0"/>
        <v>4.8588465796543967E-2</v>
      </c>
      <c r="H23" s="52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7">
        <f>COUNTIF(Notas!F:F,B24)</f>
        <v>0</v>
      </c>
      <c r="E24" s="71">
        <f t="shared" si="2"/>
        <v>0</v>
      </c>
      <c r="F24" s="71">
        <f t="shared" si="3"/>
        <v>0</v>
      </c>
      <c r="G24" s="44">
        <f t="shared" si="0"/>
        <v>3.5945946585823285E-2</v>
      </c>
      <c r="H24" s="52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7">
        <f>COUNTIF(Notas!F:F,B25)</f>
        <v>0</v>
      </c>
      <c r="E25" s="71">
        <f t="shared" si="2"/>
        <v>0</v>
      </c>
      <c r="F25" s="71">
        <f t="shared" si="3"/>
        <v>0</v>
      </c>
      <c r="G25" s="44">
        <f t="shared" si="0"/>
        <v>2.5141400473080999E-2</v>
      </c>
      <c r="H25" s="52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8">
        <f>COUNTIF(Notas!F:F,B26)</f>
        <v>0</v>
      </c>
      <c r="E26" s="72">
        <f t="shared" si="2"/>
        <v>0</v>
      </c>
      <c r="F26" s="72">
        <f t="shared" si="3"/>
        <v>0</v>
      </c>
      <c r="G26" s="45">
        <f t="shared" si="0"/>
        <v>1.6624614389095349E-2</v>
      </c>
      <c r="H26" s="53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-0.98692905260139052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42</v>
      </c>
      <c r="B1" s="73">
        <f>AVERAGE(Visionados)</f>
        <v>26047</v>
      </c>
      <c r="D1" t="s">
        <v>48</v>
      </c>
      <c r="E1" s="73">
        <f>MAX(Visionados)</f>
        <v>26047</v>
      </c>
    </row>
    <row r="2" spans="1:5" x14ac:dyDescent="0.25">
      <c r="A2" t="s">
        <v>20</v>
      </c>
      <c r="B2" s="73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4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2020-12-10T11:24:03Z</dcterms:modified>
</cp:coreProperties>
</file>