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hidePivotFieldList="1"/>
  <xr:revisionPtr revIDLastSave="0" documentId="13_ncr:1_{31B05166-EE1C-4047-B5CB-EAE46C6AA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6" l="1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C26" i="6"/>
  <c r="C28" i="6"/>
  <c r="C22" i="6"/>
  <c r="C36" i="6"/>
  <c r="C32" i="6"/>
  <c r="C34" i="6"/>
  <c r="C24" i="6"/>
  <c r="C38" i="6"/>
  <c r="C30" i="6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R52" i="4" l="1"/>
  <c r="F14" i="6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<sst xmlns="http://schemas.openxmlformats.org/spreadsheetml/2006/main" count="87" uniqueCount="66">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</sst>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1" fontId="0" fillId="0" borderId="0" xfId="0" applyNumberFormat="1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1" xfId="0" applyNumberFormat="1" applyFill="1" applyBorder="1"/>
    <xf numFmtId="1" fontId="0" fillId="0" borderId="30" xfId="0" applyNumberFormat="1" applyFill="1" applyBorder="1"/>
    <xf numFmtId="0" fontId="0" fillId="2" borderId="30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6"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3.9903579953531261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1.7534285143346713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1.7534285143346713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1.7534285143346713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3">
  <autoFilter ref="A1:N1048576" xr:uid="{B7E8E3F6-4A56-4C38-9CDA-83612E98463A}"/>
  <tableColumns count="14">
    <tableColumn id="12" xr3:uid="{0AB4C432-387A-4CA4-B057-810DBFBD7743}" name="Id" dataDxfId="22"/>
    <tableColumn id="1" xr3:uid="{D4B468C3-7CDA-4F31-9638-09A527779C87}" name="Mia" dataDxfId="21"/>
    <tableColumn id="2" xr3:uid="{65EE12B7-2552-4910-A353-7AE48A3D7AA6}" name="FA"/>
    <tableColumn id="3" xr3:uid="{1D6E5D7A-6668-40F4-BA00-3A91CC9AC5BF}" name="Duracion" dataDxfId="20"/>
    <tableColumn id="4" xr3:uid="{E8F61A2B-CC2B-4DF4-AE8C-8C20147ABC40}" name="Visionados" dataDxfId="19"/>
    <tableColumn id="14" xr3:uid="{2E72113E-50BE-41C7-8BFD-59035950093F}" name="Varianza_FA" dataDxfId="18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7">
      <calculatedColumnFormula>IF($H2&gt;0,1,0.1)</calculatedColumnFormula>
    </tableColumn>
    <tableColumn id="9" xr3:uid="{C6FE0FC6-41FF-42DC-95D7-3BA16482D743}" name="Mia_ruido" dataDxfId="16"/>
    <tableColumn id="13" xr3:uid="{F6539847-A910-4F63-B100-298A992D7D82}" name="FA_ruido" dataDxfId="15">
      <calculatedColumnFormula>C2+(RAND()-0.5)/10</calculatedColumnFormula>
    </tableColumn>
    <tableColumn id="10" xr3:uid="{1D5E088C-37BD-4B8F-BD0A-602AB1027E68}" name="Mia_rees" dataDxfId="14"/>
    <tableColumn id="11" xr3:uid="{19C47E50-9952-473E-A08A-65D82E3962A6}" name="FA_re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2">
  <autoFilter ref="B3:F13" xr:uid="{B2653B35-92CE-4059-8AD4-DBAEE93A2DB7}"/>
  <tableColumns count="5">
    <tableColumn id="1" xr3:uid="{AF390C70-03AA-431F-A8ED-30C0DCB9DFDF}" name="Puntos" dataDxfId="11"/>
    <tableColumn id="2" xr3:uid="{598A8C01-1D1C-420B-8694-D25317E8EB25}" name="Yo" dataDxfId="10">
      <calculatedColumnFormula>COUNTIF(NotasMias,Normal_discreta[[#This Row],[Puntos]])</calculatedColumnFormula>
    </tableColumn>
    <tableColumn id="3" xr3:uid="{B4249F61-8354-492B-A8D7-1FC4AD8817B0}" name="FilmAffinity" dataDxfId="9"/>
    <tableColumn id="4" xr3:uid="{02468E76-7BC0-4435-8771-BCB059D4E47D}" name="Normal yo" dataDxfId="8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7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6" tableBorderDxfId="5">
  <autoFilter ref="B19:F39" xr:uid="{E0D9576F-E16E-4D59-8D7E-7FCBC06A5729}"/>
  <tableColumns count="5">
    <tableColumn id="1" xr3:uid="{0239E3C8-6B59-4E95-8128-0CA23E525DC8}" name="Puntos " dataDxfId="4"/>
    <tableColumn id="2" xr3:uid="{DD42BB33-62C8-4E24-BD0D-81BEC813AAE5}" name="Yo" dataDxfId="3"/>
    <tableColumn id="3" xr3:uid="{22EF7FA5-DCB7-4C87-8C5D-261E5B9E0111}" name="FilmAffinity" dataDxfId="2">
      <calculatedColumnFormula>COUNTIF(Tabla1[FA_redondeo],Normal_continua[[#This Row],[Puntos ]])</calculatedColumnFormula>
    </tableColumn>
    <tableColumn id="4" xr3:uid="{7D5AFCB4-B113-4668-BD2B-91ABFA1287DC}" name="Normal Yo" dataDxfId="1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0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G2" sqref="G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2" customWidth="1"/>
    <col min="5" max="6" width="12.140625" style="72" customWidth="1"/>
    <col min="7" max="7" width="13.5703125" customWidth="1"/>
    <col min="8" max="8" width="11.7109375" customWidth="1"/>
    <col min="9" max="9" width="9.42578125" customWidth="1"/>
    <col min="10" max="10" width="10.5703125" style="79" customWidth="1"/>
    <col min="11" max="12" width="7.42578125" style="30" customWidth="1"/>
    <col min="13" max="13" width="15.85546875" style="18" customWidth="1"/>
    <col min="14" max="14" width="14.85546875" style="77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55</v>
      </c>
      <c r="B1" t="s">
        <v>50</v>
      </c>
      <c r="C1" t="s">
        <v>51</v>
      </c>
      <c r="D1" t="s">
        <v>52</v>
      </c>
      <c r="E1" s="72" t="s">
        <v>53</v>
      </c>
      <c r="F1" s="72" t="s">
        <v>56</v>
      </c>
      <c r="G1" t="s">
        <v>57</v>
      </c>
      <c r="H1" t="s">
        <v>54</v>
      </c>
      <c r="I1" t="s">
        <v>58</v>
      </c>
      <c r="J1" s="31" t="s">
        <v>59</v>
      </c>
      <c r="K1" t="s">
        <v>60</v>
      </c>
      <c r="L1" t="s">
        <v>61</v>
      </c>
      <c r="M1" s="18" t="s">
        <v>62</v>
      </c>
      <c r="N1" s="77" t="s">
        <v>63</v>
      </c>
    </row>
    <row r="2" spans="1:31" x14ac:dyDescent="0.25">
      <c r="A2" s="19">
        <v>555555</v>
      </c>
      <c r="B2" s="19">
        <v>2</v>
      </c>
      <c r="C2">
        <v>4</v>
      </c>
      <c r="D2" s="72">
        <v>130</v>
      </c>
      <c r="E2" s="72">
        <v>26047</v>
      </c>
      <c r="F2" s="80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9">
        <f t="shared" ref="J2" si="2">IF($H2&gt;0,1,0.1)</f>
        <v>0.1</v>
      </c>
      <c r="K2" s="30">
        <f t="shared" ref="K2" ca="1" si="3">B2+RAND()-0.5</f>
        <v>1.7534285143346713</v>
      </c>
      <c r="L2" s="30">
        <f t="shared" ref="L2" ca="1" si="4">C2+(RAND()-0.5)/10</f>
        <v>3.9903579953531261</v>
      </c>
      <c r="M2" s="17">
        <f t="shared" ref="M2" si="5">(B2-1)*10/9</f>
        <v>1.1111111111111112</v>
      </c>
      <c r="N2" s="78">
        <f t="shared" ref="N2" si="6">(C2-1)*10/9</f>
        <v>3.3333333333333335</v>
      </c>
      <c r="O2" s="27"/>
      <c r="P2" s="27"/>
      <c r="Q2" s="27"/>
      <c r="R2" s="27"/>
      <c r="V2" s="54"/>
      <c r="W2" s="54"/>
    </row>
    <row r="3" spans="1:31" x14ac:dyDescent="0.25">
      <c r="O3" s="29"/>
      <c r="P3" s="29"/>
      <c r="Q3" s="29"/>
      <c r="R3" s="27"/>
      <c r="V3" s="54"/>
      <c r="W3" s="54"/>
    </row>
    <row r="4" spans="1:31" x14ac:dyDescent="0.25">
      <c r="O4" s="29"/>
      <c r="P4" s="29"/>
      <c r="Q4" s="29"/>
      <c r="R4" s="27"/>
      <c r="V4" s="55"/>
      <c r="W4" s="55"/>
    </row>
    <row r="5" spans="1:31" x14ac:dyDescent="0.25">
      <c r="O5" s="27"/>
      <c r="P5" s="27"/>
      <c r="Q5" s="27"/>
      <c r="R5" s="27"/>
      <c r="V5" s="55"/>
      <c r="W5" s="55"/>
      <c r="AE5" s="1"/>
    </row>
    <row r="6" spans="1:31" x14ac:dyDescent="0.25">
      <c r="O6" s="27"/>
      <c r="P6" s="27"/>
      <c r="Q6" s="27"/>
      <c r="R6" s="27"/>
      <c r="V6" s="55"/>
      <c r="W6" s="55"/>
    </row>
    <row r="7" spans="1:31" x14ac:dyDescent="0.25">
      <c r="O7" s="27"/>
      <c r="P7" s="27"/>
      <c r="Q7" s="27"/>
      <c r="R7" s="27"/>
      <c r="V7" s="55"/>
      <c r="W7" s="55"/>
    </row>
    <row r="8" spans="1:31" x14ac:dyDescent="0.25">
      <c r="O8" s="27"/>
      <c r="P8" s="27"/>
      <c r="Q8" s="27"/>
      <c r="R8" s="27"/>
      <c r="V8" s="55"/>
      <c r="W8" s="55"/>
    </row>
    <row r="9" spans="1:31" x14ac:dyDescent="0.25">
      <c r="O9" s="27"/>
      <c r="P9" s="27"/>
      <c r="Q9" s="27"/>
      <c r="R9" s="27"/>
      <c r="V9" s="55"/>
      <c r="W9" s="55"/>
    </row>
    <row r="10" spans="1:31" x14ac:dyDescent="0.25">
      <c r="O10" s="27"/>
      <c r="P10" s="27"/>
      <c r="Q10" s="27"/>
      <c r="R10" s="27"/>
      <c r="V10" s="55"/>
      <c r="W10" s="55"/>
    </row>
    <row r="11" spans="1:31" x14ac:dyDescent="0.25">
      <c r="O11" s="27"/>
      <c r="P11" s="27"/>
      <c r="Q11" s="27"/>
      <c r="R11" s="27"/>
      <c r="V11" s="55"/>
      <c r="W11" s="55"/>
    </row>
    <row r="12" spans="1:31" x14ac:dyDescent="0.25">
      <c r="O12" s="27"/>
      <c r="P12" s="27"/>
      <c r="Q12" s="27"/>
      <c r="R12" s="27"/>
      <c r="V12" s="55"/>
      <c r="W12" s="55"/>
    </row>
    <row r="13" spans="1:31" x14ac:dyDescent="0.25">
      <c r="O13" s="27"/>
      <c r="P13" s="27"/>
      <c r="Q13" s="27"/>
      <c r="R13" s="27"/>
      <c r="V13" s="55"/>
      <c r="W13" s="55"/>
    </row>
    <row r="14" spans="1:31" x14ac:dyDescent="0.25">
      <c r="O14" s="27"/>
      <c r="P14" s="27"/>
      <c r="Q14" s="27"/>
      <c r="R14" s="27"/>
      <c r="V14" s="55"/>
      <c r="W14" s="55"/>
    </row>
    <row r="15" spans="1:31" x14ac:dyDescent="0.25">
      <c r="O15" s="27"/>
      <c r="P15" s="27"/>
      <c r="Q15" s="27"/>
      <c r="R15" s="27"/>
      <c r="V15" s="55"/>
      <c r="W15" s="55"/>
    </row>
    <row r="16" spans="1:31" x14ac:dyDescent="0.25">
      <c r="O16" s="27"/>
      <c r="P16" s="27"/>
      <c r="Q16" s="27"/>
      <c r="R16" s="27"/>
      <c r="V16" s="55"/>
      <c r="W16" s="55"/>
    </row>
    <row r="17" spans="22:23" x14ac:dyDescent="0.25">
      <c r="V17" s="55"/>
      <c r="W17" s="55"/>
    </row>
    <row r="18" spans="22:23" x14ac:dyDescent="0.25">
      <c r="V18" s="55"/>
      <c r="W18" s="55"/>
    </row>
    <row r="19" spans="22:23" x14ac:dyDescent="0.25">
      <c r="V19" s="55"/>
      <c r="W19" s="55"/>
    </row>
    <row r="20" spans="22:23" x14ac:dyDescent="0.25">
      <c r="V20" s="55"/>
      <c r="W20" s="55"/>
    </row>
    <row r="21" spans="22:23" x14ac:dyDescent="0.25">
      <c r="V21" s="55"/>
      <c r="W21" s="55"/>
    </row>
    <row r="22" spans="22:23" x14ac:dyDescent="0.25">
      <c r="V22" s="55"/>
      <c r="W22" s="55"/>
    </row>
    <row r="23" spans="22:23" x14ac:dyDescent="0.25">
      <c r="V23" s="55"/>
      <c r="W23" s="55"/>
    </row>
    <row r="24" spans="22:23" x14ac:dyDescent="0.25">
      <c r="V24" s="55"/>
      <c r="W24" s="55"/>
    </row>
    <row r="25" spans="22:23" x14ac:dyDescent="0.25">
      <c r="V25" s="55"/>
      <c r="W25" s="55"/>
    </row>
    <row r="26" spans="22:23" x14ac:dyDescent="0.25">
      <c r="V26" s="55"/>
      <c r="W26" s="55"/>
    </row>
    <row r="27" spans="22:23" x14ac:dyDescent="0.25">
      <c r="V27" s="55"/>
      <c r="W27" s="55"/>
    </row>
    <row r="28" spans="22:23" x14ac:dyDescent="0.25">
      <c r="V28" s="55"/>
      <c r="W28" s="55"/>
    </row>
    <row r="29" spans="22:23" x14ac:dyDescent="0.25">
      <c r="V29" s="55"/>
      <c r="W29" s="55"/>
    </row>
    <row r="30" spans="22:23" x14ac:dyDescent="0.25">
      <c r="V30" s="55"/>
      <c r="W30" s="55"/>
    </row>
    <row r="31" spans="22:23" x14ac:dyDescent="0.25">
      <c r="V31" s="55"/>
      <c r="W31" s="55"/>
    </row>
    <row r="32" spans="22:23" x14ac:dyDescent="0.25">
      <c r="V32" s="55"/>
      <c r="W32" s="55"/>
    </row>
    <row r="33" spans="22:23" x14ac:dyDescent="0.25">
      <c r="V33" s="55"/>
      <c r="W33" s="55"/>
    </row>
    <row r="34" spans="22:23" x14ac:dyDescent="0.25">
      <c r="V34" s="55"/>
      <c r="W34" s="55"/>
    </row>
    <row r="35" spans="22:23" x14ac:dyDescent="0.25">
      <c r="V35" s="55"/>
      <c r="W35" s="55"/>
    </row>
    <row r="36" spans="22:23" x14ac:dyDescent="0.25">
      <c r="V36" s="55"/>
      <c r="W36" s="55"/>
    </row>
    <row r="37" spans="22:23" x14ac:dyDescent="0.25">
      <c r="V37" s="55"/>
      <c r="W37" s="55"/>
    </row>
    <row r="38" spans="22:23" x14ac:dyDescent="0.25">
      <c r="V38" s="55"/>
      <c r="W38" s="55"/>
    </row>
    <row r="39" spans="22:23" x14ac:dyDescent="0.25">
      <c r="V39" s="55"/>
      <c r="W39" s="55"/>
    </row>
    <row r="40" spans="22:23" x14ac:dyDescent="0.25">
      <c r="V40" s="55"/>
      <c r="W40" s="55"/>
    </row>
    <row r="41" spans="22:23" x14ac:dyDescent="0.25">
      <c r="V41" s="55"/>
      <c r="W41" s="55"/>
    </row>
    <row r="42" spans="22:23" x14ac:dyDescent="0.25">
      <c r="V42" s="55"/>
      <c r="W42" s="55"/>
    </row>
    <row r="43" spans="22:23" x14ac:dyDescent="0.25">
      <c r="V43" s="54"/>
      <c r="W43" s="54"/>
    </row>
    <row r="44" spans="22:23" x14ac:dyDescent="0.25">
      <c r="V44" s="54"/>
      <c r="W44" s="54"/>
    </row>
    <row r="45" spans="22:23" x14ac:dyDescent="0.25">
      <c r="V45" s="54"/>
      <c r="W45" s="54"/>
    </row>
    <row r="46" spans="22:23" x14ac:dyDescent="0.25">
      <c r="V46" s="54"/>
      <c r="W46" s="54"/>
    </row>
    <row r="47" spans="22:23" x14ac:dyDescent="0.25">
      <c r="V47" s="54"/>
      <c r="W47" s="54"/>
    </row>
    <row r="48" spans="22:23" x14ac:dyDescent="0.25">
      <c r="V48" s="54"/>
      <c r="W48" s="54"/>
    </row>
    <row r="49" spans="22:23" x14ac:dyDescent="0.25">
      <c r="V49" s="54"/>
      <c r="W49" s="54"/>
    </row>
    <row r="164" ht="15.75" customHeight="1" x14ac:dyDescent="0.25"/>
    <row r="165" ht="15.75" customHeight="1" x14ac:dyDescent="0.25"/>
  </sheetData>
  <conditionalFormatting sqref="J1:J1048576">
    <cfRule type="cellIs" dxfId="25" priority="4" operator="equal">
      <formula>0.1</formula>
    </cfRule>
    <cfRule type="cellIs" dxfId="24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G17" sqref="G17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7"/>
    </row>
    <row r="2" spans="1:14" x14ac:dyDescent="0.25">
      <c r="A2" t="s">
        <v>64</v>
      </c>
      <c r="B2">
        <f>COUNT(Tabla1[FA])</f>
        <v>1</v>
      </c>
      <c r="G2" s="27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8" t="s">
        <v>17</v>
      </c>
      <c r="F3" s="8">
        <f>_xlfn.VAR.P(Tabla1[FA])</f>
        <v>0</v>
      </c>
      <c r="G3" s="28" t="s">
        <v>20</v>
      </c>
      <c r="H3" s="7">
        <f>MEDIAN(Tabla1[FA])</f>
        <v>4</v>
      </c>
      <c r="I3" s="29" t="s">
        <v>22</v>
      </c>
      <c r="J3" s="7" t="e">
        <f>SKEW(Tabla1[FA])</f>
        <v>#DIV/0!</v>
      </c>
      <c r="K3" t="s">
        <v>25</v>
      </c>
      <c r="L3" s="57">
        <f>MAX(Tabla1[FA])</f>
        <v>4</v>
      </c>
      <c r="M3" t="s">
        <v>26</v>
      </c>
      <c r="N3" s="57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8" t="s">
        <v>17</v>
      </c>
      <c r="F4" s="6">
        <f>_xlfn.VAR.P(NotasMias)</f>
        <v>0</v>
      </c>
      <c r="G4" s="28" t="s">
        <v>20</v>
      </c>
      <c r="H4" s="5">
        <f>MEDIAN(NotasMias)</f>
        <v>2</v>
      </c>
      <c r="I4" s="29" t="s">
        <v>22</v>
      </c>
      <c r="J4" s="5" t="e">
        <f>SKEW(NotasMias)</f>
        <v>#DIV/0!</v>
      </c>
      <c r="K4" t="s">
        <v>25</v>
      </c>
      <c r="L4" s="58">
        <f>MAX(NotasMias)</f>
        <v>2</v>
      </c>
      <c r="M4" t="s">
        <v>26</v>
      </c>
      <c r="N4" s="58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7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9"/>
      <c r="F6" s="1"/>
      <c r="G6" s="29"/>
    </row>
    <row r="8" spans="1:14" x14ac:dyDescent="0.25">
      <c r="A8" t="s">
        <v>4</v>
      </c>
      <c r="B8">
        <f>MAX(Tabla1[Diferencia_abs])</f>
        <v>2</v>
      </c>
      <c r="C8" t="s">
        <v>23</v>
      </c>
      <c r="D8" s="32" t="e">
        <f>CORREL(Notas!B:B,Notas!C:C)</f>
        <v>#DIV/0!</v>
      </c>
      <c r="E8" s="53"/>
      <c r="F8" s="32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7"/>
      <c r="G14" s="27"/>
    </row>
    <row r="15" spans="1:14" x14ac:dyDescent="0.25">
      <c r="A15" s="12" t="s">
        <v>13</v>
      </c>
      <c r="F15" s="27" t="s">
        <v>45</v>
      </c>
      <c r="G15" s="76">
        <v>7.8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5"/>
      <c r="F16" s="65" t="s">
        <v>46</v>
      </c>
      <c r="G16" s="74">
        <f>COUNTIF(NotasFA,"&lt;="&amp;G15)/Pelis_con_nota</f>
        <v>1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5"/>
      <c r="F17" s="65" t="s">
        <v>47</v>
      </c>
      <c r="G17" s="75">
        <f>COUNTIF(NotasMias,"&lt;="&amp;G15)/Pelis</f>
        <v>1</v>
      </c>
    </row>
    <row r="18" spans="1:7" x14ac:dyDescent="0.25">
      <c r="F18" s="27"/>
      <c r="G18" s="27"/>
    </row>
    <row r="19" spans="1:7" x14ac:dyDescent="0.25">
      <c r="F19" s="27"/>
      <c r="G19" s="27"/>
    </row>
    <row r="20" spans="1:7" x14ac:dyDescent="0.25">
      <c r="F20" s="27"/>
      <c r="G20" s="27"/>
    </row>
    <row r="21" spans="1:7" x14ac:dyDescent="0.25">
      <c r="F21" s="27"/>
      <c r="G21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19" workbookViewId="0">
      <selection activeCell="D26" sqref="D26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5" t="s">
        <v>65</v>
      </c>
      <c r="C3" s="86" t="s">
        <v>9</v>
      </c>
      <c r="D3" s="87" t="s">
        <v>12</v>
      </c>
      <c r="E3" s="88" t="s">
        <v>18</v>
      </c>
      <c r="F3" s="89" t="s">
        <v>19</v>
      </c>
    </row>
    <row r="4" spans="2:6" x14ac:dyDescent="0.25">
      <c r="B4" s="81">
        <v>1</v>
      </c>
      <c r="C4" s="21">
        <f>COUNTIF(NotasMias,Normal_discreta[[#This Row],[Puntos]])</f>
        <v>0</v>
      </c>
      <c r="D4" s="25">
        <f>COUNTIF(NotasFA,"&lt;=([@[Puntos]]+0,5)")</f>
        <v>0</v>
      </c>
      <c r="E4" s="42" t="e">
        <f>_xlfn.NORM.DIST(Normal_discreta[[#This Row],[Puntos]],MediaMia,SQRT(VarMia),TRUE)*Pelis</f>
        <v>#NUM!</v>
      </c>
      <c r="F4" s="66" t="e">
        <f>_xlfn.NORM.DIST(Normal_discreta[[#This Row],[Puntos]],MediaFA,SQRT(VarFA),TRUE)*Pelis_con_nota</f>
        <v>#NUM!</v>
      </c>
    </row>
    <row r="5" spans="2:6" x14ac:dyDescent="0.25">
      <c r="B5" s="82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3" t="e">
        <f ca="1">(_xlfn.NORM.DIST(Normal_discreta[[#This Row],[Puntos]],MediaMia,SQRT(VarMia),TRUE)-_xlfn.NORM.DIST(OFFSET(Normal_discreta[[#This Row],[Puntos]],-1,0),MediaMia,SQRT(VarMia),TRUE))*Pelis</f>
        <v>#NUM!</v>
      </c>
      <c r="F5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82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3" t="e">
        <f ca="1">(_xlfn.NORM.DIST(Normal_discreta[[#This Row],[Puntos]],MediaMia,SQRT(VarMia),TRUE)-_xlfn.NORM.DIST(OFFSET(Normal_discreta[[#This Row],[Puntos]],-1,0),MediaMia,SQRT(VarMia),TRUE))*Pelis</f>
        <v>#NUM!</v>
      </c>
      <c r="F6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82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3" t="e">
        <f ca="1">(_xlfn.NORM.DIST(Normal_discreta[[#This Row],[Puntos]],MediaMia,SQRT(VarMia),TRUE)-_xlfn.NORM.DIST(OFFSET(Normal_discreta[[#This Row],[Puntos]],-1,0),MediaMia,SQRT(VarMia),TRUE))*Pelis</f>
        <v>#NUM!</v>
      </c>
      <c r="F7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82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3" t="e">
        <f ca="1">(_xlfn.NORM.DIST(Normal_discreta[[#This Row],[Puntos]],MediaMia,SQRT(VarMia),TRUE)-_xlfn.NORM.DIST(OFFSET(Normal_discreta[[#This Row],[Puntos]],-1,0),MediaMia,SQRT(VarMia),TRUE))*Pelis</f>
        <v>#NUM!</v>
      </c>
      <c r="F8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82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3" t="e">
        <f ca="1">(_xlfn.NORM.DIST(Normal_discreta[[#This Row],[Puntos]],MediaMia,SQRT(VarMia),TRUE)-_xlfn.NORM.DIST(OFFSET(Normal_discreta[[#This Row],[Puntos]],-1,0),MediaMia,SQRT(VarMia),TRUE))*Pelis</f>
        <v>#NUM!</v>
      </c>
      <c r="F9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82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3" t="e">
        <f ca="1">(_xlfn.NORM.DIST(Normal_discreta[[#This Row],[Puntos]],MediaMia,SQRT(VarMia),TRUE)-_xlfn.NORM.DIST(OFFSET(Normal_discreta[[#This Row],[Puntos]],-1,0),MediaMia,SQRT(VarMia),TRUE))*Pelis</f>
        <v>#NUM!</v>
      </c>
      <c r="F10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82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3" t="e">
        <f ca="1">(_xlfn.NORM.DIST(Normal_discreta[[#This Row],[Puntos]],MediaMia,SQRT(VarMia),TRUE)-_xlfn.NORM.DIST(OFFSET(Normal_discreta[[#This Row],[Puntos]],-1,0),MediaMia,SQRT(VarMia),TRUE))*Pelis</f>
        <v>#NUM!</v>
      </c>
      <c r="F11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82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3" t="e">
        <f ca="1">(_xlfn.NORM.DIST(Normal_discreta[[#This Row],[Puntos]],MediaMia,SQRT(VarMia),TRUE)-_xlfn.NORM.DIST(OFFSET(Normal_discreta[[#This Row],[Puntos]],-1,0),MediaMia,SQRT(VarMia),TRUE))*Pelis</f>
        <v>#NUM!</v>
      </c>
      <c r="F12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83">
        <v>10</v>
      </c>
      <c r="C13" s="24">
        <f>COUNTIF(NotasMias,Normal_discreta[[#This Row],[Puntos]])</f>
        <v>0</v>
      </c>
      <c r="D13" s="26">
        <f ca="1">COUNTIF(NotasFA,"&gt;"&amp;OFFSET(Normal_discreta[[#This Row],[Puntos]],-1,0)+0.5)</f>
        <v>0</v>
      </c>
      <c r="E13" s="43" t="e">
        <f ca="1">(_xlfn.NORM.DIST(Normal_discreta[[#This Row],[Puntos]],MediaMia,SQRT(VarMia),TRUE)-_xlfn.NORM.DIST(OFFSET(Normal_discreta[[#This Row],[Puntos]],-1,0),MediaMia,SQRT(VarMia),TRUE))*Pelis</f>
        <v>#NUM!</v>
      </c>
      <c r="F13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6" t="e">
        <f>SUM(E4:E13)</f>
        <v>#NUM!</v>
      </c>
      <c r="F14" s="66" t="e">
        <f>SUM(F4:F13)</f>
        <v>#NUM!</v>
      </c>
    </row>
    <row r="19" spans="2:19" ht="15.75" thickBot="1" x14ac:dyDescent="0.3">
      <c r="B19" s="85" t="s">
        <v>7</v>
      </c>
      <c r="C19" s="86" t="s">
        <v>9</v>
      </c>
      <c r="D19" s="92" t="s">
        <v>12</v>
      </c>
      <c r="E19" s="93" t="s">
        <v>24</v>
      </c>
      <c r="F19" s="92" t="s">
        <v>19</v>
      </c>
    </row>
    <row r="20" spans="2:19" x14ac:dyDescent="0.25">
      <c r="B20" s="81">
        <v>0.5</v>
      </c>
      <c r="C20" s="35">
        <f>C21/2</f>
        <v>0</v>
      </c>
      <c r="D20" s="45">
        <f>COUNTIF(Tabla1[FA_redondeo],Normal_continua[[#This Row],[Puntos ]])</f>
        <v>0</v>
      </c>
      <c r="E20" s="42" t="e">
        <f>(_xlfn.NORM.DIST(Normal_continua[[#This Row],[Puntos ]],MediaMia,SQRT(VarMia),TRUE))*Pelis</f>
        <v>#NUM!</v>
      </c>
      <c r="F20" s="90" t="e">
        <f>_xlfn.NORM.DIST(Normal_continua[[#This Row],[Puntos ]],MediaFA,SQRT(VarFA),TRUE)*Pelis_con_nota</f>
        <v>#NUM!</v>
      </c>
      <c r="R20" t="s">
        <v>30</v>
      </c>
      <c r="S20" s="32" t="e" cm="1">
        <f t="array" aca="1" ref="S20" ca="1">_xlfn.CHISQ.DIST(SUM((C22:C39-E22:E39)^2/E22:E39),18,TRUE)</f>
        <v>#NUM!</v>
      </c>
    </row>
    <row r="21" spans="2:19" x14ac:dyDescent="0.25">
      <c r="B21" s="82">
        <v>1</v>
      </c>
      <c r="C21" s="36">
        <f>COUNTIF(NotasMias,Normal_continua[[#This Row],[Puntos ]])/2</f>
        <v>0</v>
      </c>
      <c r="D21" s="46">
        <f>COUNTIF(Tabla1[FA_redondeo],Normal_continua[[#This Row],[Puntos ]])</f>
        <v>0</v>
      </c>
      <c r="E21" s="43" t="e">
        <f ca="1">(_xlfn.NORM.DIST(Normal_continua[[#This Row],[Puntos ]],MediaMia,SQRT(VarMia),TRUE)-_xlfn.NORM.DIST(OFFSET(Normal_continua[[#This Row],[Puntos ]],-1,0),MediaMia,SQRT(VarMia),TRUE))*Pelis</f>
        <v>#NUM!</v>
      </c>
      <c r="F21" s="91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31</v>
      </c>
      <c r="S21" s="32" t="e" cm="1">
        <f t="array" aca="1" ref="S21" ca="1">_xlfn.CHISQ.DIST(SUM((D25:D39-F25:F39)^2/F25:F39),18,TRUE)</f>
        <v>#NUM!</v>
      </c>
    </row>
    <row r="22" spans="2:19" x14ac:dyDescent="0.25">
      <c r="B22" s="82">
        <v>1.5</v>
      </c>
      <c r="C22" s="36">
        <f ca="1">AVERAGE(INDIRECT(ADDRESS(ROW()-1,COLUMN())),INDIRECT(ADDRESS(ROW()+1,COLUMN())))</f>
        <v>0.25</v>
      </c>
      <c r="D22" s="46">
        <f>COUNTIF(Tabla1[FA_redondeo],Normal_continua[[#This Row],[Puntos ]])</f>
        <v>0</v>
      </c>
      <c r="E22" s="43" t="e">
        <f ca="1">(_xlfn.NORM.DIST(Normal_continua[[#This Row],[Puntos ]],MediaMia,SQRT(VarMia),TRUE)-_xlfn.NORM.DIST(OFFSET(Normal_continua[[#This Row],[Puntos ]],-1,0),MediaMia,SQRT(VarMia),TRUE))*Pelis</f>
        <v>#NUM!</v>
      </c>
      <c r="F22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82">
        <v>2</v>
      </c>
      <c r="C23" s="36">
        <f>COUNTIF(NotasMias,Normal_continua[[#This Row],[Puntos ]])/2</f>
        <v>0.5</v>
      </c>
      <c r="D23" s="46">
        <f>COUNTIF(Tabla1[FA_redondeo],Normal_continua[[#This Row],[Puntos ]])</f>
        <v>0</v>
      </c>
      <c r="E23" s="43" t="e">
        <f ca="1">(_xlfn.NORM.DIST(Normal_continua[[#This Row],[Puntos ]],MediaMia,SQRT(VarMia),TRUE)-_xlfn.NORM.DIST(OFFSET(Normal_continua[[#This Row],[Puntos ]],-1,0),MediaMia,SQRT(VarMia),TRUE))*Pelis</f>
        <v>#NUM!</v>
      </c>
      <c r="F23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82">
        <v>2.5</v>
      </c>
      <c r="C24" s="36">
        <f ca="1">AVERAGE(INDIRECT(ADDRESS(ROW()-1,COLUMN())),INDIRECT(ADDRESS(ROW()+1,COLUMN())))</f>
        <v>0.25</v>
      </c>
      <c r="D24" s="46">
        <f>COUNTIF(Tabla1[FA_redondeo],Normal_continua[[#This Row],[Puntos ]])</f>
        <v>0</v>
      </c>
      <c r="E24" s="43" t="e">
        <f ca="1">(_xlfn.NORM.DIST(Normal_continua[[#This Row],[Puntos ]],MediaMia,SQRT(VarMia),TRUE)-_xlfn.NORM.DIST(OFFSET(Normal_continua[[#This Row],[Puntos ]],-1,0),MediaMia,SQRT(VarMia),TRUE))*Pelis</f>
        <v>#NUM!</v>
      </c>
      <c r="F24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82">
        <v>3</v>
      </c>
      <c r="C25" s="36">
        <f>COUNTIF(NotasMias,Normal_continua[[#This Row],[Puntos ]])/2</f>
        <v>0</v>
      </c>
      <c r="D25" s="46">
        <f>COUNTIF(Tabla1[FA_redondeo],Normal_continua[[#This Row],[Puntos ]])</f>
        <v>0</v>
      </c>
      <c r="E25" s="43" t="e">
        <f ca="1">(_xlfn.NORM.DIST(Normal_continua[[#This Row],[Puntos ]],MediaMia,SQRT(VarMia),TRUE)-_xlfn.NORM.DIST(OFFSET(Normal_continua[[#This Row],[Puntos ]],-1,0),MediaMia,SQRT(VarMia),TRUE))*Pelis</f>
        <v>#NUM!</v>
      </c>
      <c r="F25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82">
        <v>3.5</v>
      </c>
      <c r="C26" s="36">
        <f ca="1">AVERAGE(INDIRECT(ADDRESS(ROW()-1,COLUMN())),INDIRECT(ADDRESS(ROW()+1,COLUMN())))</f>
        <v>0</v>
      </c>
      <c r="D26" s="46">
        <f>COUNTIF(Tabla1[FA_redondeo],Normal_continua[[#This Row],[Puntos ]])</f>
        <v>0</v>
      </c>
      <c r="E26" s="43" t="e">
        <f ca="1">(_xlfn.NORM.DIST(Normal_continua[[#This Row],[Puntos ]],MediaMia,SQRT(VarMia),TRUE)-_xlfn.NORM.DIST(OFFSET(Normal_continua[[#This Row],[Puntos ]],-1,0),MediaMia,SQRT(VarMia),TRUE))*Pelis</f>
        <v>#NUM!</v>
      </c>
      <c r="F26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82">
        <v>4</v>
      </c>
      <c r="C27" s="36">
        <f>COUNTIF(NotasMias,Normal_continua[[#This Row],[Puntos ]])/2</f>
        <v>0</v>
      </c>
      <c r="D27" s="46">
        <f>COUNTIF(Tabla1[FA_redondeo],Normal_continua[[#This Row],[Puntos ]])</f>
        <v>1</v>
      </c>
      <c r="E27" s="43" t="e">
        <f ca="1">(_xlfn.NORM.DIST(Normal_continua[[#This Row],[Puntos ]],MediaMia,SQRT(VarMia),TRUE)-_xlfn.NORM.DIST(OFFSET(Normal_continua[[#This Row],[Puntos ]],-1,0),MediaMia,SQRT(VarMia),TRUE))*Pelis</f>
        <v>#NUM!</v>
      </c>
      <c r="F27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82">
        <v>4.5</v>
      </c>
      <c r="C28" s="36">
        <f ca="1">AVERAGE(INDIRECT(ADDRESS(ROW()-1,COLUMN())),INDIRECT(ADDRESS(ROW()+1,COLUMN())))</f>
        <v>0</v>
      </c>
      <c r="D28" s="46">
        <f>COUNTIF(Tabla1[FA_redondeo],Normal_continua[[#This Row],[Puntos ]])</f>
        <v>0</v>
      </c>
      <c r="E28" s="43" t="e">
        <f ca="1">(_xlfn.NORM.DIST(Normal_continua[[#This Row],[Puntos ]],MediaMia,SQRT(VarMia),TRUE)-_xlfn.NORM.DIST(OFFSET(Normal_continua[[#This Row],[Puntos ]],-1,0),MediaMia,SQRT(VarMia),TRUE))*Pelis</f>
        <v>#NUM!</v>
      </c>
      <c r="F28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82">
        <v>5</v>
      </c>
      <c r="C29" s="36">
        <f>COUNTIF(NotasMias,Normal_continua[[#This Row],[Puntos ]])/2</f>
        <v>0</v>
      </c>
      <c r="D29" s="46">
        <f>COUNTIF(Tabla1[FA_redondeo],Normal_continua[[#This Row],[Puntos ]])</f>
        <v>0</v>
      </c>
      <c r="E29" s="43" t="e">
        <f ca="1">(_xlfn.NORM.DIST(Normal_continua[[#This Row],[Puntos ]],MediaMia,SQRT(VarMia),TRUE)-_xlfn.NORM.DIST(OFFSET(Normal_continua[[#This Row],[Puntos ]],-1,0),MediaMia,SQRT(VarMia),TRUE))*Pelis</f>
        <v>#NUM!</v>
      </c>
      <c r="F29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82">
        <v>5.5</v>
      </c>
      <c r="C30" s="36">
        <f ca="1">AVERAGE(INDIRECT(ADDRESS(ROW()-1,COLUMN())),INDIRECT(ADDRESS(ROW()+1,COLUMN())))</f>
        <v>0</v>
      </c>
      <c r="D30" s="46">
        <f>COUNTIF(Tabla1[FA_redondeo],Normal_continua[[#This Row],[Puntos ]])</f>
        <v>0</v>
      </c>
      <c r="E30" s="43" t="e">
        <f ca="1">(_xlfn.NORM.DIST(Normal_continua[[#This Row],[Puntos ]],MediaMia,SQRT(VarMia),TRUE)-_xlfn.NORM.DIST(OFFSET(Normal_continua[[#This Row],[Puntos ]],-1,0),MediaMia,SQRT(VarMia),TRUE))*Pelis</f>
        <v>#NUM!</v>
      </c>
      <c r="F30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82">
        <v>6</v>
      </c>
      <c r="C31" s="36">
        <f>COUNTIF(NotasMias,Normal_continua[[#This Row],[Puntos ]])/2</f>
        <v>0</v>
      </c>
      <c r="D31" s="46">
        <f>COUNTIF(Tabla1[FA_redondeo],Normal_continua[[#This Row],[Puntos ]])</f>
        <v>0</v>
      </c>
      <c r="E31" s="43" t="e">
        <f ca="1">(_xlfn.NORM.DIST(Normal_continua[[#This Row],[Puntos ]],MediaMia,SQRT(VarMia),TRUE)-_xlfn.NORM.DIST(OFFSET(Normal_continua[[#This Row],[Puntos ]],-1,0),MediaMia,SQRT(VarMia),TRUE))*Pelis</f>
        <v>#NUM!</v>
      </c>
      <c r="F31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82">
        <v>6.5</v>
      </c>
      <c r="C32" s="36">
        <f ca="1">AVERAGE(INDIRECT(ADDRESS(ROW()-1,COLUMN())),INDIRECT(ADDRESS(ROW()+1,COLUMN())))</f>
        <v>0</v>
      </c>
      <c r="D32" s="46">
        <f>COUNTIF(Tabla1[FA_redondeo],Normal_continua[[#This Row],[Puntos ]])</f>
        <v>0</v>
      </c>
      <c r="E32" s="43" t="e">
        <f ca="1">(_xlfn.NORM.DIST(Normal_continua[[#This Row],[Puntos ]],MediaMia,SQRT(VarMia),TRUE)-_xlfn.NORM.DIST(OFFSET(Normal_continua[[#This Row],[Puntos ]],-1,0),MediaMia,SQRT(VarMia),TRUE))*Pelis</f>
        <v>#NUM!</v>
      </c>
      <c r="F32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82">
        <v>7</v>
      </c>
      <c r="C33" s="36">
        <f>COUNTIF(NotasMias,Normal_continua[[#This Row],[Puntos ]])/2</f>
        <v>0</v>
      </c>
      <c r="D33" s="46">
        <f>COUNTIF(Tabla1[FA_redondeo],Normal_continua[[#This Row],[Puntos ]])</f>
        <v>0</v>
      </c>
      <c r="E33" s="43" t="e">
        <f ca="1">(_xlfn.NORM.DIST(Normal_continua[[#This Row],[Puntos ]],MediaMia,SQRT(VarMia),TRUE)-_xlfn.NORM.DIST(OFFSET(Normal_continua[[#This Row],[Puntos ]],-1,0),MediaMia,SQRT(VarMia),TRUE))*Pelis</f>
        <v>#NUM!</v>
      </c>
      <c r="F33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82">
        <v>7.5</v>
      </c>
      <c r="C34" s="36">
        <f ca="1">AVERAGE(INDIRECT(ADDRESS(ROW()-1,COLUMN())),INDIRECT(ADDRESS(ROW()+1,COLUMN())))</f>
        <v>0</v>
      </c>
      <c r="D34" s="46">
        <f>COUNTIF(Tabla1[FA_redondeo],Normal_continua[[#This Row],[Puntos ]])</f>
        <v>0</v>
      </c>
      <c r="E34" s="43" t="e">
        <f ca="1">(_xlfn.NORM.DIST(Normal_continua[[#This Row],[Puntos ]],MediaMia,SQRT(VarMia),TRUE)-_xlfn.NORM.DIST(OFFSET(Normal_continua[[#This Row],[Puntos ]],-1,0),MediaMia,SQRT(VarMia),TRUE))*Pelis</f>
        <v>#NUM!</v>
      </c>
      <c r="F34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82">
        <v>8</v>
      </c>
      <c r="C35" s="36">
        <f>COUNTIF(NotasMias,Normal_continua[[#This Row],[Puntos ]])/2</f>
        <v>0</v>
      </c>
      <c r="D35" s="46">
        <f>COUNTIF(Tabla1[FA_redondeo],Normal_continua[[#This Row],[Puntos ]])</f>
        <v>0</v>
      </c>
      <c r="E35" s="43" t="e">
        <f ca="1">(_xlfn.NORM.DIST(Normal_continua[[#This Row],[Puntos ]],MediaMia,SQRT(VarMia),TRUE)-_xlfn.NORM.DIST(OFFSET(Normal_continua[[#This Row],[Puntos ]],-1,0),MediaMia,SQRT(VarMia),TRUE))*Pelis</f>
        <v>#NUM!</v>
      </c>
      <c r="F35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82">
        <v>8.5</v>
      </c>
      <c r="C36" s="36">
        <f ca="1">AVERAGE(INDIRECT(ADDRESS(ROW()-1,COLUMN())),INDIRECT(ADDRESS(ROW()+1,COLUMN())))</f>
        <v>0</v>
      </c>
      <c r="D36" s="46">
        <f>COUNTIF(Tabla1[FA_redondeo],Normal_continua[[#This Row],[Puntos ]])</f>
        <v>0</v>
      </c>
      <c r="E36" s="43" t="e">
        <f ca="1">(_xlfn.NORM.DIST(Normal_continua[[#This Row],[Puntos ]],MediaMia,SQRT(VarMia),TRUE)-_xlfn.NORM.DIST(OFFSET(Normal_continua[[#This Row],[Puntos ]],-1,0),MediaMia,SQRT(VarMia),TRUE))*Pelis</f>
        <v>#NUM!</v>
      </c>
      <c r="F36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82">
        <v>9</v>
      </c>
      <c r="C37" s="36">
        <f>COUNTIF(NotasMias,Normal_continua[[#This Row],[Puntos ]])/2</f>
        <v>0</v>
      </c>
      <c r="D37" s="46">
        <f>COUNTIF(Tabla1[FA_redondeo],Normal_continua[[#This Row],[Puntos ]])</f>
        <v>0</v>
      </c>
      <c r="E37" s="43" t="e">
        <f ca="1">(_xlfn.NORM.DIST(Normal_continua[[#This Row],[Puntos ]],MediaMia,SQRT(VarMia),TRUE)-_xlfn.NORM.DIST(OFFSET(Normal_continua[[#This Row],[Puntos ]],-1,0),MediaMia,SQRT(VarMia),TRUE))*Pelis</f>
        <v>#NUM!</v>
      </c>
      <c r="F37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82">
        <v>9.5</v>
      </c>
      <c r="C38" s="36">
        <f ca="1">AVERAGE(INDIRECT(ADDRESS(ROW()-1,COLUMN())),INDIRECT(ADDRESS(ROW()+1,COLUMN())))</f>
        <v>0</v>
      </c>
      <c r="D38" s="46">
        <f>COUNTIF(Tabla1[FA_redondeo],Normal_continua[[#This Row],[Puntos ]])</f>
        <v>0</v>
      </c>
      <c r="E38" s="43" t="e">
        <f ca="1">(_xlfn.NORM.DIST(Normal_continua[[#This Row],[Puntos ]],MediaMia,SQRT(VarMia),TRUE)-_xlfn.NORM.DIST(OFFSET(Normal_continua[[#This Row],[Puntos ]],-1,0),MediaMia,SQRT(VarMia),TRUE))*Pelis</f>
        <v>#NUM!</v>
      </c>
      <c r="F38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83">
        <v>10</v>
      </c>
      <c r="C39" s="37">
        <f>COUNTIF(NotasMias,Normal_continua[[#This Row],[Puntos ]])*2/3</f>
        <v>0</v>
      </c>
      <c r="D39" s="47">
        <f>COUNTIF(Tabla1[FA_redondeo],Normal_continua[[#This Row],[Puntos ]])</f>
        <v>0</v>
      </c>
      <c r="E39" s="43" t="e">
        <f ca="1">(_xlfn.NORM.DIST(Normal_continua[[#This Row],[Puntos ]],MediaMia,SQRT(VarMia),TRUE)-_xlfn.NORM.DIST(OFFSET(Normal_continua[[#This Row],[Puntos ]],-1,0),MediaMia,SQRT(VarMia),TRUE))*Pelis</f>
        <v>#NUM!</v>
      </c>
      <c r="F39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9">
        <f ca="1">SUM(Normal_continua[Yo])</f>
        <v>1</v>
      </c>
      <c r="D40" s="19">
        <f>SUM(Normal_continua[FilmAffinity])</f>
        <v>1</v>
      </c>
      <c r="E40" s="66" t="e">
        <f>SUM(Normal_continua[Normal Yo])</f>
        <v>#NUM!</v>
      </c>
      <c r="F40" s="66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F1" sqref="F1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6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59">
        <v>5</v>
      </c>
      <c r="Q4" s="60">
        <f>COUNTIF(Notas!D:D,"&lt;="&amp;P4)</f>
        <v>0</v>
      </c>
      <c r="R4" s="41" t="e">
        <f>EXP((P4-$F$1)^2/(-2*$F$3))/SQRT(2*PI()*$F$3)*Estadística!$B$1</f>
        <v>#DIV/0!</v>
      </c>
      <c r="T4" s="59">
        <v>10</v>
      </c>
      <c r="U4" s="60">
        <f>COUNTIF(Notas!D:D,"&lt;="&amp;T4)</f>
        <v>0</v>
      </c>
      <c r="V4" s="41" t="e">
        <f>EXP((T4-$F$2)^2/(-2*$H$2))/SQRT(2*PI()*$H$2)*$C$2*10</f>
        <v>#DIV/0!</v>
      </c>
    </row>
    <row r="5" spans="1:22" x14ac:dyDescent="0.25">
      <c r="P5" s="61">
        <v>10</v>
      </c>
      <c r="Q5" s="54">
        <f>COUNTIF(Notas!D:D,"&lt;="&amp;P5)-COUNTIF(Notas!D:D,"&lt;="&amp;P4)</f>
        <v>0</v>
      </c>
      <c r="R5" s="33" t="e">
        <f>EXP((P5-$F$1)^2/(-2*$F$3))/SQRT(2*PI()*$F$3)*Estadística!$B$1</f>
        <v>#DIV/0!</v>
      </c>
      <c r="T5" s="61">
        <v>20</v>
      </c>
      <c r="U5" s="54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1">
        <v>15</v>
      </c>
      <c r="Q6" s="54">
        <f>COUNTIF(Notas!D:D,"&lt;="&amp;P6)-COUNTIF(Notas!D:D,"&lt;="&amp;P5)</f>
        <v>0</v>
      </c>
      <c r="R6" s="33" t="e">
        <f>EXP((P6-$F$1)^2/(-2*$F$3))/SQRT(2*PI()*$F$3)*Estadística!$B$1</f>
        <v>#DIV/0!</v>
      </c>
      <c r="T6" s="61">
        <v>30</v>
      </c>
      <c r="U6" s="54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1">
        <v>20</v>
      </c>
      <c r="Q7" s="54">
        <f>COUNTIF(Notas!D:D,"&lt;="&amp;P7)-COUNTIF(Notas!D:D,"&lt;="&amp;P6)</f>
        <v>0</v>
      </c>
      <c r="R7" s="33" t="e">
        <f>EXP((P7-$F$1)^2/(-2*$F$3))/SQRT(2*PI()*$F$3)*Estadística!$B$1</f>
        <v>#DIV/0!</v>
      </c>
      <c r="T7" s="61">
        <v>40</v>
      </c>
      <c r="U7" s="54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1">
        <v>25</v>
      </c>
      <c r="Q8" s="54">
        <f>COUNTIF(Notas!D:D,"&lt;="&amp;P8)-COUNTIF(Notas!D:D,"&lt;="&amp;P7)</f>
        <v>0</v>
      </c>
      <c r="R8" s="33" t="e">
        <f>EXP((P8-$F$1)^2/(-2*$F$3))/SQRT(2*PI()*$F$3)*Estadística!$B$1</f>
        <v>#DIV/0!</v>
      </c>
      <c r="T8" s="61">
        <v>50</v>
      </c>
      <c r="U8" s="54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1">
        <v>30</v>
      </c>
      <c r="Q9" s="54">
        <f>COUNTIF(Notas!D:D,"&lt;="&amp;P9)-COUNTIF(Notas!D:D,"&lt;="&amp;P8)</f>
        <v>0</v>
      </c>
      <c r="R9" s="33" t="e">
        <f>EXP((P9-$F$1)^2/(-2*$F$3))/SQRT(2*PI()*$F$3)*Estadística!$B$1</f>
        <v>#DIV/0!</v>
      </c>
      <c r="T9" s="61">
        <v>60</v>
      </c>
      <c r="U9" s="54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1">
        <v>35</v>
      </c>
      <c r="Q10" s="54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1">
        <v>70</v>
      </c>
      <c r="U10" s="54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1">
        <v>40</v>
      </c>
      <c r="Q11" s="54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1">
        <v>80</v>
      </c>
      <c r="U11" s="54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1">
        <v>45</v>
      </c>
      <c r="Q12" s="54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1">
        <v>90</v>
      </c>
      <c r="U12" s="54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1">
        <v>50</v>
      </c>
      <c r="Q13" s="54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1">
        <v>100</v>
      </c>
      <c r="U13" s="54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1">
        <v>55</v>
      </c>
      <c r="Q14" s="54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1">
        <v>110</v>
      </c>
      <c r="U14" s="54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1">
        <v>60</v>
      </c>
      <c r="Q15" s="54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1">
        <v>120</v>
      </c>
      <c r="U15" s="54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1">
        <v>65</v>
      </c>
      <c r="Q16" s="54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1">
        <v>130</v>
      </c>
      <c r="U16" s="54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1">
        <v>70</v>
      </c>
      <c r="Q17" s="54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1">
        <v>140</v>
      </c>
      <c r="U17" s="54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1">
        <v>75</v>
      </c>
      <c r="Q18" s="54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1">
        <v>150</v>
      </c>
      <c r="U18" s="54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1">
        <v>80</v>
      </c>
      <c r="Q19" s="54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1">
        <v>160</v>
      </c>
      <c r="U19" s="54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1">
        <v>85</v>
      </c>
      <c r="Q20" s="54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1">
        <v>170</v>
      </c>
      <c r="U20" s="54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1">
        <v>90</v>
      </c>
      <c r="Q21" s="54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1">
        <v>180</v>
      </c>
      <c r="U21" s="54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1">
        <v>95</v>
      </c>
      <c r="Q22" s="54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1">
        <v>190</v>
      </c>
      <c r="U22" s="54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1">
        <v>100</v>
      </c>
      <c r="Q23" s="54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1">
        <v>200</v>
      </c>
      <c r="U23" s="54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1">
        <v>105</v>
      </c>
      <c r="Q24" s="54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1">
        <v>210</v>
      </c>
      <c r="U24" s="54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1">
        <v>110</v>
      </c>
      <c r="Q25" s="54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1">
        <v>220</v>
      </c>
      <c r="U25" s="54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1">
        <v>115</v>
      </c>
      <c r="Q26" s="54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1">
        <v>230</v>
      </c>
      <c r="U26" s="54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1">
        <v>120</v>
      </c>
      <c r="Q27" s="54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2">
        <v>240</v>
      </c>
      <c r="U27" s="63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1">
        <v>125</v>
      </c>
      <c r="Q28" s="54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1">
        <v>130</v>
      </c>
      <c r="Q29" s="54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1">
        <v>135</v>
      </c>
      <c r="Q30" s="54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1">
        <v>140</v>
      </c>
      <c r="Q31" s="54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1">
        <v>145</v>
      </c>
      <c r="Q32" s="54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1">
        <v>150</v>
      </c>
      <c r="Q33" s="54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1">
        <v>155</v>
      </c>
      <c r="Q34" s="54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1">
        <v>160</v>
      </c>
      <c r="Q35" s="54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1">
        <v>165</v>
      </c>
      <c r="Q36" s="54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1">
        <v>170</v>
      </c>
      <c r="Q37" s="54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1">
        <v>175</v>
      </c>
      <c r="Q38" s="54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1">
        <v>180</v>
      </c>
      <c r="Q39" s="54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1">
        <v>185</v>
      </c>
      <c r="Q40" s="54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1">
        <v>190</v>
      </c>
      <c r="Q41" s="54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1">
        <v>195</v>
      </c>
      <c r="Q42" s="54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1">
        <v>200</v>
      </c>
      <c r="Q43" s="54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1">
        <v>205</v>
      </c>
      <c r="Q44" s="54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1">
        <v>210</v>
      </c>
      <c r="Q45" s="54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1">
        <v>215</v>
      </c>
      <c r="Q46" s="54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1">
        <v>220</v>
      </c>
      <c r="Q47" s="54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1">
        <v>225</v>
      </c>
      <c r="Q48" s="54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1">
        <v>230</v>
      </c>
      <c r="Q49" s="54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1">
        <v>235</v>
      </c>
      <c r="Q50" s="54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2">
        <v>240</v>
      </c>
      <c r="Q51" s="63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8" t="s">
        <v>12</v>
      </c>
      <c r="E6" s="67" t="s">
        <v>40</v>
      </c>
      <c r="F6" s="68" t="s">
        <v>41</v>
      </c>
      <c r="G6" s="64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5">
        <f>COUNTIF(Notas!G:G,B7)</f>
        <v>0</v>
      </c>
      <c r="E7" s="69">
        <f>LOG(_xlfn.NORM.DIST($B7,$E$3,SQRT($E$4),TRUE)^$C7)</f>
        <v>0</v>
      </c>
      <c r="F7" s="69">
        <f>LOG(_xlfn.NORM.DIST(B7,$G$3,SQRT($G$4),TRUE)^D7)</f>
        <v>0</v>
      </c>
      <c r="G7" s="42">
        <f>_xlfn.NORM.DIST(B7,$E$3,SQRT($E$4),TRUE)*Pelis</f>
        <v>5.7925488621560443E-3</v>
      </c>
      <c r="H7" s="50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6">
        <f>COUNTIF(Notas!G:G,B8)</f>
        <v>0</v>
      </c>
      <c r="E8" s="70">
        <f>LOG((_xlfn.NORM.DIST(B8,$E$3,SQRT($E$4),TRUE)-_xlfn.NORM.DIST(B7,$E$3,SQRT($E$4),TRUE))^C8)</f>
        <v>0</v>
      </c>
      <c r="F8" s="70">
        <f>LOG((_xlfn.NORM.DIST(B8,$G$3,SQRT($G$4),TRUE)-_xlfn.NORM.DIST(B7,$G$3,SQRT($G$4),TRUE))^$D8)</f>
        <v>0</v>
      </c>
      <c r="G8" s="43">
        <f t="shared" ref="G8:G26" si="0">(_xlfn.NORM.DIST(B8,$E$3,SQRT($E$4),TRUE)-_xlfn.NORM.DIST(B7,$E$3,SQRT($E$4),TRUE))*Pelis</f>
        <v>5.3035236315983354E-3</v>
      </c>
      <c r="H8" s="51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6">
        <f>COUNTIF(Notas!G:G,B9)</f>
        <v>0</v>
      </c>
      <c r="E9" s="70">
        <f t="shared" ref="E9:E26" si="2">LOG((_xlfn.NORM.DIST(B9,$E$3,SQRT($E$4),TRUE)-_xlfn.NORM.DIST(B8,$E$3,SQRT($E$4),TRUE))^C9)</f>
        <v>-0.510165965966482</v>
      </c>
      <c r="F9" s="70">
        <f t="shared" ref="F9:F26" si="3">LOG((_xlfn.NORM.DIST(B9,$G$3,SQRT($G$4),TRUE)-_xlfn.NORM.DIST(B8,$G$3,SQRT($G$4),TRUE))^$D9)</f>
        <v>0</v>
      </c>
      <c r="G9" s="43">
        <f t="shared" si="0"/>
        <v>9.1061780178500785E-3</v>
      </c>
      <c r="H9" s="51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6">
        <f>COUNTIF(Notas!G:G,B10)</f>
        <v>0</v>
      </c>
      <c r="E10" s="70">
        <f t="shared" si="2"/>
        <v>-0.91513515531428258</v>
      </c>
      <c r="F10" s="70">
        <f t="shared" si="3"/>
        <v>0</v>
      </c>
      <c r="G10" s="43">
        <f t="shared" si="0"/>
        <v>1.478188057990508E-2</v>
      </c>
      <c r="H10" s="51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6">
        <f>COUNTIF(Notas!G:G,B11)</f>
        <v>0</v>
      </c>
      <c r="E11" s="70">
        <f t="shared" si="2"/>
        <v>-0.41106363090054054</v>
      </c>
      <c r="F11" s="70">
        <f t="shared" si="3"/>
        <v>0</v>
      </c>
      <c r="G11" s="43">
        <f t="shared" si="0"/>
        <v>2.2685349595145655E-2</v>
      </c>
      <c r="H11" s="51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6">
        <f>COUNTIF(Notas!G:G,B12)</f>
        <v>0</v>
      </c>
      <c r="E12" s="70">
        <f t="shared" si="2"/>
        <v>0</v>
      </c>
      <c r="F12" s="70">
        <f t="shared" si="3"/>
        <v>0</v>
      </c>
      <c r="G12" s="43">
        <f t="shared" si="0"/>
        <v>3.2914235407240124E-2</v>
      </c>
      <c r="H12" s="51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6">
        <f>COUNTIF(Notas!G:G,B13)</f>
        <v>0</v>
      </c>
      <c r="E13" s="70">
        <f t="shared" si="2"/>
        <v>0</v>
      </c>
      <c r="F13" s="70">
        <f t="shared" si="3"/>
        <v>0</v>
      </c>
      <c r="G13" s="43">
        <f t="shared" si="0"/>
        <v>4.5148654453109976E-2</v>
      </c>
      <c r="H13" s="51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6">
        <f>COUNTIF(Notas!G:G,B14)</f>
        <v>1</v>
      </c>
      <c r="E14" s="70">
        <f t="shared" si="2"/>
        <v>0</v>
      </c>
      <c r="F14" s="70">
        <f t="shared" si="3"/>
        <v>-1.7456299905769432</v>
      </c>
      <c r="G14" s="43">
        <f t="shared" si="0"/>
        <v>5.8550256516192611E-2</v>
      </c>
      <c r="H14" s="51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6">
        <f>COUNTIF(Notas!G:G,B15)</f>
        <v>0</v>
      </c>
      <c r="E15" s="70">
        <f t="shared" si="2"/>
        <v>0</v>
      </c>
      <c r="F15" s="70">
        <f t="shared" si="3"/>
        <v>0</v>
      </c>
      <c r="G15" s="43">
        <f t="shared" si="0"/>
        <v>7.1785364468036045E-2</v>
      </c>
      <c r="H15" s="51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6">
        <f>COUNTIF(Notas!G:G,B16)</f>
        <v>0</v>
      </c>
      <c r="E16" s="70">
        <f t="shared" si="2"/>
        <v>0</v>
      </c>
      <c r="F16" s="70">
        <f t="shared" si="3"/>
        <v>0</v>
      </c>
      <c r="G16" s="43">
        <f t="shared" si="0"/>
        <v>8.320822664083477E-2</v>
      </c>
      <c r="H16" s="51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6">
        <f>COUNTIF(Notas!G:G,B17)</f>
        <v>0</v>
      </c>
      <c r="E17" s="70">
        <f t="shared" si="2"/>
        <v>0</v>
      </c>
      <c r="F17" s="70">
        <f t="shared" si="3"/>
        <v>0</v>
      </c>
      <c r="G17" s="43">
        <f t="shared" si="0"/>
        <v>9.1184278782524775E-2</v>
      </c>
      <c r="H17" s="51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6">
        <f>COUNTIF(Notas!G:G,B18)</f>
        <v>0</v>
      </c>
      <c r="E18" s="70">
        <f t="shared" si="2"/>
        <v>0</v>
      </c>
      <c r="F18" s="70">
        <f t="shared" si="3"/>
        <v>0</v>
      </c>
      <c r="G18" s="43">
        <f t="shared" si="0"/>
        <v>9.4470686747302468E-2</v>
      </c>
      <c r="H18" s="51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6">
        <f>COUNTIF(Notas!G:G,B19)</f>
        <v>0</v>
      </c>
      <c r="E19" s="70">
        <f t="shared" si="2"/>
        <v>0</v>
      </c>
      <c r="F19" s="70">
        <f t="shared" si="3"/>
        <v>0</v>
      </c>
      <c r="G19" s="43">
        <f t="shared" si="0"/>
        <v>9.2533204903991528E-2</v>
      </c>
      <c r="H19" s="51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6">
        <f>COUNTIF(Notas!G:G,B20)</f>
        <v>0</v>
      </c>
      <c r="E20" s="70">
        <f t="shared" si="2"/>
        <v>0</v>
      </c>
      <c r="F20" s="70">
        <f t="shared" si="3"/>
        <v>0</v>
      </c>
      <c r="G20" s="43">
        <f t="shared" si="0"/>
        <v>8.5688304490451506E-2</v>
      </c>
      <c r="H20" s="51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6">
        <f>COUNTIF(Notas!G:G,B21)</f>
        <v>0</v>
      </c>
      <c r="E21" s="70">
        <f t="shared" si="2"/>
        <v>0</v>
      </c>
      <c r="F21" s="70">
        <f t="shared" si="3"/>
        <v>0</v>
      </c>
      <c r="G21" s="43">
        <f t="shared" si="0"/>
        <v>7.5018583302613351E-2</v>
      </c>
      <c r="H21" s="51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6">
        <f>COUNTIF(Notas!G:G,B22)</f>
        <v>0</v>
      </c>
      <c r="E22" s="70">
        <f t="shared" si="2"/>
        <v>0</v>
      </c>
      <c r="F22" s="70">
        <f t="shared" si="3"/>
        <v>0</v>
      </c>
      <c r="G22" s="43">
        <f t="shared" si="0"/>
        <v>6.2092542712243848E-2</v>
      </c>
      <c r="H22" s="51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6">
        <f>COUNTIF(Notas!G:G,B23)</f>
        <v>0</v>
      </c>
      <c r="E23" s="70">
        <f t="shared" si="2"/>
        <v>0</v>
      </c>
      <c r="F23" s="70">
        <f t="shared" si="3"/>
        <v>0</v>
      </c>
      <c r="G23" s="43">
        <f t="shared" si="0"/>
        <v>4.8588465796543967E-2</v>
      </c>
      <c r="H23" s="51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6">
        <f>COUNTIF(Notas!G:G,B24)</f>
        <v>0</v>
      </c>
      <c r="E24" s="70">
        <f t="shared" si="2"/>
        <v>0</v>
      </c>
      <c r="F24" s="70">
        <f t="shared" si="3"/>
        <v>0</v>
      </c>
      <c r="G24" s="43">
        <f t="shared" si="0"/>
        <v>3.5945946585823285E-2</v>
      </c>
      <c r="H24" s="51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6">
        <f>COUNTIF(Notas!G:G,B25)</f>
        <v>0</v>
      </c>
      <c r="E25" s="70">
        <f t="shared" si="2"/>
        <v>0</v>
      </c>
      <c r="F25" s="70">
        <f t="shared" si="3"/>
        <v>0</v>
      </c>
      <c r="G25" s="43">
        <f t="shared" si="0"/>
        <v>2.5141400473080999E-2</v>
      </c>
      <c r="H25" s="51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7">
        <f>COUNTIF(Notas!G:G,B26)</f>
        <v>0</v>
      </c>
      <c r="E26" s="71">
        <f t="shared" si="2"/>
        <v>0</v>
      </c>
      <c r="F26" s="71">
        <f t="shared" si="3"/>
        <v>0</v>
      </c>
      <c r="G26" s="44">
        <f t="shared" si="0"/>
        <v>1.6624614389095349E-2</v>
      </c>
      <c r="H26" s="52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opLeftCell="A7" workbookViewId="0">
      <selection activeCell="B4" sqref="B4"/>
    </sheetView>
  </sheetViews>
  <sheetFormatPr baseColWidth="10" defaultRowHeight="15" x14ac:dyDescent="0.25"/>
  <cols>
    <col min="2" max="2" width="11.42578125" style="72"/>
  </cols>
  <sheetData>
    <row r="1" spans="1:5" x14ac:dyDescent="0.25">
      <c r="A1" t="s">
        <v>42</v>
      </c>
      <c r="B1" s="72">
        <f>AVERAGE(Visionados)</f>
        <v>26047</v>
      </c>
      <c r="D1" t="s">
        <v>48</v>
      </c>
      <c r="E1" s="72">
        <f>MAX(Visionados)</f>
        <v>26047</v>
      </c>
    </row>
    <row r="2" spans="1:5" x14ac:dyDescent="0.25">
      <c r="A2" t="s">
        <v>20</v>
      </c>
      <c r="B2" s="72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3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2022-02-04T13:12:38Z</dcterms:modified>
</cp:coreProperties>
</file>