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5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 hidePivotFieldList="1"/>
  <xr:revisionPtr revIDLastSave="0" documentId="13_ncr:1_{10B71982-BA38-4792-A3B7-6A5CFBC335E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otas" sheetId="3" r:id="rId1"/>
    <sheet name="Graficas" sheetId="11" r:id="rId2"/>
    <sheet name="Estadística" sheetId="5" r:id="rId3"/>
    <sheet name="Normales" sheetId="6" r:id="rId4"/>
    <sheet name="Tiempos" sheetId="4" r:id="rId5"/>
    <sheet name="MaxVero" sheetId="7" r:id="rId6"/>
    <sheet name="Visionados" sheetId="10" r:id="rId7"/>
  </sheets>
  <definedNames>
    <definedName name="DesvFA">Estadística!$D$2</definedName>
    <definedName name="DesvMia">Estadística!$D$3</definedName>
    <definedName name="Duraciones">Notas!$D:$D</definedName>
    <definedName name="MediaFA">Estadística!$B$2</definedName>
    <definedName name="MediaMia">Estadística!$B$3</definedName>
    <definedName name="MedianaFA">Estadística!$H$2</definedName>
    <definedName name="MedianaMia">Estadística!$H$3</definedName>
    <definedName name="NotasFA">Notas!$C:$C</definedName>
    <definedName name="NotasMias">Notas!$B:$B</definedName>
    <definedName name="NotasMiasRuido">Notas!$J:$J</definedName>
    <definedName name="Pelis">Estadística!$B$1</definedName>
    <definedName name="solver_adj" localSheetId="5" hidden="1">MaxVero!$E$3:$E$4</definedName>
    <definedName name="solver_cvg" localSheetId="5" hidden="1">0.0001</definedName>
    <definedName name="solver_drv" localSheetId="5" hidden="1">1</definedName>
    <definedName name="solver_eng" localSheetId="5" hidden="1">1</definedName>
    <definedName name="solver_est" localSheetId="5" hidden="1">1</definedName>
    <definedName name="solver_itr" localSheetId="5" hidden="1">2147483647</definedName>
    <definedName name="solver_mip" localSheetId="5" hidden="1">2147483647</definedName>
    <definedName name="solver_mni" localSheetId="5" hidden="1">30</definedName>
    <definedName name="solver_mrt" localSheetId="5" hidden="1">0.075</definedName>
    <definedName name="solver_msl" localSheetId="5" hidden="1">2</definedName>
    <definedName name="solver_neg" localSheetId="5" hidden="1">1</definedName>
    <definedName name="solver_nod" localSheetId="5" hidden="1">2147483647</definedName>
    <definedName name="solver_num" localSheetId="5" hidden="1">0</definedName>
    <definedName name="solver_nwt" localSheetId="5" hidden="1">1</definedName>
    <definedName name="solver_opt" localSheetId="5" hidden="1">MaxVero!$E$28</definedName>
    <definedName name="solver_pre" localSheetId="5" hidden="1">0.000001</definedName>
    <definedName name="solver_rbv" localSheetId="5" hidden="1">1</definedName>
    <definedName name="solver_rlx" localSheetId="5" hidden="1">2</definedName>
    <definedName name="solver_rsd" localSheetId="5" hidden="1">0</definedName>
    <definedName name="solver_scl" localSheetId="5" hidden="1">1</definedName>
    <definedName name="solver_sho" localSheetId="5" hidden="1">2</definedName>
    <definedName name="solver_ssz" localSheetId="5" hidden="1">100</definedName>
    <definedName name="solver_tim" localSheetId="5" hidden="1">2147483647</definedName>
    <definedName name="solver_tol" localSheetId="5" hidden="1">0.01</definedName>
    <definedName name="solver_typ" localSheetId="5" hidden="1">1</definedName>
    <definedName name="solver_val" localSheetId="5" hidden="1">0</definedName>
    <definedName name="solver_ver" localSheetId="5" hidden="1">3</definedName>
    <definedName name="VarFA">Estadística!$F$2</definedName>
    <definedName name="VarMia">Estadística!$F$3</definedName>
    <definedName name="Visionados">Notas!$E:$E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1" i="4" l="1"/>
  <c r="M2" i="4"/>
  <c r="H1" i="4"/>
  <c r="H2" i="4" a="1"/>
  <c r="H2" i="4" s="1"/>
  <c r="H3" i="4" a="1"/>
  <c r="H3" i="4" s="1"/>
  <c r="F1" i="4"/>
  <c r="F2" i="4"/>
  <c r="F3" i="4"/>
  <c r="C2" i="4"/>
  <c r="G2" i="3" l="1"/>
  <c r="I2" i="3" s="1"/>
  <c r="B10" i="5" s="1"/>
  <c r="B3" i="5"/>
  <c r="B2" i="5"/>
  <c r="B9" i="5" l="1"/>
  <c r="B8" i="5"/>
  <c r="E2" i="10"/>
  <c r="E1" i="10"/>
  <c r="B2" i="10" l="1"/>
  <c r="B1" i="10"/>
  <c r="C26" i="7" l="1"/>
  <c r="C24" i="7"/>
  <c r="C22" i="7"/>
  <c r="C20" i="7"/>
  <c r="C18" i="7"/>
  <c r="C16" i="7"/>
  <c r="C14" i="7"/>
  <c r="C12" i="7"/>
  <c r="C10" i="7"/>
  <c r="C8" i="7"/>
  <c r="D4" i="6"/>
  <c r="C13" i="6"/>
  <c r="C6" i="6"/>
  <c r="C7" i="6"/>
  <c r="C8" i="6"/>
  <c r="C9" i="6"/>
  <c r="C10" i="6"/>
  <c r="C11" i="6"/>
  <c r="C12" i="6"/>
  <c r="C5" i="6"/>
  <c r="C4" i="6"/>
  <c r="N3" i="5"/>
  <c r="L3" i="5"/>
  <c r="J3" i="5"/>
  <c r="H3" i="5"/>
  <c r="F3" i="5"/>
  <c r="D3" i="5"/>
  <c r="F2" i="5"/>
  <c r="C11" i="7" l="1"/>
  <c r="C19" i="7"/>
  <c r="E19" i="7" s="1"/>
  <c r="C9" i="7"/>
  <c r="E9" i="7" s="1"/>
  <c r="C17" i="7"/>
  <c r="C25" i="7"/>
  <c r="C23" i="7"/>
  <c r="E23" i="7" s="1"/>
  <c r="C15" i="7"/>
  <c r="E15" i="7" s="1"/>
  <c r="C21" i="7"/>
  <c r="E21" i="7" s="1"/>
  <c r="C7" i="7"/>
  <c r="E7" i="7" s="1"/>
  <c r="C13" i="7"/>
  <c r="E20" i="7"/>
  <c r="E24" i="7"/>
  <c r="E12" i="7"/>
  <c r="E8" i="7"/>
  <c r="E11" i="7"/>
  <c r="E16" i="7"/>
  <c r="E26" i="7"/>
  <c r="E22" i="7"/>
  <c r="E18" i="7"/>
  <c r="E14" i="7"/>
  <c r="E10" i="7"/>
  <c r="E25" i="7"/>
  <c r="E17" i="7"/>
  <c r="E13" i="7"/>
  <c r="U6" i="4"/>
  <c r="U7" i="4"/>
  <c r="U8" i="4"/>
  <c r="U9" i="4"/>
  <c r="U10" i="4"/>
  <c r="U11" i="4"/>
  <c r="U12" i="4"/>
  <c r="U13" i="4"/>
  <c r="U14" i="4"/>
  <c r="U15" i="4"/>
  <c r="U16" i="4"/>
  <c r="U17" i="4"/>
  <c r="U18" i="4"/>
  <c r="U19" i="4"/>
  <c r="U20" i="4"/>
  <c r="U21" i="4"/>
  <c r="U22" i="4"/>
  <c r="U23" i="4"/>
  <c r="U24" i="4"/>
  <c r="U25" i="4"/>
  <c r="U26" i="4"/>
  <c r="U27" i="4"/>
  <c r="U5" i="4"/>
  <c r="U4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" i="4"/>
  <c r="Q4" i="4"/>
  <c r="V27" i="4" l="1"/>
  <c r="V4" i="4"/>
  <c r="Q52" i="4"/>
  <c r="V11" i="4"/>
  <c r="V15" i="4"/>
  <c r="V19" i="4"/>
  <c r="V23" i="4"/>
  <c r="V7" i="4"/>
  <c r="V8" i="4"/>
  <c r="V16" i="4"/>
  <c r="V24" i="4"/>
  <c r="V13" i="4"/>
  <c r="V21" i="4"/>
  <c r="V12" i="4"/>
  <c r="V20" i="4"/>
  <c r="V6" i="4"/>
  <c r="V9" i="4"/>
  <c r="V17" i="4"/>
  <c r="V25" i="4"/>
  <c r="V10" i="4"/>
  <c r="V14" i="4"/>
  <c r="V18" i="4"/>
  <c r="V22" i="4"/>
  <c r="V26" i="4"/>
  <c r="V5" i="4"/>
  <c r="E28" i="7"/>
  <c r="N2" i="5"/>
  <c r="L2" i="5"/>
  <c r="V28" i="4" l="1"/>
  <c r="C39" i="6"/>
  <c r="C37" i="6"/>
  <c r="C35" i="6"/>
  <c r="C33" i="6"/>
  <c r="C31" i="6"/>
  <c r="C29" i="6"/>
  <c r="C27" i="6"/>
  <c r="C25" i="6"/>
  <c r="C23" i="6"/>
  <c r="C21" i="6"/>
  <c r="C20" i="6" s="1"/>
  <c r="C38" i="6" l="1"/>
  <c r="C30" i="6"/>
  <c r="C24" i="6"/>
  <c r="C26" i="6"/>
  <c r="C32" i="6"/>
  <c r="C34" i="6"/>
  <c r="C22" i="6"/>
  <c r="C28" i="6"/>
  <c r="C36" i="6"/>
  <c r="D7" i="5"/>
  <c r="J2" i="5"/>
  <c r="H2" i="5"/>
  <c r="D2" i="5"/>
  <c r="B1" i="5"/>
  <c r="D4" i="10" l="1"/>
  <c r="G15" i="5"/>
  <c r="G16" i="5"/>
  <c r="H9" i="7"/>
  <c r="H13" i="7"/>
  <c r="H17" i="7"/>
  <c r="H21" i="7"/>
  <c r="H25" i="7"/>
  <c r="G9" i="7"/>
  <c r="G13" i="7"/>
  <c r="G17" i="7"/>
  <c r="G21" i="7"/>
  <c r="G25" i="7"/>
  <c r="H10" i="7"/>
  <c r="H14" i="7"/>
  <c r="H18" i="7"/>
  <c r="H22" i="7"/>
  <c r="H26" i="7"/>
  <c r="G10" i="7"/>
  <c r="G14" i="7"/>
  <c r="G18" i="7"/>
  <c r="G22" i="7"/>
  <c r="G26" i="7"/>
  <c r="G12" i="7"/>
  <c r="G24" i="7"/>
  <c r="H11" i="7"/>
  <c r="H15" i="7"/>
  <c r="H19" i="7"/>
  <c r="H23" i="7"/>
  <c r="H8" i="7"/>
  <c r="G11" i="7"/>
  <c r="G15" i="7"/>
  <c r="G19" i="7"/>
  <c r="G23" i="7"/>
  <c r="G8" i="7"/>
  <c r="H12" i="7"/>
  <c r="H16" i="7"/>
  <c r="H20" i="7"/>
  <c r="H24" i="7"/>
  <c r="H7" i="7"/>
  <c r="G16" i="7"/>
  <c r="G20" i="7"/>
  <c r="G7" i="7"/>
  <c r="E37" i="6"/>
  <c r="E13" i="6"/>
  <c r="E33" i="6"/>
  <c r="E20" i="6"/>
  <c r="E4" i="6"/>
  <c r="E29" i="6"/>
  <c r="E7" i="6"/>
  <c r="E6" i="6"/>
  <c r="E27" i="6"/>
  <c r="E32" i="6"/>
  <c r="E36" i="6"/>
  <c r="E8" i="6"/>
  <c r="E24" i="6"/>
  <c r="E38" i="6"/>
  <c r="E39" i="6"/>
  <c r="E11" i="6"/>
  <c r="E30" i="6"/>
  <c r="E21" i="6"/>
  <c r="E23" i="6"/>
  <c r="E28" i="6"/>
  <c r="E5" i="6"/>
  <c r="E35" i="6"/>
  <c r="E26" i="6"/>
  <c r="E9" i="6"/>
  <c r="E25" i="6"/>
  <c r="E34" i="6"/>
  <c r="E12" i="6"/>
  <c r="E22" i="6"/>
  <c r="E10" i="6"/>
  <c r="E31" i="6"/>
  <c r="B15" i="5"/>
  <c r="F9" i="6"/>
  <c r="F13" i="6"/>
  <c r="F23" i="6"/>
  <c r="F27" i="6"/>
  <c r="F31" i="6"/>
  <c r="F35" i="6"/>
  <c r="F39" i="6"/>
  <c r="F6" i="6"/>
  <c r="F5" i="6"/>
  <c r="F28" i="6"/>
  <c r="F36" i="6"/>
  <c r="F10" i="6"/>
  <c r="F24" i="6"/>
  <c r="F32" i="6"/>
  <c r="F21" i="6"/>
  <c r="F7" i="6"/>
  <c r="F11" i="6"/>
  <c r="F4" i="6"/>
  <c r="F25" i="6"/>
  <c r="F29" i="6"/>
  <c r="F33" i="6"/>
  <c r="F37" i="6"/>
  <c r="F20" i="6"/>
  <c r="F8" i="6"/>
  <c r="F12" i="6"/>
  <c r="F22" i="6"/>
  <c r="F26" i="6"/>
  <c r="F30" i="6"/>
  <c r="F34" i="6"/>
  <c r="F38" i="6"/>
  <c r="R11" i="4"/>
  <c r="R27" i="4"/>
  <c r="R43" i="4"/>
  <c r="R35" i="4"/>
  <c r="R23" i="4"/>
  <c r="R15" i="4"/>
  <c r="R31" i="4"/>
  <c r="R47" i="4"/>
  <c r="R19" i="4"/>
  <c r="R51" i="4"/>
  <c r="R7" i="4"/>
  <c r="R39" i="4"/>
  <c r="R8" i="4"/>
  <c r="R38" i="4"/>
  <c r="R22" i="4"/>
  <c r="R6" i="4"/>
  <c r="R37" i="4"/>
  <c r="R21" i="4"/>
  <c r="R5" i="4"/>
  <c r="R40" i="4"/>
  <c r="R24" i="4"/>
  <c r="R16" i="4"/>
  <c r="R10" i="4"/>
  <c r="R44" i="4"/>
  <c r="R12" i="4"/>
  <c r="R50" i="4"/>
  <c r="R34" i="4"/>
  <c r="R18" i="4"/>
  <c r="R49" i="4"/>
  <c r="R33" i="4"/>
  <c r="R17" i="4"/>
  <c r="R4" i="4"/>
  <c r="R36" i="4"/>
  <c r="R20" i="4"/>
  <c r="R46" i="4"/>
  <c r="R30" i="4"/>
  <c r="R14" i="4"/>
  <c r="R45" i="4"/>
  <c r="R29" i="4"/>
  <c r="R13" i="4"/>
  <c r="R48" i="4"/>
  <c r="R32" i="4"/>
  <c r="R42" i="4"/>
  <c r="R26" i="4"/>
  <c r="R41" i="4"/>
  <c r="R25" i="4"/>
  <c r="R9" i="4"/>
  <c r="R28" i="4"/>
  <c r="B16" i="5"/>
  <c r="C40" i="6"/>
  <c r="S20" i="6" l="1" a="1"/>
  <c r="S20" i="6" s="1"/>
  <c r="R52" i="4"/>
  <c r="F14" i="6"/>
  <c r="E14" i="6"/>
  <c r="E40" i="6"/>
  <c r="F40" i="6"/>
  <c r="J2" i="3" l="1"/>
  <c r="L2" i="3" l="1"/>
  <c r="K2" i="3"/>
  <c r="D15" i="5" l="1"/>
  <c r="D16" i="5"/>
  <c r="F2" i="3"/>
  <c r="D10" i="7" l="1"/>
  <c r="F10" i="7" s="1"/>
  <c r="D14" i="7"/>
  <c r="F14" i="7" s="1"/>
  <c r="D18" i="7"/>
  <c r="F18" i="7" s="1"/>
  <c r="D22" i="7"/>
  <c r="F22" i="7" s="1"/>
  <c r="D8" i="7"/>
  <c r="F8" i="7" s="1"/>
  <c r="D9" i="6"/>
  <c r="D5" i="6"/>
  <c r="D11" i="7"/>
  <c r="F11" i="7" s="1"/>
  <c r="D15" i="7"/>
  <c r="F15" i="7" s="1"/>
  <c r="D19" i="7"/>
  <c r="F19" i="7" s="1"/>
  <c r="D23" i="7"/>
  <c r="F23" i="7" s="1"/>
  <c r="D7" i="7"/>
  <c r="F7" i="7" s="1"/>
  <c r="D6" i="6"/>
  <c r="D10" i="6"/>
  <c r="D11" i="6"/>
  <c r="D13" i="7"/>
  <c r="F13" i="7" s="1"/>
  <c r="D21" i="7"/>
  <c r="F21" i="7" s="1"/>
  <c r="D8" i="6"/>
  <c r="D12" i="6"/>
  <c r="D26" i="7"/>
  <c r="F26" i="7" s="1"/>
  <c r="D12" i="7"/>
  <c r="F12" i="7" s="1"/>
  <c r="D16" i="7"/>
  <c r="F16" i="7" s="1"/>
  <c r="D20" i="7"/>
  <c r="F20" i="7" s="1"/>
  <c r="D24" i="7"/>
  <c r="F24" i="7" s="1"/>
  <c r="D7" i="6"/>
  <c r="D9" i="7"/>
  <c r="F9" i="7" s="1"/>
  <c r="D17" i="7"/>
  <c r="F17" i="7" s="1"/>
  <c r="D25" i="7"/>
  <c r="F25" i="7" s="1"/>
  <c r="D21" i="6"/>
  <c r="D25" i="6"/>
  <c r="D29" i="6"/>
  <c r="D33" i="6"/>
  <c r="D37" i="6"/>
  <c r="D22" i="6"/>
  <c r="D26" i="6"/>
  <c r="D30" i="6"/>
  <c r="D34" i="6"/>
  <c r="D38" i="6"/>
  <c r="D13" i="6"/>
  <c r="D23" i="6"/>
  <c r="D27" i="6"/>
  <c r="D31" i="6"/>
  <c r="D35" i="6"/>
  <c r="D39" i="6"/>
  <c r="D24" i="6"/>
  <c r="D28" i="6"/>
  <c r="D32" i="6"/>
  <c r="D36" i="6"/>
  <c r="D20" i="6"/>
  <c r="F28" i="7" l="1"/>
  <c r="S21" i="6" a="1"/>
  <c r="S21" i="6" s="1"/>
  <c r="G6" i="5"/>
  <c r="G5" i="5"/>
  <c r="B4" i="5"/>
  <c r="D40" i="6"/>
  <c r="H2" i="3"/>
  <c r="B5" i="5" l="1"/>
  <c r="D5" i="5"/>
  <c r="B7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B5" authorId="0" shapeId="0" xr:uid="{DB79C980-6817-4EE5-9616-51E3FC7E9506}">
      <text>
        <r>
          <rPr>
            <sz val="9"/>
            <color indexed="81"/>
            <rFont val="Tahoma"/>
            <family val="2"/>
          </rPr>
          <t>Cuán en desacuerdo estoy con FilmAffinity</t>
        </r>
      </text>
    </comment>
    <comment ref="B10" authorId="0" shapeId="0" xr:uid="{F4C684F7-5DA5-4DBC-B141-73236A2CD055}">
      <text>
        <r>
          <rPr>
            <sz val="9"/>
            <color indexed="81"/>
            <rFont val="Tahoma"/>
            <family val="2"/>
          </rPr>
          <t>Probabilidad de que tu puntuación sea mayor que la que da FilmAffinity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<sst xmlns="http://schemas.openxmlformats.org/spreadsheetml/2006/main" count="84" uniqueCount="62">
  <si>
    <t>Media filmafinity</t>
  </si>
  <si>
    <t>Media mia</t>
  </si>
  <si>
    <t>Diferencia total</t>
  </si>
  <si>
    <t>Diferencia absoluta</t>
  </si>
  <si>
    <t>Mayor dif absoluta</t>
  </si>
  <si>
    <t>Mayor disgusto</t>
  </si>
  <si>
    <t>Más satisfaccion</t>
  </si>
  <si>
    <t xml:space="preserve">Puntos </t>
  </si>
  <si>
    <t>Desv</t>
  </si>
  <si>
    <t>Yo</t>
  </si>
  <si>
    <t>Mayoritariamente</t>
  </si>
  <si>
    <t>Pelis</t>
  </si>
  <si>
    <t>FilmAffinity</t>
  </si>
  <si>
    <t>Reescala</t>
  </si>
  <si>
    <t>Media FilmAffinity</t>
  </si>
  <si>
    <t>Media de todo</t>
  </si>
  <si>
    <t>Media de más de 1 h</t>
  </si>
  <si>
    <t>Varianza</t>
  </si>
  <si>
    <t>Normal yo</t>
  </si>
  <si>
    <t>Normal F.A.</t>
  </si>
  <si>
    <t>Mediana</t>
  </si>
  <si>
    <t>Mediana de todo</t>
  </si>
  <si>
    <t>Asimetría</t>
  </si>
  <si>
    <t>Correlación</t>
  </si>
  <si>
    <t>Normal Yo</t>
  </si>
  <si>
    <t>Máxima</t>
  </si>
  <si>
    <t>Mínima</t>
  </si>
  <si>
    <t>Minutos</t>
  </si>
  <si>
    <t>Normal</t>
  </si>
  <si>
    <t>Normal &gt;60</t>
  </si>
  <si>
    <t>Chi cuad Yo</t>
  </si>
  <si>
    <t>Chi cuad F.A.</t>
  </si>
  <si>
    <t>Desv de más de 1 h</t>
  </si>
  <si>
    <t>Varianza de mas de 1h</t>
  </si>
  <si>
    <t>Máximo</t>
  </si>
  <si>
    <t>Mínimo</t>
  </si>
  <si>
    <t>mu Mia</t>
  </si>
  <si>
    <t>sigma Mia</t>
  </si>
  <si>
    <t>mu FA</t>
  </si>
  <si>
    <t>sigma FA</t>
  </si>
  <si>
    <t>LogVeros Yo</t>
  </si>
  <si>
    <t>LogVerosFA</t>
  </si>
  <si>
    <t>Media</t>
  </si>
  <si>
    <t>Nº</t>
  </si>
  <si>
    <t>Percentil</t>
  </si>
  <si>
    <t>nº</t>
  </si>
  <si>
    <t>Percentil FA</t>
  </si>
  <si>
    <t>Percentil mio</t>
  </si>
  <si>
    <t>Max</t>
  </si>
  <si>
    <t>Min</t>
  </si>
  <si>
    <t>Mia</t>
  </si>
  <si>
    <t>FA</t>
  </si>
  <si>
    <t>Duracion</t>
  </si>
  <si>
    <t>Visionados</t>
  </si>
  <si>
    <t>FA redondeo</t>
  </si>
  <si>
    <t>Diferencia</t>
  </si>
  <si>
    <t>Diferencia abs</t>
  </si>
  <si>
    <t>Mia + ruido</t>
  </si>
  <si>
    <t>Me ha gustado más</t>
  </si>
  <si>
    <t>Mia reescalado</t>
  </si>
  <si>
    <t>FA reescalado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</si>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</sst>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%"/>
    <numFmt numFmtId="166" formatCode="0.0"/>
  </numFmts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1"/>
      <color theme="1"/>
      <name val="SimSun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1">
    <xf numFmtId="0" fontId="0" fillId="0" borderId="0" xfId="0"/>
    <xf numFmtId="2" fontId="0" fillId="0" borderId="0" xfId="0" applyNumberFormat="1"/>
    <xf numFmtId="165" fontId="0" fillId="0" borderId="0" xfId="1" applyNumberFormat="1" applyFont="1"/>
    <xf numFmtId="0" fontId="0" fillId="3" borderId="1" xfId="0" applyFill="1" applyBorder="1"/>
    <xf numFmtId="0" fontId="0" fillId="4" borderId="1" xfId="0" applyFill="1" applyBorder="1"/>
    <xf numFmtId="2" fontId="0" fillId="3" borderId="0" xfId="0" applyNumberFormat="1" applyFill="1"/>
    <xf numFmtId="164" fontId="0" fillId="3" borderId="0" xfId="0" applyNumberFormat="1" applyFill="1"/>
    <xf numFmtId="2" fontId="0" fillId="4" borderId="0" xfId="0" applyNumberFormat="1" applyFill="1"/>
    <xf numFmtId="164" fontId="0" fillId="4" borderId="0" xfId="0" applyNumberFormat="1" applyFill="1"/>
    <xf numFmtId="0" fontId="0" fillId="0" borderId="4" xfId="0" applyBorder="1"/>
    <xf numFmtId="0" fontId="0" fillId="0" borderId="5" xfId="0" applyBorder="1"/>
    <xf numFmtId="2" fontId="0" fillId="3" borderId="2" xfId="0" applyNumberFormat="1" applyFill="1" applyBorder="1"/>
    <xf numFmtId="0" fontId="0" fillId="6" borderId="3" xfId="0" applyFill="1" applyBorder="1"/>
    <xf numFmtId="0" fontId="0" fillId="0" borderId="6" xfId="0" applyBorder="1"/>
    <xf numFmtId="0" fontId="0" fillId="0" borderId="7" xfId="0" applyBorder="1"/>
    <xf numFmtId="2" fontId="0" fillId="4" borderId="8" xfId="0" applyNumberFormat="1" applyFill="1" applyBorder="1"/>
    <xf numFmtId="2" fontId="0" fillId="3" borderId="8" xfId="0" applyNumberFormat="1" applyFill="1" applyBorder="1"/>
    <xf numFmtId="2" fontId="0" fillId="0" borderId="9" xfId="0" applyNumberFormat="1" applyBorder="1"/>
    <xf numFmtId="2" fontId="0" fillId="0" borderId="1" xfId="0" applyNumberFormat="1" applyBorder="1"/>
    <xf numFmtId="1" fontId="0" fillId="0" borderId="0" xfId="0" applyNumberFormat="1"/>
    <xf numFmtId="0" fontId="0" fillId="5" borderId="10" xfId="0" applyFill="1" applyBorder="1"/>
    <xf numFmtId="0" fontId="0" fillId="3" borderId="11" xfId="0" applyFill="1" applyBorder="1"/>
    <xf numFmtId="0" fontId="0" fillId="5" borderId="13" xfId="0" applyFill="1" applyBorder="1"/>
    <xf numFmtId="0" fontId="0" fillId="5" borderId="15" xfId="0" applyFill="1" applyBorder="1"/>
    <xf numFmtId="0" fontId="0" fillId="3" borderId="16" xfId="0" applyFill="1" applyBorder="1"/>
    <xf numFmtId="0" fontId="0" fillId="4" borderId="11" xfId="0" applyFill="1" applyBorder="1"/>
    <xf numFmtId="0" fontId="0" fillId="4" borderId="16" xfId="0" applyFill="1" applyBorder="1"/>
    <xf numFmtId="0" fontId="0" fillId="0" borderId="0" xfId="0" applyFill="1"/>
    <xf numFmtId="164" fontId="0" fillId="0" borderId="0" xfId="0" applyNumberFormat="1" applyFill="1"/>
    <xf numFmtId="2" fontId="0" fillId="0" borderId="0" xfId="0" applyNumberFormat="1" applyFill="1"/>
    <xf numFmtId="166" fontId="0" fillId="0" borderId="0" xfId="0" applyNumberFormat="1"/>
    <xf numFmtId="0" fontId="3" fillId="0" borderId="0" xfId="0" applyFont="1" applyAlignment="1">
      <alignment horizontal="center" vertical="center"/>
    </xf>
    <xf numFmtId="9" fontId="0" fillId="0" borderId="0" xfId="1" applyFont="1"/>
    <xf numFmtId="1" fontId="0" fillId="0" borderId="18" xfId="0" applyNumberFormat="1" applyBorder="1"/>
    <xf numFmtId="1" fontId="0" fillId="0" borderId="19" xfId="0" applyNumberFormat="1" applyBorder="1"/>
    <xf numFmtId="1" fontId="0" fillId="3" borderId="11" xfId="0" applyNumberFormat="1" applyFill="1" applyBorder="1"/>
    <xf numFmtId="1" fontId="0" fillId="3" borderId="1" xfId="0" applyNumberFormat="1" applyFill="1" applyBorder="1"/>
    <xf numFmtId="1" fontId="0" fillId="3" borderId="16" xfId="0" applyNumberFormat="1" applyFill="1" applyBorder="1"/>
    <xf numFmtId="0" fontId="0" fillId="2" borderId="1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1" fontId="0" fillId="0" borderId="20" xfId="0" applyNumberFormat="1" applyBorder="1"/>
    <xf numFmtId="1" fontId="0" fillId="0" borderId="11" xfId="0" applyNumberFormat="1" applyBorder="1"/>
    <xf numFmtId="1" fontId="0" fillId="0" borderId="1" xfId="0" applyNumberFormat="1" applyBorder="1"/>
    <xf numFmtId="1" fontId="0" fillId="0" borderId="16" xfId="0" applyNumberFormat="1" applyBorder="1"/>
    <xf numFmtId="1" fontId="0" fillId="4" borderId="11" xfId="0" applyNumberFormat="1" applyFill="1" applyBorder="1"/>
    <xf numFmtId="1" fontId="0" fillId="4" borderId="1" xfId="0" applyNumberFormat="1" applyFill="1" applyBorder="1"/>
    <xf numFmtId="1" fontId="0" fillId="4" borderId="16" xfId="0" applyNumberFormat="1" applyFill="1" applyBorder="1"/>
    <xf numFmtId="0" fontId="0" fillId="2" borderId="21" xfId="0" applyFill="1" applyBorder="1" applyAlignment="1">
      <alignment horizontal="center"/>
    </xf>
    <xf numFmtId="1" fontId="0" fillId="0" borderId="0" xfId="0" applyNumberFormat="1" applyFill="1" applyBorder="1"/>
    <xf numFmtId="1" fontId="0" fillId="0" borderId="12" xfId="0" applyNumberFormat="1" applyFill="1" applyBorder="1"/>
    <xf numFmtId="1" fontId="0" fillId="0" borderId="14" xfId="0" applyNumberFormat="1" applyFill="1" applyBorder="1"/>
    <xf numFmtId="1" fontId="0" fillId="0" borderId="17" xfId="0" applyNumberFormat="1" applyFill="1" applyBorder="1"/>
    <xf numFmtId="9" fontId="0" fillId="0" borderId="0" xfId="1" applyFont="1" applyFill="1"/>
    <xf numFmtId="0" fontId="0" fillId="0" borderId="0" xfId="0" applyBorder="1"/>
    <xf numFmtId="0" fontId="0" fillId="0" borderId="0" xfId="0" applyFill="1" applyBorder="1"/>
    <xf numFmtId="0" fontId="0" fillId="0" borderId="0" xfId="0" applyFont="1"/>
    <xf numFmtId="0" fontId="0" fillId="4" borderId="0" xfId="0" applyFill="1"/>
    <xf numFmtId="0" fontId="0" fillId="3" borderId="0" xfId="0" applyFill="1"/>
    <xf numFmtId="0" fontId="0" fillId="5" borderId="22" xfId="0" applyFill="1" applyBorder="1"/>
    <xf numFmtId="0" fontId="0" fillId="0" borderId="23" xfId="0" applyBorder="1"/>
    <xf numFmtId="0" fontId="0" fillId="5" borderId="24" xfId="0" applyFill="1" applyBorder="1"/>
    <xf numFmtId="0" fontId="0" fillId="5" borderId="25" xfId="0" applyFill="1" applyBorder="1"/>
    <xf numFmtId="0" fontId="0" fillId="0" borderId="26" xfId="0" applyBorder="1"/>
    <xf numFmtId="0" fontId="0" fillId="2" borderId="27" xfId="0" applyFill="1" applyBorder="1" applyAlignment="1">
      <alignment horizontal="center"/>
    </xf>
    <xf numFmtId="2" fontId="0" fillId="0" borderId="0" xfId="0" applyNumberFormat="1" applyFill="1" applyBorder="1"/>
    <xf numFmtId="1" fontId="0" fillId="0" borderId="23" xfId="0" applyNumberFormat="1" applyBorder="1"/>
    <xf numFmtId="0" fontId="0" fillId="2" borderId="28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2" fontId="0" fillId="0" borderId="23" xfId="0" applyNumberFormat="1" applyBorder="1"/>
    <xf numFmtId="2" fontId="0" fillId="0" borderId="0" xfId="0" applyNumberFormat="1" applyBorder="1"/>
    <xf numFmtId="2" fontId="0" fillId="0" borderId="26" xfId="0" applyNumberFormat="1" applyBorder="1"/>
    <xf numFmtId="3" fontId="0" fillId="0" borderId="0" xfId="0" applyNumberFormat="1"/>
    <xf numFmtId="3" fontId="0" fillId="7" borderId="0" xfId="0" applyNumberFormat="1" applyFill="1"/>
    <xf numFmtId="165" fontId="0" fillId="4" borderId="0" xfId="1" applyNumberFormat="1" applyFont="1" applyFill="1"/>
    <xf numFmtId="165" fontId="0" fillId="3" borderId="0" xfId="1" applyNumberFormat="1" applyFont="1" applyFill="1"/>
    <xf numFmtId="0" fontId="0" fillId="8" borderId="0" xfId="0" applyFill="1"/>
    <xf numFmtId="2" fontId="0" fillId="0" borderId="30" xfId="0" applyNumberFormat="1" applyBorder="1"/>
    <xf numFmtId="2" fontId="0" fillId="0" borderId="31" xfId="0" applyNumberFormat="1" applyBorder="1"/>
    <xf numFmtId="1" fontId="3" fillId="0" borderId="0" xfId="0" applyNumberFormat="1" applyFont="1" applyAlignment="1">
      <alignment horizontal="center" vertical="center"/>
    </xf>
  </cellXfs>
  <cellStyles count="2">
    <cellStyle name="Normal" xfId="0" builtinId="0"/>
    <cellStyle name="Porcentaje" xfId="1" builtinId="5"/>
  </cellStyles>
  <dxfs count="11">
    <dxf>
      <font>
        <strike val="0"/>
        <color rgb="FF33CC33"/>
      </font>
      <fill>
        <patternFill>
          <bgColor theme="9" tint="0.79998168889431442"/>
        </patternFill>
      </fill>
    </dxf>
    <dxf>
      <font>
        <strike val="0"/>
        <color rgb="FFFF0000"/>
      </font>
      <fill>
        <patternFill>
          <bgColor theme="5" tint="0.79998168889431442"/>
        </patternFill>
      </fill>
    </dxf>
    <dxf>
      <numFmt numFmtId="1" formatCode="0"/>
    </dxf>
    <dxf>
      <numFmt numFmtId="2" formatCode="0.0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166" formatCode="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imSun"/>
        <scheme val="none"/>
      </font>
      <numFmt numFmtId="1" formatCode="0"/>
      <alignment horizontal="center" vertical="center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1" formatCode="0"/>
    </dxf>
    <dxf>
      <border outline="0">
        <right style="thin">
          <color indexed="64"/>
        </right>
      </border>
    </dxf>
  </dxfs>
  <tableStyles count="0" defaultTableStyle="TableStyleMedium2" defaultPivotStyle="PivotStyleLight16"/>
  <colors>
    <mruColors>
      <color rgb="FFFFFFFF"/>
      <color rgb="FF29D1F3"/>
      <color rgb="FF81DEFF"/>
      <color rgb="FFEBFAFF"/>
      <color rgb="FFA7E8FF"/>
      <color rgb="FF009BD2"/>
      <color rgb="FF2DC8FF"/>
      <color rgb="FFC1EFFF"/>
      <color rgb="FF4F2270"/>
      <color rgb="FF58267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4525203923388981E-2"/>
          <c:y val="9.0022806724111941E-3"/>
          <c:w val="0.92805410001486155"/>
          <c:h val="0.94394878450175201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6350">
                <a:noFill/>
              </a:ln>
              <a:effectLst/>
            </c:spPr>
          </c:marker>
          <c:trendline>
            <c:spPr>
              <a:ln w="22225" cap="rnd">
                <a:solidFill>
                  <a:srgbClr val="FF0000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Notas!$C$2:$C$1048576</c:f>
              <c:numCache>
                <c:formatCode>General</c:formatCode>
                <c:ptCount val="1048575"/>
                <c:pt idx="0">
                  <c:v>5.4</c:v>
                </c:pt>
              </c:numCache>
            </c:numRef>
          </c:xVal>
          <c:yVal>
            <c:numRef>
              <c:f>Notas!$J$2:$J$1048576</c:f>
              <c:numCache>
                <c:formatCode>0.0</c:formatCode>
                <c:ptCount val="1048575"/>
                <c:pt idx="0">
                  <c:v>2.1978834288391433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F00-45F1-8240-41F5330A0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6084848"/>
        <c:axId val="496085176"/>
      </c:scatterChart>
      <c:valAx>
        <c:axId val="496084848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96085176"/>
        <c:crosses val="autoZero"/>
        <c:crossBetween val="midCat"/>
      </c:valAx>
      <c:valAx>
        <c:axId val="496085176"/>
        <c:scaling>
          <c:orientation val="minMax"/>
          <c:max val="10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96084848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Notas!$C$2:$C$1048576</c:f>
              <c:numCache>
                <c:formatCode>General</c:formatCode>
                <c:ptCount val="1048575"/>
                <c:pt idx="0">
                  <c:v>5.4</c:v>
                </c:pt>
              </c:numCache>
            </c:numRef>
          </c:xVal>
          <c:yVal>
            <c:numRef>
              <c:f>Notas!$B$2:$B$1048576</c:f>
              <c:numCache>
                <c:formatCode>0</c:formatCode>
                <c:ptCount val="1048575"/>
                <c:pt idx="0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52A-4E37-8829-E7B0B59DDA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8036800"/>
        <c:axId val="498038112"/>
      </c:scatterChart>
      <c:valAx>
        <c:axId val="498036800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98038112"/>
        <c:crosses val="autoZero"/>
        <c:crossBetween val="midCat"/>
      </c:valAx>
      <c:valAx>
        <c:axId val="49803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98036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566152760831581E-2"/>
          <c:y val="5.0108951998350026E-2"/>
          <c:w val="0.91961552028066773"/>
          <c:h val="0.7400102226566353"/>
        </c:manualLayout>
      </c:layout>
      <c:scatterChart>
        <c:scatterStyle val="lineMarker"/>
        <c:varyColors val="0"/>
        <c:ser>
          <c:idx val="0"/>
          <c:order val="0"/>
          <c:tx>
            <c:v>Filmaffinity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Normales!$D$20:$D$39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A8-4B60-8A48-0D62A06AD2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scatterChart>
        <c:scatterStyle val="smoothMarker"/>
        <c:varyColors val="0"/>
        <c:ser>
          <c:idx val="1"/>
          <c:order val="1"/>
          <c:tx>
            <c:v>Normal F.A.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Normales!$F$20:$F$39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DA8-4B60-8A48-0D62A06AD2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valAx>
        <c:axId val="922914920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2624"/>
        <c:crosses val="autoZero"/>
        <c:crossBetween val="midCat"/>
        <c:minorUnit val="0.5"/>
      </c:valAx>
      <c:valAx>
        <c:axId val="92291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4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2"/>
          <c:order val="0"/>
          <c:tx>
            <c:strRef>
              <c:f>Normales!$C$19</c:f>
              <c:strCache>
                <c:ptCount val="1"/>
                <c:pt idx="0">
                  <c:v>Yo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Normales!$C$20:$C$39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0.5</c:v>
                </c:pt>
                <c:pt idx="4">
                  <c:v>0.25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D71-47D8-B8CB-B563985F48E7}"/>
            </c:ext>
          </c:extLst>
        </c:ser>
        <c:ser>
          <c:idx val="0"/>
          <c:order val="1"/>
          <c:tx>
            <c:strRef>
              <c:f>Normales!$D$19</c:f>
              <c:strCache>
                <c:ptCount val="1"/>
                <c:pt idx="0">
                  <c:v>FilmAffinity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Normales!$D$20:$D$39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D71-47D8-B8CB-B563985F48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2484000"/>
        <c:axId val="962488920"/>
      </c:scatterChart>
      <c:valAx>
        <c:axId val="962484000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62488920"/>
        <c:crosses val="autoZero"/>
        <c:crossBetween val="midCat"/>
        <c:majorUnit val="1"/>
        <c:minorUnit val="0.5"/>
      </c:valAx>
      <c:valAx>
        <c:axId val="962488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6248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566152760831581E-2"/>
          <c:y val="5.0108951998350026E-2"/>
          <c:w val="0.91961552028066773"/>
          <c:h val="0.7400102226566353"/>
        </c:manualLayout>
      </c:layout>
      <c:scatterChart>
        <c:scatterStyle val="lineMarker"/>
        <c:varyColors val="0"/>
        <c:ser>
          <c:idx val="0"/>
          <c:order val="0"/>
          <c:tx>
            <c:strRef>
              <c:f>Normales!$C$19</c:f>
              <c:strCache>
                <c:ptCount val="1"/>
                <c:pt idx="0">
                  <c:v>Yo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Normales!$C$20:$C$39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0.5</c:v>
                </c:pt>
                <c:pt idx="4">
                  <c:v>0.25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D6-45B8-BE25-06922CD6A5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scatterChart>
        <c:scatterStyle val="smoothMarker"/>
        <c:varyColors val="0"/>
        <c:ser>
          <c:idx val="1"/>
          <c:order val="1"/>
          <c:tx>
            <c:strRef>
              <c:f>Normales!$E$19</c:f>
              <c:strCache>
                <c:ptCount val="1"/>
                <c:pt idx="0">
                  <c:v>Normal Yo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Normales!$E$20:$E$39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8D6-45B8-BE25-06922CD6A5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valAx>
        <c:axId val="922914920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2624"/>
        <c:crosses val="autoZero"/>
        <c:crossBetween val="midCat"/>
        <c:minorUnit val="0.5"/>
      </c:valAx>
      <c:valAx>
        <c:axId val="92291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4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Mias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dash"/>
              </a:ln>
              <a:effectLst/>
            </c:spPr>
            <c:trendlineType val="linear"/>
            <c:dispRSqr val="0"/>
            <c:dispEq val="0"/>
          </c:trendline>
          <c:xVal>
            <c:numRef>
              <c:f>Notas!$D$2:$D$1048576</c:f>
              <c:numCache>
                <c:formatCode>#,##0</c:formatCode>
                <c:ptCount val="1048575"/>
                <c:pt idx="0">
                  <c:v>130</c:v>
                </c:pt>
              </c:numCache>
            </c:numRef>
          </c:xVal>
          <c:yVal>
            <c:numRef>
              <c:f>Notas!$B$2:$B$1048576</c:f>
              <c:numCache>
                <c:formatCode>0</c:formatCode>
                <c:ptCount val="1048575"/>
                <c:pt idx="0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D5-4987-AAC1-08B897261C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7100992"/>
        <c:axId val="747098696"/>
      </c:scatterChart>
      <c:valAx>
        <c:axId val="747100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47098696"/>
        <c:crosses val="autoZero"/>
        <c:crossBetween val="midCat"/>
      </c:valAx>
      <c:valAx>
        <c:axId val="747098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47100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FilmAffinity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dash"/>
              </a:ln>
              <a:effectLst/>
            </c:spPr>
            <c:trendlineType val="linear"/>
            <c:dispRSqr val="0"/>
            <c:dispEq val="0"/>
          </c:trendline>
          <c:xVal>
            <c:numRef>
              <c:f>Notas!$D$2:$D$1048576</c:f>
              <c:numCache>
                <c:formatCode>#,##0</c:formatCode>
                <c:ptCount val="1048575"/>
                <c:pt idx="0">
                  <c:v>130</c:v>
                </c:pt>
              </c:numCache>
            </c:numRef>
          </c:xVal>
          <c:yVal>
            <c:numRef>
              <c:f>Notas!$C$2:$C$1048576</c:f>
              <c:numCache>
                <c:formatCode>General</c:formatCode>
                <c:ptCount val="1048575"/>
                <c:pt idx="0">
                  <c:v>5.4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6D-4511-91D0-F9D2CF59AE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7103616"/>
        <c:axId val="747102304"/>
      </c:scatterChart>
      <c:valAx>
        <c:axId val="747103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47102304"/>
        <c:crosses val="autoZero"/>
        <c:crossBetween val="midCat"/>
      </c:valAx>
      <c:valAx>
        <c:axId val="74710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47103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Tiempos!$T$4:$T$27</c:f>
              <c:numCache>
                <c:formatCode>General</c:formatCode>
                <c:ptCount val="2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</c:numCache>
            </c:numRef>
          </c:xVal>
          <c:yVal>
            <c:numRef>
              <c:f>Tiempos!$U$4:$U$27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E0-47DF-9E76-C4F90E81E8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1117216"/>
        <c:axId val="871118528"/>
      </c:scatterChart>
      <c:valAx>
        <c:axId val="871117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71118528"/>
        <c:crosses val="autoZero"/>
        <c:crossBetween val="midCat"/>
      </c:valAx>
      <c:valAx>
        <c:axId val="871118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71117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566152760831581E-2"/>
          <c:y val="5.0108951998350026E-2"/>
          <c:w val="0.91961552028066773"/>
          <c:h val="0.7400102226566353"/>
        </c:manualLayout>
      </c:layout>
      <c:scatterChart>
        <c:scatterStyle val="lineMarker"/>
        <c:varyColors val="0"/>
        <c:ser>
          <c:idx val="0"/>
          <c:order val="0"/>
          <c:tx>
            <c:v>Filmaffinity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Normales!$D$20:$D$39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0B-4519-95E7-60692931A4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scatterChart>
        <c:scatterStyle val="smoothMarker"/>
        <c:varyColors val="0"/>
        <c:ser>
          <c:idx val="1"/>
          <c:order val="1"/>
          <c:tx>
            <c:v>Normal F.A.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MaxVero!$B$7:$B$26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MaxVero!$H$7:$H$26</c:f>
              <c:numCache>
                <c:formatCode>0</c:formatCode>
                <c:ptCount val="20"/>
                <c:pt idx="0">
                  <c:v>1.0670751456919622E-5</c:v>
                </c:pt>
                <c:pt idx="1">
                  <c:v>8.9532107336445599E-6</c:v>
                </c:pt>
                <c:pt idx="2">
                  <c:v>4.6530954287035938E-5</c:v>
                </c:pt>
                <c:pt idx="3">
                  <c:v>2.0765310065299676E-4</c:v>
                </c:pt>
                <c:pt idx="4">
                  <c:v>7.9576485490160656E-4</c:v>
                </c:pt>
                <c:pt idx="5">
                  <c:v>2.6187638771519059E-3</c:v>
                </c:pt>
                <c:pt idx="6">
                  <c:v>7.400945940858444E-3</c:v>
                </c:pt>
                <c:pt idx="7">
                  <c:v>1.796263352278547E-2</c:v>
                </c:pt>
                <c:pt idx="8">
                  <c:v>3.744170915363889E-2</c:v>
                </c:pt>
                <c:pt idx="9">
                  <c:v>6.7027571512691578E-2</c:v>
                </c:pt>
                <c:pt idx="10">
                  <c:v>0.10305544605641351</c:v>
                </c:pt>
                <c:pt idx="11">
                  <c:v>0.13608606230328921</c:v>
                </c:pt>
                <c:pt idx="12">
                  <c:v>0.15434239427286445</c:v>
                </c:pt>
                <c:pt idx="13">
                  <c:v>0.15034443690384314</c:v>
                </c:pt>
                <c:pt idx="14">
                  <c:v>0.12578234601277249</c:v>
                </c:pt>
                <c:pt idx="15">
                  <c:v>9.0381567263075557E-2</c:v>
                </c:pt>
                <c:pt idx="16">
                  <c:v>5.5778081184472583E-2</c:v>
                </c:pt>
                <c:pt idx="17">
                  <c:v>2.9564091935930681E-2</c:v>
                </c:pt>
                <c:pt idx="18">
                  <c:v>1.345781882502084E-2</c:v>
                </c:pt>
                <c:pt idx="19">
                  <c:v>5.2611911884490326E-3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20B-4519-95E7-60692931A4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valAx>
        <c:axId val="922914920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2624"/>
        <c:crosses val="autoZero"/>
        <c:crossBetween val="midCat"/>
        <c:minorUnit val="0.5"/>
      </c:valAx>
      <c:valAx>
        <c:axId val="92291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4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566152760831581E-2"/>
          <c:y val="5.0108951998350026E-2"/>
          <c:w val="0.91961552028066773"/>
          <c:h val="0.7400102226566353"/>
        </c:manualLayout>
      </c:layout>
      <c:scatterChart>
        <c:scatterStyle val="lineMarker"/>
        <c:varyColors val="0"/>
        <c:ser>
          <c:idx val="0"/>
          <c:order val="0"/>
          <c:tx>
            <c:strRef>
              <c:f>Normales!$C$19</c:f>
              <c:strCache>
                <c:ptCount val="1"/>
                <c:pt idx="0">
                  <c:v>Yo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Normales!$C$20:$C$39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0.5</c:v>
                </c:pt>
                <c:pt idx="4">
                  <c:v>0.25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B2-4447-8B59-CE5DD896CA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scatterChart>
        <c:scatterStyle val="smoothMarker"/>
        <c:varyColors val="0"/>
        <c:ser>
          <c:idx val="1"/>
          <c:order val="1"/>
          <c:tx>
            <c:strRef>
              <c:f>Normales!$E$19</c:f>
              <c:strCache>
                <c:ptCount val="1"/>
                <c:pt idx="0">
                  <c:v>Normal Yo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MaxVero!$B$7:$B$26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MaxVero!$G$7:$G$26</c:f>
              <c:numCache>
                <c:formatCode>0</c:formatCode>
                <c:ptCount val="20"/>
                <c:pt idx="0">
                  <c:v>5.7925488621560443E-3</c:v>
                </c:pt>
                <c:pt idx="1">
                  <c:v>5.3035236315983354E-3</c:v>
                </c:pt>
                <c:pt idx="2">
                  <c:v>9.1061780178500785E-3</c:v>
                </c:pt>
                <c:pt idx="3">
                  <c:v>1.478188057990508E-2</c:v>
                </c:pt>
                <c:pt idx="4">
                  <c:v>2.2685349595145655E-2</c:v>
                </c:pt>
                <c:pt idx="5">
                  <c:v>3.2914235407240124E-2</c:v>
                </c:pt>
                <c:pt idx="6">
                  <c:v>4.5148654453109976E-2</c:v>
                </c:pt>
                <c:pt idx="7">
                  <c:v>5.8550256516192611E-2</c:v>
                </c:pt>
                <c:pt idx="8">
                  <c:v>7.1785364468036045E-2</c:v>
                </c:pt>
                <c:pt idx="9">
                  <c:v>8.320822664083477E-2</c:v>
                </c:pt>
                <c:pt idx="10">
                  <c:v>9.1184278782524775E-2</c:v>
                </c:pt>
                <c:pt idx="11">
                  <c:v>9.4470686747302468E-2</c:v>
                </c:pt>
                <c:pt idx="12">
                  <c:v>9.2533204903991528E-2</c:v>
                </c:pt>
                <c:pt idx="13">
                  <c:v>8.5688304490451506E-2</c:v>
                </c:pt>
                <c:pt idx="14">
                  <c:v>7.5018583302613351E-2</c:v>
                </c:pt>
                <c:pt idx="15">
                  <c:v>6.2092542712243848E-2</c:v>
                </c:pt>
                <c:pt idx="16">
                  <c:v>4.8588465796543967E-2</c:v>
                </c:pt>
                <c:pt idx="17">
                  <c:v>3.5945946585823285E-2</c:v>
                </c:pt>
                <c:pt idx="18">
                  <c:v>2.5141400473080999E-2</c:v>
                </c:pt>
                <c:pt idx="19">
                  <c:v>1.6624614389095349E-2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3B2-4447-8B59-CE5DD896CA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valAx>
        <c:axId val="922914920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2624"/>
        <c:crosses val="autoZero"/>
        <c:crossBetween val="midCat"/>
        <c:minorUnit val="0.5"/>
      </c:valAx>
      <c:valAx>
        <c:axId val="92291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4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Notas Mias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Notas!$E$2:$E$1048576</c:f>
              <c:numCache>
                <c:formatCode>#,##0</c:formatCode>
                <c:ptCount val="1048575"/>
                <c:pt idx="0">
                  <c:v>26047</c:v>
                </c:pt>
              </c:numCache>
            </c:numRef>
          </c:xVal>
          <c:yVal>
            <c:numRef>
              <c:f>Notas!$B$2:$B$1048576</c:f>
              <c:numCache>
                <c:formatCode>0</c:formatCode>
                <c:ptCount val="1048575"/>
                <c:pt idx="0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A5-4467-8ED4-543DF582CB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6846536"/>
        <c:axId val="1256847520"/>
      </c:scatterChart>
      <c:valAx>
        <c:axId val="1256846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56847520"/>
        <c:crosses val="autoZero"/>
        <c:crossBetween val="midCat"/>
      </c:valAx>
      <c:valAx>
        <c:axId val="1256847520"/>
        <c:scaling>
          <c:orientation val="minMax"/>
          <c:max val="10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56846536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Notas FA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Notas!$E$2:$E$1048576</c:f>
              <c:numCache>
                <c:formatCode>#,##0</c:formatCode>
                <c:ptCount val="1048575"/>
                <c:pt idx="0">
                  <c:v>26047</c:v>
                </c:pt>
              </c:numCache>
            </c:numRef>
          </c:xVal>
          <c:yVal>
            <c:numRef>
              <c:f>Notas!$C$2:$C$1048576</c:f>
              <c:numCache>
                <c:formatCode>General</c:formatCode>
                <c:ptCount val="1048575"/>
                <c:pt idx="0">
                  <c:v>5.4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A6-4E6F-8425-C8557A6B4C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6846536"/>
        <c:axId val="1256847520"/>
      </c:scatterChart>
      <c:valAx>
        <c:axId val="1256846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56847520"/>
        <c:crosses val="autoZero"/>
        <c:crossBetween val="midCat"/>
      </c:valAx>
      <c:valAx>
        <c:axId val="1256847520"/>
        <c:scaling>
          <c:orientation val="minMax"/>
          <c:max val="10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56846536"/>
        <c:crosses val="autoZero"/>
        <c:crossBetween val="midCat"/>
        <c:majorUnit val="1"/>
        <c:minorUnit val="0.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38100</xdr:rowOff>
    </xdr:from>
    <xdr:to>
      <xdr:col>6</xdr:col>
      <xdr:colOff>571499</xdr:colOff>
      <xdr:row>26</xdr:row>
      <xdr:rowOff>122464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4EB60FC-5C97-4C16-A4D6-2F06949CFE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26</xdr:row>
      <xdr:rowOff>108857</xdr:rowOff>
    </xdr:from>
    <xdr:to>
      <xdr:col>8</xdr:col>
      <xdr:colOff>655543</xdr:colOff>
      <xdr:row>41</xdr:row>
      <xdr:rowOff>46944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16BC182-E023-4129-8A63-43592005A7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18</xdr:row>
      <xdr:rowOff>9525</xdr:rowOff>
    </xdr:from>
    <xdr:to>
      <xdr:col>16</xdr:col>
      <xdr:colOff>114714</xdr:colOff>
      <xdr:row>32</xdr:row>
      <xdr:rowOff>119683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F62B3F7-CB7B-4BFF-A571-B2F661EDC0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723900</xdr:colOff>
      <xdr:row>0</xdr:row>
      <xdr:rowOff>0</xdr:rowOff>
    </xdr:from>
    <xdr:to>
      <xdr:col>16</xdr:col>
      <xdr:colOff>85725</xdr:colOff>
      <xdr:row>14</xdr:row>
      <xdr:rowOff>9525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D739B3C5-623F-4C54-9897-72C78E15DC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9525</xdr:colOff>
      <xdr:row>32</xdr:row>
      <xdr:rowOff>123825</xdr:rowOff>
    </xdr:from>
    <xdr:to>
      <xdr:col>16</xdr:col>
      <xdr:colOff>114714</xdr:colOff>
      <xdr:row>47</xdr:row>
      <xdr:rowOff>43483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D90FDD64-9966-4DBF-B9B0-D21772B844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</xdr:row>
      <xdr:rowOff>47625</xdr:rowOff>
    </xdr:from>
    <xdr:to>
      <xdr:col>13</xdr:col>
      <xdr:colOff>209550</xdr:colOff>
      <xdr:row>18</xdr:row>
      <xdr:rowOff>23812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5E74C56-062B-4398-8500-B30EF65C27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9526</xdr:colOff>
      <xdr:row>18</xdr:row>
      <xdr:rowOff>33336</xdr:rowOff>
    </xdr:from>
    <xdr:to>
      <xdr:col>13</xdr:col>
      <xdr:colOff>228601</xdr:colOff>
      <xdr:row>34</xdr:row>
      <xdr:rowOff>114299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698CDF21-1A48-4507-979A-DF1AB4C890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419100</xdr:colOff>
      <xdr:row>35</xdr:row>
      <xdr:rowOff>90487</xdr:rowOff>
    </xdr:from>
    <xdr:to>
      <xdr:col>12</xdr:col>
      <xdr:colOff>752475</xdr:colOff>
      <xdr:row>49</xdr:row>
      <xdr:rowOff>166687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216B11F9-7C59-439A-9CFD-FC374C7451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5</xdr:row>
      <xdr:rowOff>0</xdr:rowOff>
    </xdr:from>
    <xdr:to>
      <xdr:col>18</xdr:col>
      <xdr:colOff>124239</xdr:colOff>
      <xdr:row>19</xdr:row>
      <xdr:rowOff>110158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B73CBD3-08DE-480D-8D5B-C899363427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47625</xdr:colOff>
      <xdr:row>19</xdr:row>
      <xdr:rowOff>114300</xdr:rowOff>
    </xdr:from>
    <xdr:to>
      <xdr:col>18</xdr:col>
      <xdr:colOff>152814</xdr:colOff>
      <xdr:row>34</xdr:row>
      <xdr:rowOff>33958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C979AE5-BFDA-49F4-8217-9209AA948D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4</xdr:row>
      <xdr:rowOff>28575</xdr:rowOff>
    </xdr:from>
    <xdr:to>
      <xdr:col>10</xdr:col>
      <xdr:colOff>295275</xdr:colOff>
      <xdr:row>21</xdr:row>
      <xdr:rowOff>85725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7372953-6E0D-41C7-B6F2-3913FE4CFA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247650</xdr:colOff>
      <xdr:row>4</xdr:row>
      <xdr:rowOff>19050</xdr:rowOff>
    </xdr:from>
    <xdr:to>
      <xdr:col>17</xdr:col>
      <xdr:colOff>533400</xdr:colOff>
      <xdr:row>21</xdr:row>
      <xdr:rowOff>76200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80F0F191-789C-4468-B34A-D229BC4A27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8E77D8-C91F-4F8B-8288-E3F750D0DE1E}" name="Tabla1" displayName="Tabla1" ref="A1:L1048576" totalsRowShown="0" tableBorderDxfId="10">
  <autoFilter ref="A1:L1048576" xr:uid="{B7E8E3F6-4A56-4C38-9CDA-83612E98463A}"/>
  <tableColumns count="12">
    <tableColumn id="12" xr3:uid="{0AB4C432-387A-4CA4-B057-810DBFBD7743}" name="Id" dataDxfId="2"/>
    <tableColumn id="1" xr3:uid="{D4B468C3-7CDA-4F31-9638-09A527779C87}" name="Mia" dataDxfId="9"/>
    <tableColumn id="2" xr3:uid="{65EE12B7-2552-4910-A353-7AE48A3D7AA6}" name="FA"/>
    <tableColumn id="3" xr3:uid="{1D6E5D7A-6668-40F4-BA00-3A91CC9AC5BF}" name="Duracion" dataDxfId="8"/>
    <tableColumn id="4" xr3:uid="{E8F61A2B-CC2B-4DF4-AE8C-8C20147ABC40}" name="Visionados" dataDxfId="7"/>
    <tableColumn id="5" xr3:uid="{FF19B5AE-C56B-4CA5-B812-840E5C110430}" name="FA redondeo"/>
    <tableColumn id="6" xr3:uid="{20BAA72D-A773-488D-B544-DAD2EF762D99}" name="Diferencia"/>
    <tableColumn id="7" xr3:uid="{E40D682E-5136-4AEB-BEE2-B6B87967AFB0}" name="Diferencia abs"/>
    <tableColumn id="8" xr3:uid="{7FF8C3DD-322A-4235-83BB-7D30EE81A4BF}" name="Me ha gustado más" dataDxfId="6">
      <calculatedColumnFormula>IF($G2&gt;0,1,0.1)</calculatedColumnFormula>
    </tableColumn>
    <tableColumn id="9" xr3:uid="{C6FE0FC6-41FF-42DC-95D7-3BA16482D743}" name="Mia + ruido" dataDxfId="5"/>
    <tableColumn id="10" xr3:uid="{1D5E088C-37BD-4B8F-BD0A-602AB1027E68}" name="Mia reescalado" dataDxfId="4"/>
    <tableColumn id="11" xr3:uid="{19C47E50-9952-473E-A08A-65D82E3962A6}" name="FA reescalado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3B0C1-9812-4468-A745-94BA8D5548CD}">
  <dimension ref="A1:AC165"/>
  <sheetViews>
    <sheetView tabSelected="1" zoomScale="85" zoomScaleNormal="85" workbookViewId="0">
      <selection activeCell="O8" sqref="O8"/>
    </sheetView>
  </sheetViews>
  <sheetFormatPr baseColWidth="10" defaultRowHeight="15" x14ac:dyDescent="0.25"/>
  <cols>
    <col min="1" max="1" width="7.7109375" style="19" customWidth="1"/>
    <col min="2" max="2" width="6.42578125" style="19" customWidth="1"/>
    <col min="3" max="3" width="6.140625" customWidth="1"/>
    <col min="4" max="4" width="10.5703125" style="73" customWidth="1"/>
    <col min="5" max="5" width="12.140625" style="73" customWidth="1"/>
    <col min="6" max="6" width="13.5703125" customWidth="1"/>
    <col min="7" max="7" width="11.7109375" customWidth="1"/>
    <col min="8" max="8" width="9.42578125" customWidth="1"/>
    <col min="9" max="9" width="10.5703125" style="80" customWidth="1"/>
    <col min="10" max="10" width="7.42578125" style="30" customWidth="1"/>
    <col min="11" max="11" width="15.85546875" style="18" customWidth="1"/>
    <col min="12" max="12" width="14.85546875" style="78" customWidth="1"/>
    <col min="13" max="13" width="8.28515625" customWidth="1"/>
    <col min="14" max="14" width="9.42578125" customWidth="1"/>
    <col min="15" max="15" width="8.28515625" customWidth="1"/>
    <col min="16" max="16" width="8.85546875" customWidth="1"/>
    <col min="23" max="23" width="4.7109375" customWidth="1"/>
    <col min="24" max="24" width="10.85546875" customWidth="1"/>
    <col min="28" max="28" width="17.5703125" customWidth="1"/>
    <col min="29" max="29" width="11.85546875" customWidth="1"/>
    <col min="36" max="36" width="7.5703125" customWidth="1"/>
  </cols>
  <sheetData>
    <row r="1" spans="1:29" x14ac:dyDescent="0.25">
      <c r="A1" t="s">
        <v>61</v>
      </c>
      <c r="B1" t="s">
        <v>50</v>
      </c>
      <c r="C1" t="s">
        <v>51</v>
      </c>
      <c r="D1" t="s">
        <v>52</v>
      </c>
      <c r="E1" s="73" t="s">
        <v>53</v>
      </c>
      <c r="F1" t="s">
        <v>54</v>
      </c>
      <c r="G1" t="s">
        <v>55</v>
      </c>
      <c r="H1" t="s">
        <v>56</v>
      </c>
      <c r="I1" s="31" t="s">
        <v>58</v>
      </c>
      <c r="J1" t="s">
        <v>57</v>
      </c>
      <c r="K1" s="18" t="s">
        <v>59</v>
      </c>
      <c r="L1" s="78" t="s">
        <v>60</v>
      </c>
    </row>
    <row r="2" spans="1:29" x14ac:dyDescent="0.25">
      <c r="A2" s="19">
        <v>555555</v>
      </c>
      <c r="B2" s="19">
        <v>2</v>
      </c>
      <c r="C2">
        <v>5.4</v>
      </c>
      <c r="D2" s="73">
        <v>130</v>
      </c>
      <c r="E2" s="73">
        <v>26047</v>
      </c>
      <c r="F2">
        <f t="shared" ref="F2" si="0">ROUND($C2*2, 0)/2</f>
        <v>5.5</v>
      </c>
      <c r="G2">
        <f>B2-C2</f>
        <v>-3.4000000000000004</v>
      </c>
      <c r="H2">
        <f t="shared" ref="H2" si="1">ABS(G2)</f>
        <v>3.4000000000000004</v>
      </c>
      <c r="I2" s="80">
        <f t="shared" ref="I2" si="2">IF($G2&gt;0,1,0.1)</f>
        <v>0.1</v>
      </c>
      <c r="J2" s="30">
        <f t="shared" ref="J2" ca="1" si="3">B2+RAND()-0.5</f>
        <v>2.1978834288391433</v>
      </c>
      <c r="K2" s="17">
        <f t="shared" ref="K2" si="4">(B2-1)*10/9</f>
        <v>1.1111111111111112</v>
      </c>
      <c r="L2" s="79">
        <f t="shared" ref="L2" si="5">(C2-1)*10/9</f>
        <v>4.8888888888888893</v>
      </c>
      <c r="M2" s="27"/>
      <c r="N2" s="27"/>
      <c r="O2" s="27"/>
      <c r="P2" s="27"/>
      <c r="T2" s="55"/>
      <c r="U2" s="55"/>
    </row>
    <row r="3" spans="1:29" x14ac:dyDescent="0.25">
      <c r="M3" s="29"/>
      <c r="N3" s="29"/>
      <c r="O3" s="29"/>
      <c r="P3" s="27"/>
      <c r="T3" s="55"/>
      <c r="U3" s="55"/>
    </row>
    <row r="4" spans="1:29" x14ac:dyDescent="0.25">
      <c r="M4" s="29"/>
      <c r="N4" s="29"/>
      <c r="O4" s="29"/>
      <c r="P4" s="27"/>
      <c r="T4" s="56"/>
      <c r="U4" s="56"/>
    </row>
    <row r="5" spans="1:29" x14ac:dyDescent="0.25">
      <c r="M5" s="27"/>
      <c r="N5" s="27"/>
      <c r="O5" s="27"/>
      <c r="P5" s="27"/>
      <c r="T5" s="56"/>
      <c r="U5" s="56"/>
      <c r="AC5" s="1"/>
    </row>
    <row r="6" spans="1:29" x14ac:dyDescent="0.25">
      <c r="M6" s="27"/>
      <c r="N6" s="27"/>
      <c r="O6" s="27"/>
      <c r="P6" s="27"/>
      <c r="T6" s="56"/>
      <c r="U6" s="56"/>
    </row>
    <row r="7" spans="1:29" x14ac:dyDescent="0.25">
      <c r="M7" s="27"/>
      <c r="N7" s="27"/>
      <c r="O7" s="27"/>
      <c r="P7" s="27"/>
      <c r="T7" s="56"/>
      <c r="U7" s="56"/>
    </row>
    <row r="8" spans="1:29" x14ac:dyDescent="0.25">
      <c r="M8" s="27"/>
      <c r="N8" s="27"/>
      <c r="O8" s="27"/>
      <c r="P8" s="27"/>
      <c r="T8" s="56"/>
      <c r="U8" s="56"/>
    </row>
    <row r="9" spans="1:29" x14ac:dyDescent="0.25">
      <c r="M9" s="27"/>
      <c r="N9" s="27"/>
      <c r="O9" s="27"/>
      <c r="P9" s="27"/>
      <c r="T9" s="56"/>
      <c r="U9" s="56"/>
    </row>
    <row r="10" spans="1:29" x14ac:dyDescent="0.25">
      <c r="M10" s="27"/>
      <c r="N10" s="27"/>
      <c r="O10" s="27"/>
      <c r="P10" s="27"/>
      <c r="T10" s="56"/>
      <c r="U10" s="56"/>
    </row>
    <row r="11" spans="1:29" x14ac:dyDescent="0.25">
      <c r="M11" s="27"/>
      <c r="N11" s="27"/>
      <c r="O11" s="27"/>
      <c r="P11" s="27"/>
      <c r="T11" s="56"/>
      <c r="U11" s="56"/>
    </row>
    <row r="12" spans="1:29" x14ac:dyDescent="0.25">
      <c r="M12" s="27"/>
      <c r="N12" s="27"/>
      <c r="O12" s="27"/>
      <c r="P12" s="27"/>
      <c r="T12" s="56"/>
      <c r="U12" s="56"/>
    </row>
    <row r="13" spans="1:29" x14ac:dyDescent="0.25">
      <c r="M13" s="27"/>
      <c r="N13" s="27"/>
      <c r="O13" s="27"/>
      <c r="P13" s="27"/>
      <c r="T13" s="56"/>
      <c r="U13" s="56"/>
    </row>
    <row r="14" spans="1:29" x14ac:dyDescent="0.25">
      <c r="M14" s="27"/>
      <c r="N14" s="27"/>
      <c r="O14" s="27"/>
      <c r="P14" s="27"/>
      <c r="T14" s="56"/>
      <c r="U14" s="56"/>
    </row>
    <row r="15" spans="1:29" x14ac:dyDescent="0.25">
      <c r="M15" s="27"/>
      <c r="N15" s="27"/>
      <c r="O15" s="27"/>
      <c r="P15" s="27"/>
      <c r="T15" s="56"/>
      <c r="U15" s="56"/>
    </row>
    <row r="16" spans="1:29" x14ac:dyDescent="0.25">
      <c r="M16" s="27"/>
      <c r="N16" s="27"/>
      <c r="O16" s="27"/>
      <c r="P16" s="27"/>
      <c r="T16" s="56"/>
      <c r="U16" s="56"/>
    </row>
    <row r="17" spans="20:21" x14ac:dyDescent="0.25">
      <c r="T17" s="56"/>
      <c r="U17" s="56"/>
    </row>
    <row r="18" spans="20:21" x14ac:dyDescent="0.25">
      <c r="T18" s="56"/>
      <c r="U18" s="56"/>
    </row>
    <row r="19" spans="20:21" x14ac:dyDescent="0.25">
      <c r="T19" s="56"/>
      <c r="U19" s="56"/>
    </row>
    <row r="20" spans="20:21" x14ac:dyDescent="0.25">
      <c r="T20" s="56"/>
      <c r="U20" s="56"/>
    </row>
    <row r="21" spans="20:21" x14ac:dyDescent="0.25">
      <c r="T21" s="56"/>
      <c r="U21" s="56"/>
    </row>
    <row r="22" spans="20:21" x14ac:dyDescent="0.25">
      <c r="T22" s="56"/>
      <c r="U22" s="56"/>
    </row>
    <row r="23" spans="20:21" x14ac:dyDescent="0.25">
      <c r="T23" s="56"/>
      <c r="U23" s="56"/>
    </row>
    <row r="24" spans="20:21" x14ac:dyDescent="0.25">
      <c r="T24" s="56"/>
      <c r="U24" s="56"/>
    </row>
    <row r="25" spans="20:21" x14ac:dyDescent="0.25">
      <c r="T25" s="56"/>
      <c r="U25" s="56"/>
    </row>
    <row r="26" spans="20:21" x14ac:dyDescent="0.25">
      <c r="T26" s="56"/>
      <c r="U26" s="56"/>
    </row>
    <row r="27" spans="20:21" x14ac:dyDescent="0.25">
      <c r="T27" s="56"/>
      <c r="U27" s="56"/>
    </row>
    <row r="28" spans="20:21" x14ac:dyDescent="0.25">
      <c r="T28" s="56"/>
      <c r="U28" s="56"/>
    </row>
    <row r="29" spans="20:21" x14ac:dyDescent="0.25">
      <c r="T29" s="56"/>
      <c r="U29" s="56"/>
    </row>
    <row r="30" spans="20:21" x14ac:dyDescent="0.25">
      <c r="T30" s="56"/>
      <c r="U30" s="56"/>
    </row>
    <row r="31" spans="20:21" x14ac:dyDescent="0.25">
      <c r="T31" s="56"/>
      <c r="U31" s="56"/>
    </row>
    <row r="32" spans="20:21" x14ac:dyDescent="0.25">
      <c r="T32" s="56"/>
      <c r="U32" s="56"/>
    </row>
    <row r="33" spans="20:21" x14ac:dyDescent="0.25">
      <c r="T33" s="56"/>
      <c r="U33" s="56"/>
    </row>
    <row r="34" spans="20:21" x14ac:dyDescent="0.25">
      <c r="T34" s="56"/>
      <c r="U34" s="56"/>
    </row>
    <row r="35" spans="20:21" x14ac:dyDescent="0.25">
      <c r="T35" s="56"/>
      <c r="U35" s="56"/>
    </row>
    <row r="36" spans="20:21" x14ac:dyDescent="0.25">
      <c r="T36" s="56"/>
      <c r="U36" s="56"/>
    </row>
    <row r="37" spans="20:21" x14ac:dyDescent="0.25">
      <c r="T37" s="56"/>
      <c r="U37" s="56"/>
    </row>
    <row r="38" spans="20:21" x14ac:dyDescent="0.25">
      <c r="T38" s="56"/>
      <c r="U38" s="56"/>
    </row>
    <row r="39" spans="20:21" x14ac:dyDescent="0.25">
      <c r="T39" s="56"/>
      <c r="U39" s="56"/>
    </row>
    <row r="40" spans="20:21" x14ac:dyDescent="0.25">
      <c r="T40" s="56"/>
      <c r="U40" s="56"/>
    </row>
    <row r="41" spans="20:21" x14ac:dyDescent="0.25">
      <c r="T41" s="56"/>
      <c r="U41" s="56"/>
    </row>
    <row r="42" spans="20:21" x14ac:dyDescent="0.25">
      <c r="T42" s="56"/>
      <c r="U42" s="56"/>
    </row>
    <row r="43" spans="20:21" x14ac:dyDescent="0.25">
      <c r="T43" s="55"/>
      <c r="U43" s="55"/>
    </row>
    <row r="44" spans="20:21" x14ac:dyDescent="0.25">
      <c r="T44" s="55"/>
      <c r="U44" s="55"/>
    </row>
    <row r="45" spans="20:21" x14ac:dyDescent="0.25">
      <c r="T45" s="55"/>
      <c r="U45" s="55"/>
    </row>
    <row r="46" spans="20:21" x14ac:dyDescent="0.25">
      <c r="T46" s="55"/>
      <c r="U46" s="55"/>
    </row>
    <row r="47" spans="20:21" x14ac:dyDescent="0.25">
      <c r="T47" s="55"/>
      <c r="U47" s="55"/>
    </row>
    <row r="48" spans="20:21" x14ac:dyDescent="0.25">
      <c r="T48" s="55"/>
      <c r="U48" s="55"/>
    </row>
    <row r="49" spans="20:21" x14ac:dyDescent="0.25">
      <c r="T49" s="55"/>
      <c r="U49" s="55"/>
    </row>
    <row r="164" ht="15.75" customHeight="1" x14ac:dyDescent="0.25"/>
    <row r="165" ht="15.75" customHeight="1" x14ac:dyDescent="0.25"/>
  </sheetData>
  <conditionalFormatting sqref="I1:I1048576">
    <cfRule type="cellIs" dxfId="1" priority="4" operator="equal">
      <formula>0.1</formula>
    </cfRule>
    <cfRule type="cellIs" dxfId="0" priority="5" operator="equal">
      <formula>1</formula>
    </cfRule>
  </conditionalFormatting>
  <conditionalFormatting sqref="K1:K1048576">
    <cfRule type="colorScale" priority="3">
      <colorScale>
        <cfvo type="num" val="0"/>
        <cfvo type="num" val="5"/>
        <cfvo type="num" val="10"/>
        <color rgb="FFFF0000"/>
        <color rgb="FFFFFF00"/>
        <color rgb="FF00FF00"/>
      </colorScale>
    </cfRule>
  </conditionalFormatting>
  <conditionalFormatting sqref="L1:L1048576">
    <cfRule type="colorScale" priority="2">
      <colorScale>
        <cfvo type="num" val="0"/>
        <cfvo type="num" val="5"/>
        <cfvo type="num" val="10"/>
        <color rgb="FFFF0000"/>
        <color rgb="FFFFFF00"/>
        <color rgb="FF00FF00"/>
      </colorScale>
    </cfRule>
  </conditionalFormatting>
  <conditionalFormatting sqref="H1:H1048576">
    <cfRule type="colorScale" priority="1">
      <colorScale>
        <cfvo type="min"/>
        <cfvo type="max"/>
        <color rgb="FFFFFFFF"/>
        <color rgb="FF7030A0"/>
      </colorScale>
    </cfRule>
  </conditionalFormatting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B3239-3940-4304-AFA5-0EAD5EBD48F8}">
  <dimension ref="A1"/>
  <sheetViews>
    <sheetView zoomScale="70" zoomScaleNormal="70" workbookViewId="0">
      <selection activeCell="J15" sqref="J15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BA417-2657-4346-BEEB-218044450273}">
  <dimension ref="A1:N20"/>
  <sheetViews>
    <sheetView zoomScale="85" zoomScaleNormal="85" workbookViewId="0">
      <selection activeCell="B11" sqref="B11"/>
    </sheetView>
  </sheetViews>
  <sheetFormatPr baseColWidth="10" defaultRowHeight="15" x14ac:dyDescent="0.25"/>
  <cols>
    <col min="1" max="1" width="23.7109375" customWidth="1"/>
    <col min="5" max="5" width="11.42578125" style="27"/>
    <col min="12" max="12" width="11.85546875" bestFit="1" customWidth="1"/>
    <col min="15" max="15" width="13" customWidth="1"/>
  </cols>
  <sheetData>
    <row r="1" spans="1:14" x14ac:dyDescent="0.25">
      <c r="A1" t="s">
        <v>11</v>
      </c>
      <c r="B1">
        <f>COUNT(Notas!B:B)</f>
        <v>1</v>
      </c>
      <c r="G1" s="27"/>
    </row>
    <row r="2" spans="1:14" x14ac:dyDescent="0.25">
      <c r="A2" t="s">
        <v>0</v>
      </c>
      <c r="B2" s="7">
        <f>AVERAGE(Tabla1[FA])</f>
        <v>5.4</v>
      </c>
      <c r="C2" t="s">
        <v>8</v>
      </c>
      <c r="D2" s="8">
        <f>STDEVP(Notas!C:C)</f>
        <v>0</v>
      </c>
      <c r="E2" s="28" t="s">
        <v>17</v>
      </c>
      <c r="F2" s="8">
        <f>_xlfn.VAR.P(Notas!C:C)</f>
        <v>0</v>
      </c>
      <c r="G2" s="28" t="s">
        <v>20</v>
      </c>
      <c r="H2" s="7">
        <f>MEDIAN(Notas!C:C)</f>
        <v>5.4</v>
      </c>
      <c r="I2" s="29" t="s">
        <v>22</v>
      </c>
      <c r="J2" s="7" t="e">
        <f>SKEW(Notas!C:C)</f>
        <v>#DIV/0!</v>
      </c>
      <c r="K2" t="s">
        <v>25</v>
      </c>
      <c r="L2" s="58">
        <f>MAX(Notas!C:C)</f>
        <v>5.4</v>
      </c>
      <c r="M2" t="s">
        <v>26</v>
      </c>
      <c r="N2" s="58">
        <f>MIN(Notas!C:C)</f>
        <v>5.4</v>
      </c>
    </row>
    <row r="3" spans="1:14" x14ac:dyDescent="0.25">
      <c r="A3" t="s">
        <v>1</v>
      </c>
      <c r="B3" s="5">
        <f>AVERAGE(Tabla1[Mia])</f>
        <v>2</v>
      </c>
      <c r="C3" t="s">
        <v>8</v>
      </c>
      <c r="D3" s="6">
        <f>STDEVP(NotasMias)</f>
        <v>0</v>
      </c>
      <c r="E3" s="28" t="s">
        <v>17</v>
      </c>
      <c r="F3" s="6">
        <f>_xlfn.VAR.P(NotasMias)</f>
        <v>0</v>
      </c>
      <c r="G3" s="28" t="s">
        <v>20</v>
      </c>
      <c r="H3" s="5">
        <f>MEDIAN(NotasMias)</f>
        <v>2</v>
      </c>
      <c r="I3" s="29" t="s">
        <v>22</v>
      </c>
      <c r="J3" s="5" t="e">
        <f>SKEW(NotasMias)</f>
        <v>#DIV/0!</v>
      </c>
      <c r="K3" t="s">
        <v>25</v>
      </c>
      <c r="L3" s="59">
        <f>MAX(NotasMias)</f>
        <v>2</v>
      </c>
      <c r="M3" t="s">
        <v>26</v>
      </c>
      <c r="N3" s="59">
        <f>MIN(NotasMias)</f>
        <v>2</v>
      </c>
    </row>
    <row r="4" spans="1:14" x14ac:dyDescent="0.25">
      <c r="A4" t="s">
        <v>2</v>
      </c>
      <c r="B4" s="1">
        <f>AVERAGE(Notas!G:G)</f>
        <v>-3.4000000000000004</v>
      </c>
      <c r="G4" s="27"/>
    </row>
    <row r="5" spans="1:14" x14ac:dyDescent="0.25">
      <c r="A5" t="s">
        <v>3</v>
      </c>
      <c r="B5" s="1">
        <f>AVERAGE(Tabla1[Diferencia abs])</f>
        <v>3.4000000000000004</v>
      </c>
      <c r="C5" t="s">
        <v>8</v>
      </c>
      <c r="D5" s="1">
        <f>STDEVP(Tabla1[Diferencia abs])</f>
        <v>0</v>
      </c>
      <c r="E5" s="29"/>
      <c r="F5" s="1"/>
      <c r="G5" s="29">
        <f>AVERAGE(Notas!G:G)</f>
        <v>-3.4000000000000004</v>
      </c>
    </row>
    <row r="6" spans="1:14" x14ac:dyDescent="0.25">
      <c r="G6">
        <f>MEDIAN(Notas!G:G)</f>
        <v>-3.4000000000000004</v>
      </c>
    </row>
    <row r="7" spans="1:14" x14ac:dyDescent="0.25">
      <c r="A7" t="s">
        <v>4</v>
      </c>
      <c r="B7">
        <f>MAX(Tabla1[Diferencia abs])</f>
        <v>3.4000000000000004</v>
      </c>
      <c r="C7" t="s">
        <v>23</v>
      </c>
      <c r="D7" s="32" t="e">
        <f>CORREL(Notas!B:B,Notas!C:C)</f>
        <v>#DIV/0!</v>
      </c>
      <c r="E7" s="54"/>
      <c r="F7" s="32"/>
    </row>
    <row r="8" spans="1:14" x14ac:dyDescent="0.25">
      <c r="A8" t="s">
        <v>5</v>
      </c>
      <c r="B8">
        <f>MIN(Tabla1[Diferencia])</f>
        <v>-3.4000000000000004</v>
      </c>
    </row>
    <row r="9" spans="1:14" x14ac:dyDescent="0.25">
      <c r="A9" t="s">
        <v>6</v>
      </c>
      <c r="B9">
        <f>MAX(Tabla1[Diferencia])</f>
        <v>-3.4000000000000004</v>
      </c>
    </row>
    <row r="10" spans="1:14" x14ac:dyDescent="0.25">
      <c r="A10" t="s">
        <v>10</v>
      </c>
      <c r="B10" s="2">
        <f>AVERAGE(Tabla1[Me ha gustado más])</f>
        <v>0.1</v>
      </c>
    </row>
    <row r="13" spans="1:14" x14ac:dyDescent="0.25">
      <c r="F13" s="27"/>
      <c r="G13" s="27"/>
    </row>
    <row r="14" spans="1:14" x14ac:dyDescent="0.25">
      <c r="A14" s="12" t="s">
        <v>13</v>
      </c>
      <c r="F14" s="27" t="s">
        <v>45</v>
      </c>
      <c r="G14" s="77">
        <v>7.8</v>
      </c>
    </row>
    <row r="15" spans="1:14" x14ac:dyDescent="0.25">
      <c r="A15" s="13" t="s">
        <v>14</v>
      </c>
      <c r="B15" s="15">
        <f>(Estadística!B2-1)*10/9</f>
        <v>4.8888888888888893</v>
      </c>
      <c r="C15" s="14" t="s">
        <v>8</v>
      </c>
      <c r="D15" s="15">
        <f>STDEVP(Notas!L:L)</f>
        <v>0</v>
      </c>
      <c r="E15" s="66"/>
      <c r="F15" s="66" t="s">
        <v>46</v>
      </c>
      <c r="G15" s="75">
        <f>COUNTIF(NotasFA,"&lt;="&amp;G14)/Pelis</f>
        <v>1</v>
      </c>
    </row>
    <row r="16" spans="1:14" x14ac:dyDescent="0.25">
      <c r="A16" s="9" t="s">
        <v>1</v>
      </c>
      <c r="B16" s="16">
        <f>(Estadística!B3-1)*10/9</f>
        <v>1.1111111111111112</v>
      </c>
      <c r="C16" s="10" t="s">
        <v>8</v>
      </c>
      <c r="D16" s="11">
        <f>STDEVP(Notas!K:K)</f>
        <v>0</v>
      </c>
      <c r="E16" s="66"/>
      <c r="F16" s="66" t="s">
        <v>47</v>
      </c>
      <c r="G16" s="76">
        <f>COUNTIF(NotasMias,"&lt;="&amp;G14)/Pelis</f>
        <v>1</v>
      </c>
    </row>
    <row r="17" spans="6:7" x14ac:dyDescent="0.25">
      <c r="F17" s="27"/>
      <c r="G17" s="27"/>
    </row>
    <row r="18" spans="6:7" x14ac:dyDescent="0.25">
      <c r="F18" s="27"/>
      <c r="G18" s="27"/>
    </row>
    <row r="19" spans="6:7" x14ac:dyDescent="0.25">
      <c r="F19" s="27"/>
      <c r="G19" s="27"/>
    </row>
    <row r="20" spans="6:7" x14ac:dyDescent="0.25">
      <c r="F20" s="27"/>
      <c r="G20" s="27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57686-4157-457C-B9AD-66FD2970B9E3}">
  <dimension ref="B2:S40"/>
  <sheetViews>
    <sheetView workbookViewId="0">
      <selection activeCell="F32" sqref="F32"/>
    </sheetView>
  </sheetViews>
  <sheetFormatPr baseColWidth="10" defaultRowHeight="15" x14ac:dyDescent="0.25"/>
  <cols>
    <col min="5" max="5" width="11.85546875" bestFit="1" customWidth="1"/>
    <col min="19" max="19" width="8" customWidth="1"/>
  </cols>
  <sheetData>
    <row r="2" spans="2:6" ht="15.75" thickBot="1" x14ac:dyDescent="0.3"/>
    <row r="3" spans="2:6" ht="15.75" thickBot="1" x14ac:dyDescent="0.3">
      <c r="B3" s="39" t="s">
        <v>7</v>
      </c>
      <c r="C3" s="38" t="s">
        <v>9</v>
      </c>
      <c r="D3" s="40" t="s">
        <v>12</v>
      </c>
      <c r="E3" s="39" t="s">
        <v>18</v>
      </c>
      <c r="F3" s="41" t="s">
        <v>19</v>
      </c>
    </row>
    <row r="4" spans="2:6" x14ac:dyDescent="0.25">
      <c r="B4" s="20">
        <v>1</v>
      </c>
      <c r="C4" s="21">
        <f t="shared" ref="C4:C13" si="0">COUNTIF(NotasMias,$B4)</f>
        <v>0</v>
      </c>
      <c r="D4" s="25">
        <f>COUNTIF(NotasFA,"&lt;=($B6+0,5)")</f>
        <v>0</v>
      </c>
      <c r="E4" s="43" t="e">
        <f>_xlfn.NORM.DIST(B4,MediaMia,SQRT(VarMia),TRUE)*Pelis</f>
        <v>#NUM!</v>
      </c>
      <c r="F4" s="42" t="e">
        <f>_xlfn.NORM.DIST(B4,MediaFA,SQRT(VarFA),TRUE)*Pelis</f>
        <v>#NUM!</v>
      </c>
    </row>
    <row r="5" spans="2:6" x14ac:dyDescent="0.25">
      <c r="B5" s="22">
        <v>2</v>
      </c>
      <c r="C5" s="3">
        <f t="shared" si="0"/>
        <v>1</v>
      </c>
      <c r="D5" s="4">
        <f>COUNTIF(NotasFA,"&gt;1,5")-COUNTIF(Notas!F:F,"&gt;2,5")</f>
        <v>0</v>
      </c>
      <c r="E5" s="44" t="e">
        <f t="shared" ref="E5:E13" si="1">(_xlfn.NORM.DIST(B5,MediaMia,SQRT(VarMia),TRUE)-_xlfn.NORM.DIST(B4,MediaMia,SQRT(VarMia),TRUE))*Pelis</f>
        <v>#NUM!</v>
      </c>
      <c r="F5" s="33" t="e">
        <f t="shared" ref="F5:F13" si="2">(_xlfn.NORM.DIST(B5,MediaFA,SQRT(VarFA),TRUE)-_xlfn.NORM.DIST(B4,MediaFA,SQRT(VarFA),TRUE))*Pelis</f>
        <v>#NUM!</v>
      </c>
    </row>
    <row r="6" spans="2:6" x14ac:dyDescent="0.25">
      <c r="B6" s="22">
        <v>3</v>
      </c>
      <c r="C6" s="3">
        <f t="shared" si="0"/>
        <v>0</v>
      </c>
      <c r="D6" s="4">
        <f>COUNTIF(Notas!F:F,"&gt;2,5")-COUNTIF(Notas!F:F,"&gt;3,5")</f>
        <v>0</v>
      </c>
      <c r="E6" s="44" t="e">
        <f t="shared" si="1"/>
        <v>#NUM!</v>
      </c>
      <c r="F6" s="33" t="e">
        <f t="shared" si="2"/>
        <v>#NUM!</v>
      </c>
    </row>
    <row r="7" spans="2:6" x14ac:dyDescent="0.25">
      <c r="B7" s="22">
        <v>4</v>
      </c>
      <c r="C7" s="3">
        <f t="shared" si="0"/>
        <v>0</v>
      </c>
      <c r="D7" s="4">
        <f>COUNTIF(Notas!F:F,"&gt;3,5")-COUNTIF(Notas!F:F,"&gt;4,5")</f>
        <v>0</v>
      </c>
      <c r="E7" s="44" t="e">
        <f t="shared" si="1"/>
        <v>#NUM!</v>
      </c>
      <c r="F7" s="33" t="e">
        <f t="shared" si="2"/>
        <v>#NUM!</v>
      </c>
    </row>
    <row r="8" spans="2:6" x14ac:dyDescent="0.25">
      <c r="B8" s="22">
        <v>5</v>
      </c>
      <c r="C8" s="3">
        <f t="shared" si="0"/>
        <v>0</v>
      </c>
      <c r="D8" s="4">
        <f>COUNTIF(Notas!F:F,"&gt;4,5")-COUNTIF(Notas!F:F,"&gt;5,5")</f>
        <v>1</v>
      </c>
      <c r="E8" s="44" t="e">
        <f t="shared" si="1"/>
        <v>#NUM!</v>
      </c>
      <c r="F8" s="33" t="e">
        <f t="shared" si="2"/>
        <v>#NUM!</v>
      </c>
    </row>
    <row r="9" spans="2:6" x14ac:dyDescent="0.25">
      <c r="B9" s="22">
        <v>6</v>
      </c>
      <c r="C9" s="3">
        <f t="shared" si="0"/>
        <v>0</v>
      </c>
      <c r="D9" s="4">
        <f>COUNTIF(Notas!F:F,"&gt;5,5")-COUNTIF(Notas!F:F,"&gt;6,5")</f>
        <v>0</v>
      </c>
      <c r="E9" s="44" t="e">
        <f t="shared" si="1"/>
        <v>#NUM!</v>
      </c>
      <c r="F9" s="33" t="e">
        <f t="shared" si="2"/>
        <v>#NUM!</v>
      </c>
    </row>
    <row r="10" spans="2:6" x14ac:dyDescent="0.25">
      <c r="B10" s="22">
        <v>7</v>
      </c>
      <c r="C10" s="3">
        <f t="shared" si="0"/>
        <v>0</v>
      </c>
      <c r="D10" s="4">
        <f>COUNTIF(Notas!F:F,"&gt;6,5")-COUNTIF(Notas!F:F,"&gt;7,5")</f>
        <v>0</v>
      </c>
      <c r="E10" s="44" t="e">
        <f t="shared" si="1"/>
        <v>#NUM!</v>
      </c>
      <c r="F10" s="33" t="e">
        <f t="shared" si="2"/>
        <v>#NUM!</v>
      </c>
    </row>
    <row r="11" spans="2:6" x14ac:dyDescent="0.25">
      <c r="B11" s="22">
        <v>8</v>
      </c>
      <c r="C11" s="3">
        <f t="shared" si="0"/>
        <v>0</v>
      </c>
      <c r="D11" s="4">
        <f>COUNTIF(Notas!F:F,"&gt;7,5")-COUNTIF(Notas!F:F,"&gt;8,5")</f>
        <v>0</v>
      </c>
      <c r="E11" s="44" t="e">
        <f t="shared" si="1"/>
        <v>#NUM!</v>
      </c>
      <c r="F11" s="33" t="e">
        <f t="shared" si="2"/>
        <v>#NUM!</v>
      </c>
    </row>
    <row r="12" spans="2:6" x14ac:dyDescent="0.25">
      <c r="B12" s="22">
        <v>9</v>
      </c>
      <c r="C12" s="3">
        <f t="shared" si="0"/>
        <v>0</v>
      </c>
      <c r="D12" s="4">
        <f>COUNTIF(Notas!F:F,"&gt;8,5")-COUNTIF(Notas!F:F,"&gt;9,5")</f>
        <v>0</v>
      </c>
      <c r="E12" s="44" t="e">
        <f t="shared" si="1"/>
        <v>#NUM!</v>
      </c>
      <c r="F12" s="33" t="e">
        <f t="shared" si="2"/>
        <v>#NUM!</v>
      </c>
    </row>
    <row r="13" spans="2:6" ht="15.75" thickBot="1" x14ac:dyDescent="0.3">
      <c r="B13" s="23">
        <v>10</v>
      </c>
      <c r="C13" s="24">
        <f t="shared" si="0"/>
        <v>0</v>
      </c>
      <c r="D13" s="26">
        <f>COUNTIF(Notas!F:F,"&gt;9,5")</f>
        <v>0</v>
      </c>
      <c r="E13" s="44" t="e">
        <f t="shared" si="1"/>
        <v>#NUM!</v>
      </c>
      <c r="F13" s="33" t="e">
        <f t="shared" si="2"/>
        <v>#NUM!</v>
      </c>
    </row>
    <row r="14" spans="2:6" x14ac:dyDescent="0.25">
      <c r="E14" s="67" t="e">
        <f>SUM(E4:E13)</f>
        <v>#NUM!</v>
      </c>
      <c r="F14" s="67" t="e">
        <f>SUM(F4:F13)</f>
        <v>#NUM!</v>
      </c>
    </row>
    <row r="18" spans="2:19" ht="15.75" thickBot="1" x14ac:dyDescent="0.3"/>
    <row r="19" spans="2:19" ht="15.75" thickBot="1" x14ac:dyDescent="0.3">
      <c r="B19" s="39" t="s">
        <v>7</v>
      </c>
      <c r="C19" s="38" t="s">
        <v>9</v>
      </c>
      <c r="D19" s="49" t="s">
        <v>12</v>
      </c>
      <c r="E19" s="65" t="s">
        <v>24</v>
      </c>
      <c r="F19" s="40" t="s">
        <v>19</v>
      </c>
    </row>
    <row r="20" spans="2:19" x14ac:dyDescent="0.25">
      <c r="B20" s="20">
        <v>0.5</v>
      </c>
      <c r="C20" s="35">
        <f>C21/2</f>
        <v>0</v>
      </c>
      <c r="D20" s="46">
        <f>COUNTIF(Notas!F:F,Normales!B20)</f>
        <v>0</v>
      </c>
      <c r="E20" s="43" t="e">
        <f>_xlfn.NORM.DIST(B20,MediaMia,SQRT(VarMia),TRUE)*Pelis</f>
        <v>#NUM!</v>
      </c>
      <c r="F20" s="51" t="e">
        <f>_xlfn.NORM.DIST(B20,MediaFA,SQRT(VarFA),TRUE)*Pelis</f>
        <v>#NUM!</v>
      </c>
      <c r="R20" t="s">
        <v>30</v>
      </c>
      <c r="S20" s="32" t="e" cm="1">
        <f t="array" ref="S20">_xlfn.CHISQ.DIST(SUM((C22:C39-E22:E39)^2/E22:E39),18,TRUE)</f>
        <v>#NUM!</v>
      </c>
    </row>
    <row r="21" spans="2:19" x14ac:dyDescent="0.25">
      <c r="B21" s="22">
        <v>1</v>
      </c>
      <c r="C21" s="36">
        <f>COUNTIF(Notas!B:B,B21)/2</f>
        <v>0</v>
      </c>
      <c r="D21" s="47">
        <f>COUNTIF(Notas!F:F,Normales!B21)</f>
        <v>0</v>
      </c>
      <c r="E21" s="44" t="e">
        <f t="shared" ref="E21:E39" si="3">(_xlfn.NORM.DIST(B21,MediaMia,SQRT(VarMia),TRUE)-_xlfn.NORM.DIST(B20,MediaMia,SQRT(VarMia),TRUE))*Pelis</f>
        <v>#NUM!</v>
      </c>
      <c r="F21" s="52" t="e">
        <f t="shared" ref="F21:F39" si="4">(_xlfn.NORM.DIST(B21,MediaFA,SQRT(VarFA),TRUE)-_xlfn.NORM.DIST(B20,MediaFA,SQRT(VarFA),TRUE))*Pelis</f>
        <v>#NUM!</v>
      </c>
      <c r="R21" t="s">
        <v>31</v>
      </c>
      <c r="S21" s="32" t="e" cm="1">
        <f t="array" ref="S21">_xlfn.CHISQ.DIST(SUM((D25:D39-F25:F39)^2/F25:F39),18,TRUE)</f>
        <v>#NUM!</v>
      </c>
    </row>
    <row r="22" spans="2:19" x14ac:dyDescent="0.25">
      <c r="B22" s="22">
        <v>1.5</v>
      </c>
      <c r="C22" s="36">
        <f>(C21+C23)/2</f>
        <v>0.25</v>
      </c>
      <c r="D22" s="47">
        <f>COUNTIF(Notas!F:F,Normales!B22)</f>
        <v>0</v>
      </c>
      <c r="E22" s="44" t="e">
        <f t="shared" si="3"/>
        <v>#NUM!</v>
      </c>
      <c r="F22" s="52" t="e">
        <f t="shared" si="4"/>
        <v>#NUM!</v>
      </c>
    </row>
    <row r="23" spans="2:19" x14ac:dyDescent="0.25">
      <c r="B23" s="22">
        <v>2</v>
      </c>
      <c r="C23" s="36">
        <f>COUNTIF(Notas!B:B,B23)/2</f>
        <v>0.5</v>
      </c>
      <c r="D23" s="47">
        <f>COUNTIF(Notas!F:F,Normales!B23)</f>
        <v>0</v>
      </c>
      <c r="E23" s="44" t="e">
        <f t="shared" si="3"/>
        <v>#NUM!</v>
      </c>
      <c r="F23" s="52" t="e">
        <f t="shared" si="4"/>
        <v>#NUM!</v>
      </c>
    </row>
    <row r="24" spans="2:19" x14ac:dyDescent="0.25">
      <c r="B24" s="22">
        <v>2.5</v>
      </c>
      <c r="C24" s="36">
        <f>(C23+C25)/2</f>
        <v>0.25</v>
      </c>
      <c r="D24" s="47">
        <f>COUNTIF(Notas!F:F,Normales!B24)</f>
        <v>0</v>
      </c>
      <c r="E24" s="44" t="e">
        <f t="shared" si="3"/>
        <v>#NUM!</v>
      </c>
      <c r="F24" s="52" t="e">
        <f t="shared" si="4"/>
        <v>#NUM!</v>
      </c>
    </row>
    <row r="25" spans="2:19" x14ac:dyDescent="0.25">
      <c r="B25" s="22">
        <v>3</v>
      </c>
      <c r="C25" s="36">
        <f>COUNTIF(Notas!B:B,B25)/2</f>
        <v>0</v>
      </c>
      <c r="D25" s="47">
        <f>COUNTIF(Notas!F:F,Normales!B25)</f>
        <v>0</v>
      </c>
      <c r="E25" s="44" t="e">
        <f t="shared" si="3"/>
        <v>#NUM!</v>
      </c>
      <c r="F25" s="52" t="e">
        <f t="shared" si="4"/>
        <v>#NUM!</v>
      </c>
    </row>
    <row r="26" spans="2:19" x14ac:dyDescent="0.25">
      <c r="B26" s="22">
        <v>3.5</v>
      </c>
      <c r="C26" s="36">
        <f>(C25+C27)/2</f>
        <v>0</v>
      </c>
      <c r="D26" s="47">
        <f>COUNTIF(Notas!F:F,Normales!B26)</f>
        <v>0</v>
      </c>
      <c r="E26" s="44" t="e">
        <f t="shared" si="3"/>
        <v>#NUM!</v>
      </c>
      <c r="F26" s="52" t="e">
        <f t="shared" si="4"/>
        <v>#NUM!</v>
      </c>
    </row>
    <row r="27" spans="2:19" x14ac:dyDescent="0.25">
      <c r="B27" s="22">
        <v>4</v>
      </c>
      <c r="C27" s="36">
        <f>COUNTIF(Notas!B:B,B27)/2</f>
        <v>0</v>
      </c>
      <c r="D27" s="47">
        <f>COUNTIF(Notas!F:F,Normales!B27)</f>
        <v>0</v>
      </c>
      <c r="E27" s="44" t="e">
        <f t="shared" si="3"/>
        <v>#NUM!</v>
      </c>
      <c r="F27" s="52" t="e">
        <f t="shared" si="4"/>
        <v>#NUM!</v>
      </c>
    </row>
    <row r="28" spans="2:19" x14ac:dyDescent="0.25">
      <c r="B28" s="22">
        <v>4.5</v>
      </c>
      <c r="C28" s="36">
        <f>(C27+C29)/2</f>
        <v>0</v>
      </c>
      <c r="D28" s="47">
        <f>COUNTIF(Notas!F:F,Normales!B28)</f>
        <v>0</v>
      </c>
      <c r="E28" s="44" t="e">
        <f t="shared" si="3"/>
        <v>#NUM!</v>
      </c>
      <c r="F28" s="52" t="e">
        <f t="shared" si="4"/>
        <v>#NUM!</v>
      </c>
    </row>
    <row r="29" spans="2:19" x14ac:dyDescent="0.25">
      <c r="B29" s="22">
        <v>5</v>
      </c>
      <c r="C29" s="36">
        <f>COUNTIF(Notas!B:B,B29)/2</f>
        <v>0</v>
      </c>
      <c r="D29" s="47">
        <f>COUNTIF(Notas!F:F,Normales!B29)</f>
        <v>0</v>
      </c>
      <c r="E29" s="44" t="e">
        <f t="shared" si="3"/>
        <v>#NUM!</v>
      </c>
      <c r="F29" s="52" t="e">
        <f t="shared" si="4"/>
        <v>#NUM!</v>
      </c>
    </row>
    <row r="30" spans="2:19" x14ac:dyDescent="0.25">
      <c r="B30" s="22">
        <v>5.5</v>
      </c>
      <c r="C30" s="36">
        <f>(C29+C31)/2</f>
        <v>0</v>
      </c>
      <c r="D30" s="47">
        <f>COUNTIF(Notas!F:F,Normales!B30)</f>
        <v>1</v>
      </c>
      <c r="E30" s="44" t="e">
        <f t="shared" si="3"/>
        <v>#NUM!</v>
      </c>
      <c r="F30" s="52" t="e">
        <f t="shared" si="4"/>
        <v>#NUM!</v>
      </c>
    </row>
    <row r="31" spans="2:19" x14ac:dyDescent="0.25">
      <c r="B31" s="22">
        <v>6</v>
      </c>
      <c r="C31" s="36">
        <f>COUNTIF(Notas!B:B,B31)/2</f>
        <v>0</v>
      </c>
      <c r="D31" s="47">
        <f>COUNTIF(Notas!F:F,Normales!B31)</f>
        <v>0</v>
      </c>
      <c r="E31" s="44" t="e">
        <f t="shared" si="3"/>
        <v>#NUM!</v>
      </c>
      <c r="F31" s="52" t="e">
        <f t="shared" si="4"/>
        <v>#NUM!</v>
      </c>
    </row>
    <row r="32" spans="2:19" x14ac:dyDescent="0.25">
      <c r="B32" s="22">
        <v>6.5</v>
      </c>
      <c r="C32" s="36">
        <f>(C31+C33)/2</f>
        <v>0</v>
      </c>
      <c r="D32" s="47">
        <f>COUNTIF(Notas!F:F,Normales!B32)</f>
        <v>0</v>
      </c>
      <c r="E32" s="44" t="e">
        <f t="shared" si="3"/>
        <v>#NUM!</v>
      </c>
      <c r="F32" s="52" t="e">
        <f t="shared" si="4"/>
        <v>#NUM!</v>
      </c>
    </row>
    <row r="33" spans="2:6" x14ac:dyDescent="0.25">
      <c r="B33" s="22">
        <v>7</v>
      </c>
      <c r="C33" s="36">
        <f>COUNTIF(Notas!B:B,B33)/2</f>
        <v>0</v>
      </c>
      <c r="D33" s="47">
        <f>COUNTIF(Notas!F:F,Normales!B33)</f>
        <v>0</v>
      </c>
      <c r="E33" s="44" t="e">
        <f t="shared" si="3"/>
        <v>#NUM!</v>
      </c>
      <c r="F33" s="52" t="e">
        <f t="shared" si="4"/>
        <v>#NUM!</v>
      </c>
    </row>
    <row r="34" spans="2:6" x14ac:dyDescent="0.25">
      <c r="B34" s="22">
        <v>7.5</v>
      </c>
      <c r="C34" s="36">
        <f>(C33+C35)/2</f>
        <v>0</v>
      </c>
      <c r="D34" s="47">
        <f>COUNTIF(Notas!F:F,Normales!B34)</f>
        <v>0</v>
      </c>
      <c r="E34" s="44" t="e">
        <f t="shared" si="3"/>
        <v>#NUM!</v>
      </c>
      <c r="F34" s="52" t="e">
        <f t="shared" si="4"/>
        <v>#NUM!</v>
      </c>
    </row>
    <row r="35" spans="2:6" x14ac:dyDescent="0.25">
      <c r="B35" s="22">
        <v>8</v>
      </c>
      <c r="C35" s="36">
        <f>COUNTIF(Notas!B:B,B35)/2</f>
        <v>0</v>
      </c>
      <c r="D35" s="47">
        <f>COUNTIF(Notas!F:F,Normales!B35)</f>
        <v>0</v>
      </c>
      <c r="E35" s="44" t="e">
        <f t="shared" si="3"/>
        <v>#NUM!</v>
      </c>
      <c r="F35" s="52" t="e">
        <f t="shared" si="4"/>
        <v>#NUM!</v>
      </c>
    </row>
    <row r="36" spans="2:6" x14ac:dyDescent="0.25">
      <c r="B36" s="22">
        <v>8.5</v>
      </c>
      <c r="C36" s="36">
        <f>(C35+C37)/2</f>
        <v>0</v>
      </c>
      <c r="D36" s="47">
        <f>COUNTIF(Notas!F:F,Normales!B36)</f>
        <v>0</v>
      </c>
      <c r="E36" s="44" t="e">
        <f t="shared" si="3"/>
        <v>#NUM!</v>
      </c>
      <c r="F36" s="52" t="e">
        <f t="shared" si="4"/>
        <v>#NUM!</v>
      </c>
    </row>
    <row r="37" spans="2:6" x14ac:dyDescent="0.25">
      <c r="B37" s="22">
        <v>9</v>
      </c>
      <c r="C37" s="36">
        <f>COUNTIF(Notas!B:B,B37)/2</f>
        <v>0</v>
      </c>
      <c r="D37" s="47">
        <f>COUNTIF(Notas!F:F,Normales!B37)</f>
        <v>0</v>
      </c>
      <c r="E37" s="44" t="e">
        <f t="shared" si="3"/>
        <v>#NUM!</v>
      </c>
      <c r="F37" s="52" t="e">
        <f t="shared" si="4"/>
        <v>#NUM!</v>
      </c>
    </row>
    <row r="38" spans="2:6" x14ac:dyDescent="0.25">
      <c r="B38" s="22">
        <v>9.5</v>
      </c>
      <c r="C38" s="36">
        <f>(C37+C39)/2</f>
        <v>0</v>
      </c>
      <c r="D38" s="47">
        <f>COUNTIF(Notas!F:F,Normales!B38)</f>
        <v>0</v>
      </c>
      <c r="E38" s="44" t="e">
        <f t="shared" si="3"/>
        <v>#NUM!</v>
      </c>
      <c r="F38" s="52" t="e">
        <f t="shared" si="4"/>
        <v>#NUM!</v>
      </c>
    </row>
    <row r="39" spans="2:6" ht="15.75" thickBot="1" x14ac:dyDescent="0.3">
      <c r="B39" s="23">
        <v>10</v>
      </c>
      <c r="C39" s="37">
        <f>COUNTIF(Notas!B:B,B39)/2</f>
        <v>0</v>
      </c>
      <c r="D39" s="48">
        <f>COUNTIF(Notas!F:F,Normales!B39)</f>
        <v>0</v>
      </c>
      <c r="E39" s="44" t="e">
        <f t="shared" si="3"/>
        <v>#NUM!</v>
      </c>
      <c r="F39" s="52" t="e">
        <f t="shared" si="4"/>
        <v>#NUM!</v>
      </c>
    </row>
    <row r="40" spans="2:6" x14ac:dyDescent="0.25">
      <c r="C40" s="50">
        <f>SUM(C20:C39)</f>
        <v>1</v>
      </c>
      <c r="D40" s="19">
        <f>SUM(D20:D39)</f>
        <v>1</v>
      </c>
      <c r="E40" s="67" t="e">
        <f>SUM(E20:E39)</f>
        <v>#NUM!</v>
      </c>
      <c r="F40" s="67" t="e">
        <f>SUM(F20:F39)</f>
        <v>#NUM!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5113E-0C06-4EAF-8941-AA6250700856}">
  <dimension ref="A1:V52"/>
  <sheetViews>
    <sheetView zoomScaleNormal="100" workbookViewId="0">
      <selection activeCell="M2" sqref="M2"/>
    </sheetView>
  </sheetViews>
  <sheetFormatPr baseColWidth="10" defaultRowHeight="15" x14ac:dyDescent="0.25"/>
  <cols>
    <col min="1" max="3" width="6.140625" customWidth="1"/>
    <col min="5" max="5" width="19.7109375" customWidth="1"/>
    <col min="6" max="6" width="11.85546875" bestFit="1" customWidth="1"/>
    <col min="7" max="7" width="23" customWidth="1"/>
    <col min="8" max="8" width="17.42578125" customWidth="1"/>
    <col min="9" max="9" width="11.85546875" bestFit="1" customWidth="1"/>
    <col min="13" max="13" width="11.85546875" bestFit="1" customWidth="1"/>
    <col min="18" max="18" width="12" bestFit="1" customWidth="1"/>
    <col min="22" max="22" width="12" bestFit="1" customWidth="1"/>
  </cols>
  <sheetData>
    <row r="1" spans="1:22" x14ac:dyDescent="0.25">
      <c r="A1" s="57"/>
      <c r="E1" t="s">
        <v>15</v>
      </c>
      <c r="F1" s="19">
        <f>AVERAGE(Tabla1[Duracion])</f>
        <v>130</v>
      </c>
      <c r="G1" t="s">
        <v>21</v>
      </c>
      <c r="H1">
        <f>MEDIAN(Tabla1[Duracion])</f>
        <v>130</v>
      </c>
      <c r="L1" t="s">
        <v>34</v>
      </c>
      <c r="M1">
        <f>MAX(Tabla1[Duracion])</f>
        <v>130</v>
      </c>
    </row>
    <row r="2" spans="1:22" x14ac:dyDescent="0.25">
      <c r="C2">
        <f>COUNTIF(Tabla1[Duracion],"&gt;50")</f>
        <v>1</v>
      </c>
      <c r="E2" t="s">
        <v>16</v>
      </c>
      <c r="F2" s="19">
        <f>AVERAGEIF(Tabla1[Duracion],"&gt;50")</f>
        <v>130</v>
      </c>
      <c r="G2" t="s">
        <v>32</v>
      </c>
      <c r="H2" s="19" cm="1">
        <f t="array" ref="H2">STDEVP(IF(Tabla1[Duracion]&gt;50,Tabla1[Duracion]))</f>
        <v>0</v>
      </c>
      <c r="L2" t="s">
        <v>35</v>
      </c>
      <c r="M2">
        <f>MIN(Tabla1[Duracion])</f>
        <v>130</v>
      </c>
    </row>
    <row r="3" spans="1:22" ht="15.75" thickBot="1" x14ac:dyDescent="0.3">
      <c r="E3" t="s">
        <v>17</v>
      </c>
      <c r="F3" s="19" t="e">
        <f>_xlfn.VAR.S(Tabla1[Duracion])</f>
        <v>#DIV/0!</v>
      </c>
      <c r="G3" t="s">
        <v>33</v>
      </c>
      <c r="H3" cm="1">
        <f t="array" ref="H3">_xlfn.VAR.P(IF(Tabla1[Duracion]&gt;50,Tabla1[Duracion],))</f>
        <v>1.6117095947250967E-2</v>
      </c>
      <c r="P3" t="s">
        <v>27</v>
      </c>
      <c r="R3" t="s">
        <v>28</v>
      </c>
      <c r="T3" t="s">
        <v>27</v>
      </c>
      <c r="V3" t="s">
        <v>29</v>
      </c>
    </row>
    <row r="4" spans="1:22" x14ac:dyDescent="0.25">
      <c r="F4" s="19"/>
      <c r="P4" s="60">
        <v>5</v>
      </c>
      <c r="Q4" s="61">
        <f>COUNTIF(Notas!D:D,"&lt;="&amp;P4)</f>
        <v>0</v>
      </c>
      <c r="R4" s="42" t="e">
        <f>EXP((P4-$F$1)^2/(-2*$F$3))/SQRT(2*PI()*$F$3)*Estadística!$B$1</f>
        <v>#DIV/0!</v>
      </c>
      <c r="T4" s="60">
        <v>10</v>
      </c>
      <c r="U4" s="61">
        <f>COUNTIF(Notas!D:D,"&lt;="&amp;T4)</f>
        <v>0</v>
      </c>
      <c r="V4" s="42" t="e">
        <f>EXP((T4-$F$2)^2/(-2*$H$2))/SQRT(2*PI()*$H$2)*$C$2*10</f>
        <v>#DIV/0!</v>
      </c>
    </row>
    <row r="5" spans="1:22" x14ac:dyDescent="0.25">
      <c r="P5" s="62">
        <v>10</v>
      </c>
      <c r="Q5" s="55">
        <f>COUNTIF(Notas!D:D,"&lt;="&amp;P5)-COUNTIF(Notas!D:D,"&lt;="&amp;P4)</f>
        <v>0</v>
      </c>
      <c r="R5" s="33" t="e">
        <f>EXP((P5-$F$1)^2/(-2*$F$3))/SQRT(2*PI()*$F$3)*Estadística!$B$1</f>
        <v>#DIV/0!</v>
      </c>
      <c r="T5" s="62">
        <v>20</v>
      </c>
      <c r="U5" s="55">
        <f>COUNTIF(Notas!D:D,"&lt;="&amp;T5)-COUNTIF(Notas!D:D,"&lt;="&amp;T4)</f>
        <v>0</v>
      </c>
      <c r="V5" s="33" t="e">
        <f t="shared" ref="V5:V27" si="0">EXP((T5-$F$2)^2/(-2*$H$2))/SQRT(2*PI()*$H$2)*$C$2*10</f>
        <v>#DIV/0!</v>
      </c>
    </row>
    <row r="6" spans="1:22" x14ac:dyDescent="0.25">
      <c r="P6" s="62">
        <v>15</v>
      </c>
      <c r="Q6" s="55">
        <f>COUNTIF(Notas!D:D,"&lt;="&amp;P6)-COUNTIF(Notas!D:D,"&lt;="&amp;P5)</f>
        <v>0</v>
      </c>
      <c r="R6" s="33" t="e">
        <f>EXP((P6-$F$1)^2/(-2*$F$3))/SQRT(2*PI()*$F$3)*Estadística!$B$1</f>
        <v>#DIV/0!</v>
      </c>
      <c r="T6" s="62">
        <v>30</v>
      </c>
      <c r="U6" s="55">
        <f>COUNTIF(Notas!D:D,"&lt;="&amp;T6)-COUNTIF(Notas!D:D,"&lt;="&amp;T5)</f>
        <v>0</v>
      </c>
      <c r="V6" s="33" t="e">
        <f>_xlfn.NORM.DIST($T6,$F$2,SQRT($H$2),TRUE)*$C$2</f>
        <v>#NUM!</v>
      </c>
    </row>
    <row r="7" spans="1:22" x14ac:dyDescent="0.25">
      <c r="P7" s="62">
        <v>20</v>
      </c>
      <c r="Q7" s="55">
        <f>COUNTIF(Notas!D:D,"&lt;="&amp;P7)-COUNTIF(Notas!D:D,"&lt;="&amp;P6)</f>
        <v>0</v>
      </c>
      <c r="R7" s="33" t="e">
        <f>EXP((P7-$F$1)^2/(-2*$F$3))/SQRT(2*PI()*$F$3)*Estadística!$B$1</f>
        <v>#DIV/0!</v>
      </c>
      <c r="T7" s="62">
        <v>40</v>
      </c>
      <c r="U7" s="55">
        <f>COUNTIF(Notas!D:D,"&lt;="&amp;T7)-COUNTIF(Notas!D:D,"&lt;="&amp;T6)</f>
        <v>0</v>
      </c>
      <c r="V7" s="33" t="e">
        <f>(_xlfn.NORM.DIST($T7,$F$2,SQRT($H$2),TRUE)-_xlfn.NORM.DIST($T6,$F$2,SQRT($H$2),TRUE))*$C$2</f>
        <v>#NUM!</v>
      </c>
    </row>
    <row r="8" spans="1:22" x14ac:dyDescent="0.25">
      <c r="P8" s="62">
        <v>25</v>
      </c>
      <c r="Q8" s="55">
        <f>COUNTIF(Notas!D:D,"&lt;="&amp;P8)-COUNTIF(Notas!D:D,"&lt;="&amp;P7)</f>
        <v>0</v>
      </c>
      <c r="R8" s="33" t="e">
        <f>EXP((P8-$F$1)^2/(-2*$F$3))/SQRT(2*PI()*$F$3)*Estadística!$B$1</f>
        <v>#DIV/0!</v>
      </c>
      <c r="T8" s="62">
        <v>50</v>
      </c>
      <c r="U8" s="55">
        <f>COUNTIF(Notas!D:D,"&lt;="&amp;T8)-COUNTIF(Notas!D:D,"&lt;="&amp;T7)</f>
        <v>0</v>
      </c>
      <c r="V8" s="33" t="e">
        <f t="shared" ref="V8:V26" si="1">(_xlfn.NORM.DIST($T8,$F$2,SQRT($H$2),TRUE)-_xlfn.NORM.DIST($T7,$F$2,SQRT($H$2),TRUE))*$C$2</f>
        <v>#NUM!</v>
      </c>
    </row>
    <row r="9" spans="1:22" x14ac:dyDescent="0.25">
      <c r="P9" s="62">
        <v>30</v>
      </c>
      <c r="Q9" s="55">
        <f>COUNTIF(Notas!D:D,"&lt;="&amp;P9)-COUNTIF(Notas!D:D,"&lt;="&amp;P8)</f>
        <v>0</v>
      </c>
      <c r="R9" s="33" t="e">
        <f>EXP((P9-$F$1)^2/(-2*$F$3))/SQRT(2*PI()*$F$3)*Estadística!$B$1</f>
        <v>#DIV/0!</v>
      </c>
      <c r="T9" s="62">
        <v>60</v>
      </c>
      <c r="U9" s="55">
        <f>COUNTIF(Notas!D:D,"&lt;="&amp;T9)-COUNTIF(Notas!D:D,"&lt;="&amp;T8)</f>
        <v>0</v>
      </c>
      <c r="V9" s="33" t="e">
        <f t="shared" si="1"/>
        <v>#NUM!</v>
      </c>
    </row>
    <row r="10" spans="1:22" x14ac:dyDescent="0.25">
      <c r="P10" s="62">
        <v>35</v>
      </c>
      <c r="Q10" s="55">
        <f>COUNTIF(Notas!D:D,"&lt;="&amp;P10)-COUNTIF(Notas!D:D,"&lt;="&amp;P9)</f>
        <v>0</v>
      </c>
      <c r="R10" s="33" t="e">
        <f>EXP((P10-$F$1)^2/(-2*$F$3))/SQRT(2*PI()*$F$3)*Estadística!$B$1</f>
        <v>#DIV/0!</v>
      </c>
      <c r="T10" s="62">
        <v>70</v>
      </c>
      <c r="U10" s="55">
        <f>COUNTIF(Notas!D:D,"&lt;="&amp;T10)-COUNTIF(Notas!D:D,"&lt;="&amp;T9)</f>
        <v>0</v>
      </c>
      <c r="V10" s="33" t="e">
        <f t="shared" si="1"/>
        <v>#NUM!</v>
      </c>
    </row>
    <row r="11" spans="1:22" x14ac:dyDescent="0.25">
      <c r="P11" s="62">
        <v>40</v>
      </c>
      <c r="Q11" s="55">
        <f>COUNTIF(Notas!D:D,"&lt;="&amp;P11)-COUNTIF(Notas!D:D,"&lt;="&amp;P10)</f>
        <v>0</v>
      </c>
      <c r="R11" s="33" t="e">
        <f>EXP((P11-$F$1)^2/(-2*$F$3))/SQRT(2*PI()*$F$3)*Estadística!$B$1</f>
        <v>#DIV/0!</v>
      </c>
      <c r="T11" s="62">
        <v>80</v>
      </c>
      <c r="U11" s="55">
        <f>COUNTIF(Notas!D:D,"&lt;="&amp;T11)-COUNTIF(Notas!D:D,"&lt;="&amp;T10)</f>
        <v>0</v>
      </c>
      <c r="V11" s="33" t="e">
        <f t="shared" si="1"/>
        <v>#NUM!</v>
      </c>
    </row>
    <row r="12" spans="1:22" x14ac:dyDescent="0.25">
      <c r="P12" s="62">
        <v>45</v>
      </c>
      <c r="Q12" s="55">
        <f>COUNTIF(Notas!D:D,"&lt;="&amp;P12)-COUNTIF(Notas!D:D,"&lt;="&amp;P11)</f>
        <v>0</v>
      </c>
      <c r="R12" s="33" t="e">
        <f>EXP((P12-$F$1)^2/(-2*$F$3))/SQRT(2*PI()*$F$3)*Estadística!$B$1</f>
        <v>#DIV/0!</v>
      </c>
      <c r="T12" s="62">
        <v>90</v>
      </c>
      <c r="U12" s="55">
        <f>COUNTIF(Notas!D:D,"&lt;="&amp;T12)-COUNTIF(Notas!D:D,"&lt;="&amp;T11)</f>
        <v>0</v>
      </c>
      <c r="V12" s="33" t="e">
        <f t="shared" si="1"/>
        <v>#NUM!</v>
      </c>
    </row>
    <row r="13" spans="1:22" x14ac:dyDescent="0.25">
      <c r="P13" s="62">
        <v>50</v>
      </c>
      <c r="Q13" s="55">
        <f>COUNTIF(Notas!D:D,"&lt;="&amp;P13)-COUNTIF(Notas!D:D,"&lt;="&amp;P12)</f>
        <v>0</v>
      </c>
      <c r="R13" s="33" t="e">
        <f>EXP((P13-$F$1)^2/(-2*$F$3))/SQRT(2*PI()*$F$3)*Estadística!$B$1</f>
        <v>#DIV/0!</v>
      </c>
      <c r="T13" s="62">
        <v>100</v>
      </c>
      <c r="U13" s="55">
        <f>COUNTIF(Notas!D:D,"&lt;="&amp;T13)-COUNTIF(Notas!D:D,"&lt;="&amp;T12)</f>
        <v>0</v>
      </c>
      <c r="V13" s="33" t="e">
        <f t="shared" si="1"/>
        <v>#NUM!</v>
      </c>
    </row>
    <row r="14" spans="1:22" x14ac:dyDescent="0.25">
      <c r="P14" s="62">
        <v>55</v>
      </c>
      <c r="Q14" s="55">
        <f>COUNTIF(Notas!D:D,"&lt;="&amp;P14)-COUNTIF(Notas!D:D,"&lt;="&amp;P13)</f>
        <v>0</v>
      </c>
      <c r="R14" s="33" t="e">
        <f>EXP((P14-$F$1)^2/(-2*$F$3))/SQRT(2*PI()*$F$3)*Estadística!$B$1</f>
        <v>#DIV/0!</v>
      </c>
      <c r="T14" s="62">
        <v>110</v>
      </c>
      <c r="U14" s="55">
        <f>COUNTIF(Notas!D:D,"&lt;="&amp;T14)-COUNTIF(Notas!D:D,"&lt;="&amp;T13)</f>
        <v>0</v>
      </c>
      <c r="V14" s="33" t="e">
        <f t="shared" si="1"/>
        <v>#NUM!</v>
      </c>
    </row>
    <row r="15" spans="1:22" x14ac:dyDescent="0.25">
      <c r="P15" s="62">
        <v>60</v>
      </c>
      <c r="Q15" s="55">
        <f>COUNTIF(Notas!D:D,"&lt;="&amp;P15)-COUNTIF(Notas!D:D,"&lt;="&amp;P14)</f>
        <v>0</v>
      </c>
      <c r="R15" s="33" t="e">
        <f>EXP((P15-$F$1)^2/(-2*$F$3))/SQRT(2*PI()*$F$3)*Estadística!$B$1</f>
        <v>#DIV/0!</v>
      </c>
      <c r="T15" s="62">
        <v>120</v>
      </c>
      <c r="U15" s="55">
        <f>COUNTIF(Notas!D:D,"&lt;="&amp;T15)-COUNTIF(Notas!D:D,"&lt;="&amp;T14)</f>
        <v>0</v>
      </c>
      <c r="V15" s="33" t="e">
        <f t="shared" si="1"/>
        <v>#NUM!</v>
      </c>
    </row>
    <row r="16" spans="1:22" x14ac:dyDescent="0.25">
      <c r="P16" s="62">
        <v>65</v>
      </c>
      <c r="Q16" s="55">
        <f>COUNTIF(Notas!D:D,"&lt;="&amp;P16)-COUNTIF(Notas!D:D,"&lt;="&amp;P15)</f>
        <v>0</v>
      </c>
      <c r="R16" s="33" t="e">
        <f>EXP((P16-$F$1)^2/(-2*$F$3))/SQRT(2*PI()*$F$3)*Estadística!$B$1</f>
        <v>#DIV/0!</v>
      </c>
      <c r="T16" s="62">
        <v>130</v>
      </c>
      <c r="U16" s="55">
        <f>COUNTIF(Notas!D:D,"&lt;="&amp;T16)-COUNTIF(Notas!D:D,"&lt;="&amp;T15)</f>
        <v>1</v>
      </c>
      <c r="V16" s="33" t="e">
        <f t="shared" si="1"/>
        <v>#NUM!</v>
      </c>
    </row>
    <row r="17" spans="16:22" x14ac:dyDescent="0.25">
      <c r="P17" s="62">
        <v>70</v>
      </c>
      <c r="Q17" s="55">
        <f>COUNTIF(Notas!D:D,"&lt;="&amp;P17)-COUNTIF(Notas!D:D,"&lt;="&amp;P16)</f>
        <v>0</v>
      </c>
      <c r="R17" s="33" t="e">
        <f>EXP((P17-$F$1)^2/(-2*$F$3))/SQRT(2*PI()*$F$3)*Estadística!$B$1</f>
        <v>#DIV/0!</v>
      </c>
      <c r="T17" s="62">
        <v>140</v>
      </c>
      <c r="U17" s="55">
        <f>COUNTIF(Notas!D:D,"&lt;="&amp;T17)-COUNTIF(Notas!D:D,"&lt;="&amp;T16)</f>
        <v>0</v>
      </c>
      <c r="V17" s="33" t="e">
        <f t="shared" si="1"/>
        <v>#NUM!</v>
      </c>
    </row>
    <row r="18" spans="16:22" x14ac:dyDescent="0.25">
      <c r="P18" s="62">
        <v>75</v>
      </c>
      <c r="Q18" s="55">
        <f>COUNTIF(Notas!D:D,"&lt;="&amp;P18)-COUNTIF(Notas!D:D,"&lt;="&amp;P17)</f>
        <v>0</v>
      </c>
      <c r="R18" s="33" t="e">
        <f>EXP((P18-$F$1)^2/(-2*$F$3))/SQRT(2*PI()*$F$3)*Estadística!$B$1</f>
        <v>#DIV/0!</v>
      </c>
      <c r="T18" s="62">
        <v>150</v>
      </c>
      <c r="U18" s="55">
        <f>COUNTIF(Notas!D:D,"&lt;="&amp;T18)-COUNTIF(Notas!D:D,"&lt;="&amp;T17)</f>
        <v>0</v>
      </c>
      <c r="V18" s="33" t="e">
        <f t="shared" si="1"/>
        <v>#NUM!</v>
      </c>
    </row>
    <row r="19" spans="16:22" x14ac:dyDescent="0.25">
      <c r="P19" s="62">
        <v>80</v>
      </c>
      <c r="Q19" s="55">
        <f>COUNTIF(Notas!D:D,"&lt;="&amp;P19)-COUNTIF(Notas!D:D,"&lt;="&amp;P18)</f>
        <v>0</v>
      </c>
      <c r="R19" s="33" t="e">
        <f>EXP((P19-$F$1)^2/(-2*$F$3))/SQRT(2*PI()*$F$3)*Estadística!$B$1</f>
        <v>#DIV/0!</v>
      </c>
      <c r="T19" s="62">
        <v>160</v>
      </c>
      <c r="U19" s="55">
        <f>COUNTIF(Notas!D:D,"&lt;="&amp;T19)-COUNTIF(Notas!D:D,"&lt;="&amp;T18)</f>
        <v>0</v>
      </c>
      <c r="V19" s="33" t="e">
        <f t="shared" si="1"/>
        <v>#NUM!</v>
      </c>
    </row>
    <row r="20" spans="16:22" x14ac:dyDescent="0.25">
      <c r="P20" s="62">
        <v>85</v>
      </c>
      <c r="Q20" s="55">
        <f>COUNTIF(Notas!D:D,"&lt;="&amp;P20)-COUNTIF(Notas!D:D,"&lt;="&amp;P19)</f>
        <v>0</v>
      </c>
      <c r="R20" s="33" t="e">
        <f>EXP((P20-$F$1)^2/(-2*$F$3))/SQRT(2*PI()*$F$3)*Estadística!$B$1</f>
        <v>#DIV/0!</v>
      </c>
      <c r="T20" s="62">
        <v>170</v>
      </c>
      <c r="U20" s="55">
        <f>COUNTIF(Notas!D:D,"&lt;="&amp;T20)-COUNTIF(Notas!D:D,"&lt;="&amp;T19)</f>
        <v>0</v>
      </c>
      <c r="V20" s="33" t="e">
        <f t="shared" si="1"/>
        <v>#NUM!</v>
      </c>
    </row>
    <row r="21" spans="16:22" x14ac:dyDescent="0.25">
      <c r="P21" s="62">
        <v>90</v>
      </c>
      <c r="Q21" s="55">
        <f>COUNTIF(Notas!D:D,"&lt;="&amp;P21)-COUNTIF(Notas!D:D,"&lt;="&amp;P20)</f>
        <v>0</v>
      </c>
      <c r="R21" s="33" t="e">
        <f>EXP((P21-$F$1)^2/(-2*$F$3))/SQRT(2*PI()*$F$3)*Estadística!$B$1</f>
        <v>#DIV/0!</v>
      </c>
      <c r="T21" s="62">
        <v>180</v>
      </c>
      <c r="U21" s="55">
        <f>COUNTIF(Notas!D:D,"&lt;="&amp;T21)-COUNTIF(Notas!D:D,"&lt;="&amp;T20)</f>
        <v>0</v>
      </c>
      <c r="V21" s="33" t="e">
        <f t="shared" si="1"/>
        <v>#NUM!</v>
      </c>
    </row>
    <row r="22" spans="16:22" x14ac:dyDescent="0.25">
      <c r="P22" s="62">
        <v>95</v>
      </c>
      <c r="Q22" s="55">
        <f>COUNTIF(Notas!D:D,"&lt;="&amp;P22)-COUNTIF(Notas!D:D,"&lt;="&amp;P21)</f>
        <v>0</v>
      </c>
      <c r="R22" s="33" t="e">
        <f>EXP((P22-$F$1)^2/(-2*$F$3))/SQRT(2*PI()*$F$3)*Estadística!$B$1</f>
        <v>#DIV/0!</v>
      </c>
      <c r="T22" s="62">
        <v>190</v>
      </c>
      <c r="U22" s="55">
        <f>COUNTIF(Notas!D:D,"&lt;="&amp;T22)-COUNTIF(Notas!D:D,"&lt;="&amp;T21)</f>
        <v>0</v>
      </c>
      <c r="V22" s="33" t="e">
        <f t="shared" si="1"/>
        <v>#NUM!</v>
      </c>
    </row>
    <row r="23" spans="16:22" x14ac:dyDescent="0.25">
      <c r="P23" s="62">
        <v>100</v>
      </c>
      <c r="Q23" s="55">
        <f>COUNTIF(Notas!D:D,"&lt;="&amp;P23)-COUNTIF(Notas!D:D,"&lt;="&amp;P22)</f>
        <v>0</v>
      </c>
      <c r="R23" s="33" t="e">
        <f>EXP((P23-$F$1)^2/(-2*$F$3))/SQRT(2*PI()*$F$3)*Estadística!$B$1</f>
        <v>#DIV/0!</v>
      </c>
      <c r="T23" s="62">
        <v>200</v>
      </c>
      <c r="U23" s="55">
        <f>COUNTIF(Notas!D:D,"&lt;="&amp;T23)-COUNTIF(Notas!D:D,"&lt;="&amp;T22)</f>
        <v>0</v>
      </c>
      <c r="V23" s="33" t="e">
        <f t="shared" si="1"/>
        <v>#NUM!</v>
      </c>
    </row>
    <row r="24" spans="16:22" x14ac:dyDescent="0.25">
      <c r="P24" s="62">
        <v>105</v>
      </c>
      <c r="Q24" s="55">
        <f>COUNTIF(Notas!D:D,"&lt;="&amp;P24)-COUNTIF(Notas!D:D,"&lt;="&amp;P23)</f>
        <v>0</v>
      </c>
      <c r="R24" s="33" t="e">
        <f>EXP((P24-$F$1)^2/(-2*$F$3))/SQRT(2*PI()*$F$3)*Estadística!$B$1</f>
        <v>#DIV/0!</v>
      </c>
      <c r="T24" s="62">
        <v>210</v>
      </c>
      <c r="U24" s="55">
        <f>COUNTIF(Notas!D:D,"&lt;="&amp;T24)-COUNTIF(Notas!D:D,"&lt;="&amp;T23)</f>
        <v>0</v>
      </c>
      <c r="V24" s="33" t="e">
        <f t="shared" si="1"/>
        <v>#NUM!</v>
      </c>
    </row>
    <row r="25" spans="16:22" x14ac:dyDescent="0.25">
      <c r="P25" s="62">
        <v>110</v>
      </c>
      <c r="Q25" s="55">
        <f>COUNTIF(Notas!D:D,"&lt;="&amp;P25)-COUNTIF(Notas!D:D,"&lt;="&amp;P24)</f>
        <v>0</v>
      </c>
      <c r="R25" s="33" t="e">
        <f>EXP((P25-$F$1)^2/(-2*$F$3))/SQRT(2*PI()*$F$3)*Estadística!$B$1</f>
        <v>#DIV/0!</v>
      </c>
      <c r="T25" s="62">
        <v>220</v>
      </c>
      <c r="U25" s="55">
        <f>COUNTIF(Notas!D:D,"&lt;="&amp;T25)-COUNTIF(Notas!D:D,"&lt;="&amp;T24)</f>
        <v>0</v>
      </c>
      <c r="V25" s="33" t="e">
        <f t="shared" si="1"/>
        <v>#NUM!</v>
      </c>
    </row>
    <row r="26" spans="16:22" x14ac:dyDescent="0.25">
      <c r="P26" s="62">
        <v>115</v>
      </c>
      <c r="Q26" s="55">
        <f>COUNTIF(Notas!D:D,"&lt;="&amp;P26)-COUNTIF(Notas!D:D,"&lt;="&amp;P25)</f>
        <v>0</v>
      </c>
      <c r="R26" s="33" t="e">
        <f>EXP((P26-$F$1)^2/(-2*$F$3))/SQRT(2*PI()*$F$3)*Estadística!$B$1</f>
        <v>#DIV/0!</v>
      </c>
      <c r="T26" s="62">
        <v>230</v>
      </c>
      <c r="U26" s="55">
        <f>COUNTIF(Notas!D:D,"&lt;="&amp;T26)-COUNTIF(Notas!D:D,"&lt;="&amp;T25)</f>
        <v>0</v>
      </c>
      <c r="V26" s="33" t="e">
        <f t="shared" si="1"/>
        <v>#NUM!</v>
      </c>
    </row>
    <row r="27" spans="16:22" ht="15.75" thickBot="1" x14ac:dyDescent="0.3">
      <c r="P27" s="62">
        <v>120</v>
      </c>
      <c r="Q27" s="55">
        <f>COUNTIF(Notas!D:D,"&lt;="&amp;P27)-COUNTIF(Notas!D:D,"&lt;="&amp;P26)</f>
        <v>0</v>
      </c>
      <c r="R27" s="33" t="e">
        <f>EXP((P27-$F$1)^2/(-2*$F$3))/SQRT(2*PI()*$F$3)*Estadística!$B$1</f>
        <v>#DIV/0!</v>
      </c>
      <c r="T27" s="63">
        <v>240</v>
      </c>
      <c r="U27" s="64">
        <f>COUNTIF(Notas!D:D,"&lt;="&amp;T27)-COUNTIF(Notas!D:D,"&lt;="&amp;T26)</f>
        <v>0</v>
      </c>
      <c r="V27" s="34" t="e">
        <f t="shared" si="0"/>
        <v>#DIV/0!</v>
      </c>
    </row>
    <row r="28" spans="16:22" x14ac:dyDescent="0.25">
      <c r="P28" s="62">
        <v>125</v>
      </c>
      <c r="Q28" s="55">
        <f>COUNTIF(Notas!D:D,"&lt;="&amp;P28)-COUNTIF(Notas!D:D,"&lt;="&amp;P27)</f>
        <v>0</v>
      </c>
      <c r="R28" s="33" t="e">
        <f>EXP((P28-$F$1)^2/(-2*$F$3))/SQRT(2*PI()*$F$3)*Estadística!$B$1</f>
        <v>#DIV/0!</v>
      </c>
      <c r="T28" s="27"/>
      <c r="V28" s="19" t="e">
        <f>SUM(V4:V27)</f>
        <v>#DIV/0!</v>
      </c>
    </row>
    <row r="29" spans="16:22" x14ac:dyDescent="0.25">
      <c r="P29" s="62">
        <v>130</v>
      </c>
      <c r="Q29" s="55">
        <f>COUNTIF(Notas!D:D,"&lt;="&amp;P29)-COUNTIF(Notas!D:D,"&lt;="&amp;P28)</f>
        <v>1</v>
      </c>
      <c r="R29" s="33" t="e">
        <f>EXP((P29-$F$1)^2/(-2*$F$3))/SQRT(2*PI()*$F$3)*Estadística!$B$1</f>
        <v>#DIV/0!</v>
      </c>
    </row>
    <row r="30" spans="16:22" x14ac:dyDescent="0.25">
      <c r="P30" s="62">
        <v>135</v>
      </c>
      <c r="Q30" s="55">
        <f>COUNTIF(Notas!D:D,"&lt;="&amp;P30)-COUNTIF(Notas!D:D,"&lt;="&amp;P29)</f>
        <v>0</v>
      </c>
      <c r="R30" s="33" t="e">
        <f>EXP((P30-$F$1)^2/(-2*$F$3))/SQRT(2*PI()*$F$3)*Estadística!$B$1</f>
        <v>#DIV/0!</v>
      </c>
    </row>
    <row r="31" spans="16:22" x14ac:dyDescent="0.25">
      <c r="P31" s="62">
        <v>140</v>
      </c>
      <c r="Q31" s="55">
        <f>COUNTIF(Notas!D:D,"&lt;="&amp;P31)-COUNTIF(Notas!D:D,"&lt;="&amp;P30)</f>
        <v>0</v>
      </c>
      <c r="R31" s="33" t="e">
        <f>EXP((P31-$F$1)^2/(-2*$F$3))/SQRT(2*PI()*$F$3)*Estadística!$B$1</f>
        <v>#DIV/0!</v>
      </c>
    </row>
    <row r="32" spans="16:22" x14ac:dyDescent="0.25">
      <c r="P32" s="62">
        <v>145</v>
      </c>
      <c r="Q32" s="55">
        <f>COUNTIF(Notas!D:D,"&lt;="&amp;P32)-COUNTIF(Notas!D:D,"&lt;="&amp;P31)</f>
        <v>0</v>
      </c>
      <c r="R32" s="33" t="e">
        <f>EXP((P32-$F$1)^2/(-2*$F$3))/SQRT(2*PI()*$F$3)*Estadística!$B$1</f>
        <v>#DIV/0!</v>
      </c>
    </row>
    <row r="33" spans="16:18" x14ac:dyDescent="0.25">
      <c r="P33" s="62">
        <v>150</v>
      </c>
      <c r="Q33" s="55">
        <f>COUNTIF(Notas!D:D,"&lt;="&amp;P33)-COUNTIF(Notas!D:D,"&lt;="&amp;P32)</f>
        <v>0</v>
      </c>
      <c r="R33" s="33" t="e">
        <f>EXP((P33-$F$1)^2/(-2*$F$3))/SQRT(2*PI()*$F$3)*Estadística!$B$1</f>
        <v>#DIV/0!</v>
      </c>
    </row>
    <row r="34" spans="16:18" x14ac:dyDescent="0.25">
      <c r="P34" s="62">
        <v>155</v>
      </c>
      <c r="Q34" s="55">
        <f>COUNTIF(Notas!D:D,"&lt;="&amp;P34)-COUNTIF(Notas!D:D,"&lt;="&amp;P33)</f>
        <v>0</v>
      </c>
      <c r="R34" s="33" t="e">
        <f>EXP((P34-$F$1)^2/(-2*$F$3))/SQRT(2*PI()*$F$3)*Estadística!$B$1</f>
        <v>#DIV/0!</v>
      </c>
    </row>
    <row r="35" spans="16:18" x14ac:dyDescent="0.25">
      <c r="P35" s="62">
        <v>160</v>
      </c>
      <c r="Q35" s="55">
        <f>COUNTIF(Notas!D:D,"&lt;="&amp;P35)-COUNTIF(Notas!D:D,"&lt;="&amp;P34)</f>
        <v>0</v>
      </c>
      <c r="R35" s="33" t="e">
        <f>EXP((P35-$F$1)^2/(-2*$F$3))/SQRT(2*PI()*$F$3)*Estadística!$B$1</f>
        <v>#DIV/0!</v>
      </c>
    </row>
    <row r="36" spans="16:18" x14ac:dyDescent="0.25">
      <c r="P36" s="62">
        <v>165</v>
      </c>
      <c r="Q36" s="55">
        <f>COUNTIF(Notas!D:D,"&lt;="&amp;P36)-COUNTIF(Notas!D:D,"&lt;="&amp;P35)</f>
        <v>0</v>
      </c>
      <c r="R36" s="33" t="e">
        <f>EXP((P36-$F$1)^2/(-2*$F$3))/SQRT(2*PI()*$F$3)*Estadística!$B$1</f>
        <v>#DIV/0!</v>
      </c>
    </row>
    <row r="37" spans="16:18" x14ac:dyDescent="0.25">
      <c r="P37" s="62">
        <v>170</v>
      </c>
      <c r="Q37" s="55">
        <f>COUNTIF(Notas!D:D,"&lt;="&amp;P37)-COUNTIF(Notas!D:D,"&lt;="&amp;P36)</f>
        <v>0</v>
      </c>
      <c r="R37" s="33" t="e">
        <f>EXP((P37-$F$1)^2/(-2*$F$3))/SQRT(2*PI()*$F$3)*Estadística!$B$1</f>
        <v>#DIV/0!</v>
      </c>
    </row>
    <row r="38" spans="16:18" x14ac:dyDescent="0.25">
      <c r="P38" s="62">
        <v>175</v>
      </c>
      <c r="Q38" s="55">
        <f>COUNTIF(Notas!D:D,"&lt;="&amp;P38)-COUNTIF(Notas!D:D,"&lt;="&amp;P37)</f>
        <v>0</v>
      </c>
      <c r="R38" s="33" t="e">
        <f>EXP((P38-$F$1)^2/(-2*$F$3))/SQRT(2*PI()*$F$3)*Estadística!$B$1</f>
        <v>#DIV/0!</v>
      </c>
    </row>
    <row r="39" spans="16:18" x14ac:dyDescent="0.25">
      <c r="P39" s="62">
        <v>180</v>
      </c>
      <c r="Q39" s="55">
        <f>COUNTIF(Notas!D:D,"&lt;="&amp;P39)-COUNTIF(Notas!D:D,"&lt;="&amp;P38)</f>
        <v>0</v>
      </c>
      <c r="R39" s="33" t="e">
        <f>EXP((P39-$F$1)^2/(-2*$F$3))/SQRT(2*PI()*$F$3)*Estadística!$B$1</f>
        <v>#DIV/0!</v>
      </c>
    </row>
    <row r="40" spans="16:18" x14ac:dyDescent="0.25">
      <c r="P40" s="62">
        <v>185</v>
      </c>
      <c r="Q40" s="55">
        <f>COUNTIF(Notas!D:D,"&lt;="&amp;P40)-COUNTIF(Notas!D:D,"&lt;="&amp;P39)</f>
        <v>0</v>
      </c>
      <c r="R40" s="33" t="e">
        <f>EXP((P40-$F$1)^2/(-2*$F$3))/SQRT(2*PI()*$F$3)*Estadística!$B$1</f>
        <v>#DIV/0!</v>
      </c>
    </row>
    <row r="41" spans="16:18" x14ac:dyDescent="0.25">
      <c r="P41" s="62">
        <v>190</v>
      </c>
      <c r="Q41" s="55">
        <f>COUNTIF(Notas!D:D,"&lt;="&amp;P41)-COUNTIF(Notas!D:D,"&lt;="&amp;P40)</f>
        <v>0</v>
      </c>
      <c r="R41" s="33" t="e">
        <f>EXP((P41-$F$1)^2/(-2*$F$3))/SQRT(2*PI()*$F$3)*Estadística!$B$1</f>
        <v>#DIV/0!</v>
      </c>
    </row>
    <row r="42" spans="16:18" x14ac:dyDescent="0.25">
      <c r="P42" s="62">
        <v>195</v>
      </c>
      <c r="Q42" s="55">
        <f>COUNTIF(Notas!D:D,"&lt;="&amp;P42)-COUNTIF(Notas!D:D,"&lt;="&amp;P41)</f>
        <v>0</v>
      </c>
      <c r="R42" s="33" t="e">
        <f>EXP((P42-$F$1)^2/(-2*$F$3))/SQRT(2*PI()*$F$3)*Estadística!$B$1</f>
        <v>#DIV/0!</v>
      </c>
    </row>
    <row r="43" spans="16:18" x14ac:dyDescent="0.25">
      <c r="P43" s="62">
        <v>200</v>
      </c>
      <c r="Q43" s="55">
        <f>COUNTIF(Notas!D:D,"&lt;="&amp;P43)-COUNTIF(Notas!D:D,"&lt;="&amp;P42)</f>
        <v>0</v>
      </c>
      <c r="R43" s="33" t="e">
        <f>EXP((P43-$F$1)^2/(-2*$F$3))/SQRT(2*PI()*$F$3)*Estadística!$B$1</f>
        <v>#DIV/0!</v>
      </c>
    </row>
    <row r="44" spans="16:18" x14ac:dyDescent="0.25">
      <c r="P44" s="62">
        <v>205</v>
      </c>
      <c r="Q44" s="55">
        <f>COUNTIF(Notas!D:D,"&lt;="&amp;P44)-COUNTIF(Notas!D:D,"&lt;="&amp;P43)</f>
        <v>0</v>
      </c>
      <c r="R44" s="33" t="e">
        <f>EXP((P44-$F$1)^2/(-2*$F$3))/SQRT(2*PI()*$F$3)*Estadística!$B$1</f>
        <v>#DIV/0!</v>
      </c>
    </row>
    <row r="45" spans="16:18" x14ac:dyDescent="0.25">
      <c r="P45" s="62">
        <v>210</v>
      </c>
      <c r="Q45" s="55">
        <f>COUNTIF(Notas!D:D,"&lt;="&amp;P45)-COUNTIF(Notas!D:D,"&lt;="&amp;P44)</f>
        <v>0</v>
      </c>
      <c r="R45" s="33" t="e">
        <f>EXP((P45-$F$1)^2/(-2*$F$3))/SQRT(2*PI()*$F$3)*Estadística!$B$1</f>
        <v>#DIV/0!</v>
      </c>
    </row>
    <row r="46" spans="16:18" x14ac:dyDescent="0.25">
      <c r="P46" s="62">
        <v>215</v>
      </c>
      <c r="Q46" s="55">
        <f>COUNTIF(Notas!D:D,"&lt;="&amp;P46)-COUNTIF(Notas!D:D,"&lt;="&amp;P45)</f>
        <v>0</v>
      </c>
      <c r="R46" s="33" t="e">
        <f>EXP((P46-$F$1)^2/(-2*$F$3))/SQRT(2*PI()*$F$3)*Estadística!$B$1</f>
        <v>#DIV/0!</v>
      </c>
    </row>
    <row r="47" spans="16:18" x14ac:dyDescent="0.25">
      <c r="P47" s="62">
        <v>220</v>
      </c>
      <c r="Q47" s="55">
        <f>COUNTIF(Notas!D:D,"&lt;="&amp;P47)-COUNTIF(Notas!D:D,"&lt;="&amp;P46)</f>
        <v>0</v>
      </c>
      <c r="R47" s="33" t="e">
        <f>EXP((P47-$F$1)^2/(-2*$F$3))/SQRT(2*PI()*$F$3)*Estadística!$B$1</f>
        <v>#DIV/0!</v>
      </c>
    </row>
    <row r="48" spans="16:18" x14ac:dyDescent="0.25">
      <c r="P48" s="62">
        <v>225</v>
      </c>
      <c r="Q48" s="55">
        <f>COUNTIF(Notas!D:D,"&lt;="&amp;P48)-COUNTIF(Notas!D:D,"&lt;="&amp;P47)</f>
        <v>0</v>
      </c>
      <c r="R48" s="33" t="e">
        <f>EXP((P48-$F$1)^2/(-2*$F$3))/SQRT(2*PI()*$F$3)*Estadística!$B$1</f>
        <v>#DIV/0!</v>
      </c>
    </row>
    <row r="49" spans="16:18" x14ac:dyDescent="0.25">
      <c r="P49" s="62">
        <v>230</v>
      </c>
      <c r="Q49" s="55">
        <f>COUNTIF(Notas!D:D,"&lt;="&amp;P49)-COUNTIF(Notas!D:D,"&lt;="&amp;P48)</f>
        <v>0</v>
      </c>
      <c r="R49" s="33" t="e">
        <f>EXP((P49-$F$1)^2/(-2*$F$3))/SQRT(2*PI()*$F$3)*Estadística!$B$1</f>
        <v>#DIV/0!</v>
      </c>
    </row>
    <row r="50" spans="16:18" x14ac:dyDescent="0.25">
      <c r="P50" s="62">
        <v>235</v>
      </c>
      <c r="Q50" s="55">
        <f>COUNTIF(Notas!D:D,"&lt;="&amp;P50)-COUNTIF(Notas!D:D,"&lt;="&amp;P49)</f>
        <v>0</v>
      </c>
      <c r="R50" s="33" t="e">
        <f>EXP((P50-$F$1)^2/(-2*$F$3))/SQRT(2*PI()*$F$3)*Estadística!$B$1</f>
        <v>#DIV/0!</v>
      </c>
    </row>
    <row r="51" spans="16:18" ht="15.75" thickBot="1" x14ac:dyDescent="0.3">
      <c r="P51" s="63">
        <v>240</v>
      </c>
      <c r="Q51" s="64">
        <f>COUNTIF(Notas!D:D,"&lt;="&amp;P51)-COUNTIF(Notas!D:D,"&lt;="&amp;P50)</f>
        <v>0</v>
      </c>
      <c r="R51" s="34" t="e">
        <f>EXP((P51-$F$1)^2/(-2*$F$3))/SQRT(2*PI()*$F$3)*Estadística!$B$1</f>
        <v>#DIV/0!</v>
      </c>
    </row>
    <row r="52" spans="16:18" x14ac:dyDescent="0.25">
      <c r="Q52">
        <f>SUM(Q4:Q51)</f>
        <v>1</v>
      </c>
      <c r="R52" t="e">
        <f>SUM(R4:R51)</f>
        <v>#DIV/0!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8A3D2-DD46-49D0-96F5-9BA98146F843}">
  <dimension ref="B3:H28"/>
  <sheetViews>
    <sheetView zoomScale="85" zoomScaleNormal="85" workbookViewId="0">
      <selection activeCell="E28" sqref="E28"/>
    </sheetView>
  </sheetViews>
  <sheetFormatPr baseColWidth="10" defaultRowHeight="15" x14ac:dyDescent="0.25"/>
  <cols>
    <col min="5" max="5" width="12.28515625" bestFit="1" customWidth="1"/>
    <col min="6" max="6" width="13.28515625" bestFit="1" customWidth="1"/>
  </cols>
  <sheetData>
    <row r="3" spans="2:8" x14ac:dyDescent="0.25">
      <c r="D3" t="s">
        <v>36</v>
      </c>
      <c r="E3">
        <v>5.8154074312521944</v>
      </c>
      <c r="F3" t="s">
        <v>38</v>
      </c>
      <c r="G3">
        <v>6.4137430340189105</v>
      </c>
    </row>
    <row r="4" spans="2:8" x14ac:dyDescent="0.25">
      <c r="D4" t="s">
        <v>37</v>
      </c>
      <c r="E4">
        <v>4.4331233333245637</v>
      </c>
      <c r="F4" t="s">
        <v>39</v>
      </c>
      <c r="G4">
        <v>1.6223375982874726</v>
      </c>
    </row>
    <row r="5" spans="2:8" ht="15.75" thickBot="1" x14ac:dyDescent="0.3"/>
    <row r="6" spans="2:8" ht="15.75" thickBot="1" x14ac:dyDescent="0.3">
      <c r="B6" s="39" t="s">
        <v>7</v>
      </c>
      <c r="C6" s="38" t="s">
        <v>9</v>
      </c>
      <c r="D6" s="49" t="s">
        <v>12</v>
      </c>
      <c r="E6" s="68" t="s">
        <v>40</v>
      </c>
      <c r="F6" s="69" t="s">
        <v>41</v>
      </c>
      <c r="G6" s="65" t="s">
        <v>24</v>
      </c>
      <c r="H6" s="40" t="s">
        <v>19</v>
      </c>
    </row>
    <row r="7" spans="2:8" x14ac:dyDescent="0.25">
      <c r="B7" s="20">
        <v>0.5</v>
      </c>
      <c r="C7" s="35">
        <f>C8/2</f>
        <v>0</v>
      </c>
      <c r="D7" s="46">
        <f>COUNTIF(Notas!F:F,B7)</f>
        <v>0</v>
      </c>
      <c r="E7" s="70">
        <f>LOG(_xlfn.NORM.DIST($B7,$E$3,SQRT($E$4),TRUE)^$C7)</f>
        <v>0</v>
      </c>
      <c r="F7" s="70">
        <f>LOG(_xlfn.NORM.DIST(B7,$G$3,SQRT($G$4),TRUE)^D7)</f>
        <v>0</v>
      </c>
      <c r="G7" s="43">
        <f>_xlfn.NORM.DIST(B7,$E$3,SQRT($E$4),TRUE)*Pelis</f>
        <v>5.7925488621560443E-3</v>
      </c>
      <c r="H7" s="51">
        <f>_xlfn.NORM.DIST(B8,$G$3,SQRT($G$4),TRUE)*Pelis</f>
        <v>1.0670751456919622E-5</v>
      </c>
    </row>
    <row r="8" spans="2:8" x14ac:dyDescent="0.25">
      <c r="B8" s="22">
        <v>1</v>
      </c>
      <c r="C8" s="36">
        <f>COUNTIF(Notas!B:B,B8)/2</f>
        <v>0</v>
      </c>
      <c r="D8" s="47">
        <f>COUNTIF(Notas!F:F,B8)</f>
        <v>0</v>
      </c>
      <c r="E8" s="71">
        <f>LOG((_xlfn.NORM.DIST(B8,$E$3,SQRT($E$4),TRUE)-_xlfn.NORM.DIST(B7,$E$3,SQRT($E$4),TRUE))^C8)</f>
        <v>0</v>
      </c>
      <c r="F8" s="71">
        <f>LOG((_xlfn.NORM.DIST(B8,$G$3,SQRT($G$4),TRUE)-_xlfn.NORM.DIST(B7,$G$3,SQRT($G$4),TRUE))^$D8)</f>
        <v>0</v>
      </c>
      <c r="G8" s="44">
        <f t="shared" ref="G8:G26" si="0">(_xlfn.NORM.DIST(B8,$E$3,SQRT($E$4),TRUE)-_xlfn.NORM.DIST(B7,$E$3,SQRT($E$4),TRUE))*Pelis</f>
        <v>5.3035236315983354E-3</v>
      </c>
      <c r="H8" s="52">
        <f t="shared" ref="H8:H26" si="1">(_xlfn.NORM.DIST(B8,$G$3,SQRT($G$4),TRUE)-_xlfn.NORM.DIST(B7,$G$3,SQRT($G$4),TRUE))*Pelis</f>
        <v>8.9532107336445599E-6</v>
      </c>
    </row>
    <row r="9" spans="2:8" x14ac:dyDescent="0.25">
      <c r="B9" s="22">
        <v>1.5</v>
      </c>
      <c r="C9" s="36">
        <f>(C8+C10)/2</f>
        <v>0.25</v>
      </c>
      <c r="D9" s="47">
        <f>COUNTIF(Notas!F:F,B9)</f>
        <v>0</v>
      </c>
      <c r="E9" s="71">
        <f t="shared" ref="E9:E26" si="2">LOG((_xlfn.NORM.DIST(B9,$E$3,SQRT($E$4),TRUE)-_xlfn.NORM.DIST(B8,$E$3,SQRT($E$4),TRUE))^C9)</f>
        <v>-0.510165965966482</v>
      </c>
      <c r="F9" s="71">
        <f t="shared" ref="F9:F26" si="3">LOG((_xlfn.NORM.DIST(B9,$G$3,SQRT($G$4),TRUE)-_xlfn.NORM.DIST(B8,$G$3,SQRT($G$4),TRUE))^$D9)</f>
        <v>0</v>
      </c>
      <c r="G9" s="44">
        <f t="shared" si="0"/>
        <v>9.1061780178500785E-3</v>
      </c>
      <c r="H9" s="52">
        <f t="shared" si="1"/>
        <v>4.6530954287035938E-5</v>
      </c>
    </row>
    <row r="10" spans="2:8" x14ac:dyDescent="0.25">
      <c r="B10" s="22">
        <v>2</v>
      </c>
      <c r="C10" s="36">
        <f>COUNTIF(Notas!B:B,B10)/2</f>
        <v>0.5</v>
      </c>
      <c r="D10" s="47">
        <f>COUNTIF(Notas!F:F,B10)</f>
        <v>0</v>
      </c>
      <c r="E10" s="71">
        <f t="shared" si="2"/>
        <v>-0.91513515531428258</v>
      </c>
      <c r="F10" s="71">
        <f t="shared" si="3"/>
        <v>0</v>
      </c>
      <c r="G10" s="44">
        <f t="shared" si="0"/>
        <v>1.478188057990508E-2</v>
      </c>
      <c r="H10" s="52">
        <f t="shared" si="1"/>
        <v>2.0765310065299676E-4</v>
      </c>
    </row>
    <row r="11" spans="2:8" x14ac:dyDescent="0.25">
      <c r="B11" s="22">
        <v>2.5</v>
      </c>
      <c r="C11" s="36">
        <f>(C10+C12)/2</f>
        <v>0.25</v>
      </c>
      <c r="D11" s="47">
        <f>COUNTIF(Notas!F:F,B11)</f>
        <v>0</v>
      </c>
      <c r="E11" s="71">
        <f t="shared" si="2"/>
        <v>-0.41106363090054054</v>
      </c>
      <c r="F11" s="71">
        <f t="shared" si="3"/>
        <v>0</v>
      </c>
      <c r="G11" s="44">
        <f t="shared" si="0"/>
        <v>2.2685349595145655E-2</v>
      </c>
      <c r="H11" s="52">
        <f t="shared" si="1"/>
        <v>7.9576485490160656E-4</v>
      </c>
    </row>
    <row r="12" spans="2:8" x14ac:dyDescent="0.25">
      <c r="B12" s="22">
        <v>3</v>
      </c>
      <c r="C12" s="36">
        <f>COUNTIF(Notas!B:B,B12)/2</f>
        <v>0</v>
      </c>
      <c r="D12" s="47">
        <f>COUNTIF(Notas!F:F,B12)</f>
        <v>0</v>
      </c>
      <c r="E12" s="71">
        <f t="shared" si="2"/>
        <v>0</v>
      </c>
      <c r="F12" s="71">
        <f t="shared" si="3"/>
        <v>0</v>
      </c>
      <c r="G12" s="44">
        <f t="shared" si="0"/>
        <v>3.2914235407240124E-2</v>
      </c>
      <c r="H12" s="52">
        <f t="shared" si="1"/>
        <v>2.6187638771519059E-3</v>
      </c>
    </row>
    <row r="13" spans="2:8" x14ac:dyDescent="0.25">
      <c r="B13" s="22">
        <v>3.5</v>
      </c>
      <c r="C13" s="36">
        <f>(C12+C14)/2</f>
        <v>0</v>
      </c>
      <c r="D13" s="47">
        <f>COUNTIF(Notas!F:F,B13)</f>
        <v>0</v>
      </c>
      <c r="E13" s="71">
        <f t="shared" si="2"/>
        <v>0</v>
      </c>
      <c r="F13" s="71">
        <f t="shared" si="3"/>
        <v>0</v>
      </c>
      <c r="G13" s="44">
        <f t="shared" si="0"/>
        <v>4.5148654453109976E-2</v>
      </c>
      <c r="H13" s="52">
        <f t="shared" si="1"/>
        <v>7.400945940858444E-3</v>
      </c>
    </row>
    <row r="14" spans="2:8" x14ac:dyDescent="0.25">
      <c r="B14" s="22">
        <v>4</v>
      </c>
      <c r="C14" s="36">
        <f>COUNTIF(Notas!B:B,B14)/2</f>
        <v>0</v>
      </c>
      <c r="D14" s="47">
        <f>COUNTIF(Notas!F:F,B14)</f>
        <v>0</v>
      </c>
      <c r="E14" s="71">
        <f t="shared" si="2"/>
        <v>0</v>
      </c>
      <c r="F14" s="71">
        <f t="shared" si="3"/>
        <v>0</v>
      </c>
      <c r="G14" s="44">
        <f t="shared" si="0"/>
        <v>5.8550256516192611E-2</v>
      </c>
      <c r="H14" s="52">
        <f t="shared" si="1"/>
        <v>1.796263352278547E-2</v>
      </c>
    </row>
    <row r="15" spans="2:8" x14ac:dyDescent="0.25">
      <c r="B15" s="22">
        <v>4.5</v>
      </c>
      <c r="C15" s="36">
        <f>(C14+C16)/2</f>
        <v>0</v>
      </c>
      <c r="D15" s="47">
        <f>COUNTIF(Notas!F:F,B15)</f>
        <v>0</v>
      </c>
      <c r="E15" s="71">
        <f t="shared" si="2"/>
        <v>0</v>
      </c>
      <c r="F15" s="71">
        <f t="shared" si="3"/>
        <v>0</v>
      </c>
      <c r="G15" s="44">
        <f t="shared" si="0"/>
        <v>7.1785364468036045E-2</v>
      </c>
      <c r="H15" s="52">
        <f t="shared" si="1"/>
        <v>3.744170915363889E-2</v>
      </c>
    </row>
    <row r="16" spans="2:8" x14ac:dyDescent="0.25">
      <c r="B16" s="22">
        <v>5</v>
      </c>
      <c r="C16" s="36">
        <f>COUNTIF(Notas!B:B,B16)/2</f>
        <v>0</v>
      </c>
      <c r="D16" s="47">
        <f>COUNTIF(Notas!F:F,B16)</f>
        <v>0</v>
      </c>
      <c r="E16" s="71">
        <f t="shared" si="2"/>
        <v>0</v>
      </c>
      <c r="F16" s="71">
        <f t="shared" si="3"/>
        <v>0</v>
      </c>
      <c r="G16" s="44">
        <f t="shared" si="0"/>
        <v>8.320822664083477E-2</v>
      </c>
      <c r="H16" s="52">
        <f t="shared" si="1"/>
        <v>6.7027571512691578E-2</v>
      </c>
    </row>
    <row r="17" spans="2:8" x14ac:dyDescent="0.25">
      <c r="B17" s="22">
        <v>5.5</v>
      </c>
      <c r="C17" s="36">
        <f>(C16+C18)/2</f>
        <v>0</v>
      </c>
      <c r="D17" s="47">
        <f>COUNTIF(Notas!F:F,B17)</f>
        <v>1</v>
      </c>
      <c r="E17" s="71">
        <f t="shared" si="2"/>
        <v>0</v>
      </c>
      <c r="F17" s="71">
        <f t="shared" si="3"/>
        <v>-0.98692905260139052</v>
      </c>
      <c r="G17" s="44">
        <f t="shared" si="0"/>
        <v>9.1184278782524775E-2</v>
      </c>
      <c r="H17" s="52">
        <f t="shared" si="1"/>
        <v>0.10305544605641351</v>
      </c>
    </row>
    <row r="18" spans="2:8" x14ac:dyDescent="0.25">
      <c r="B18" s="22">
        <v>6</v>
      </c>
      <c r="C18" s="36">
        <f>COUNTIF(Notas!B:B,B18)/2</f>
        <v>0</v>
      </c>
      <c r="D18" s="47">
        <f>COUNTIF(Notas!F:F,B18)</f>
        <v>0</v>
      </c>
      <c r="E18" s="71">
        <f t="shared" si="2"/>
        <v>0</v>
      </c>
      <c r="F18" s="71">
        <f t="shared" si="3"/>
        <v>0</v>
      </c>
      <c r="G18" s="44">
        <f t="shared" si="0"/>
        <v>9.4470686747302468E-2</v>
      </c>
      <c r="H18" s="52">
        <f t="shared" si="1"/>
        <v>0.13608606230328921</v>
      </c>
    </row>
    <row r="19" spans="2:8" x14ac:dyDescent="0.25">
      <c r="B19" s="22">
        <v>6.5</v>
      </c>
      <c r="C19" s="36">
        <f>(C18+C20)/2</f>
        <v>0</v>
      </c>
      <c r="D19" s="47">
        <f>COUNTIF(Notas!F:F,B19)</f>
        <v>0</v>
      </c>
      <c r="E19" s="71">
        <f t="shared" si="2"/>
        <v>0</v>
      </c>
      <c r="F19" s="71">
        <f t="shared" si="3"/>
        <v>0</v>
      </c>
      <c r="G19" s="44">
        <f t="shared" si="0"/>
        <v>9.2533204903991528E-2</v>
      </c>
      <c r="H19" s="52">
        <f t="shared" si="1"/>
        <v>0.15434239427286445</v>
      </c>
    </row>
    <row r="20" spans="2:8" x14ac:dyDescent="0.25">
      <c r="B20" s="22">
        <v>7</v>
      </c>
      <c r="C20" s="36">
        <f>COUNTIF(Notas!B:B,B20)/2</f>
        <v>0</v>
      </c>
      <c r="D20" s="47">
        <f>COUNTIF(Notas!F:F,B20)</f>
        <v>0</v>
      </c>
      <c r="E20" s="71">
        <f t="shared" si="2"/>
        <v>0</v>
      </c>
      <c r="F20" s="71">
        <f t="shared" si="3"/>
        <v>0</v>
      </c>
      <c r="G20" s="44">
        <f t="shared" si="0"/>
        <v>8.5688304490451506E-2</v>
      </c>
      <c r="H20" s="52">
        <f t="shared" si="1"/>
        <v>0.15034443690384314</v>
      </c>
    </row>
    <row r="21" spans="2:8" x14ac:dyDescent="0.25">
      <c r="B21" s="22">
        <v>7.5</v>
      </c>
      <c r="C21" s="36">
        <f>(C20+C22)/2</f>
        <v>0</v>
      </c>
      <c r="D21" s="47">
        <f>COUNTIF(Notas!F:F,B21)</f>
        <v>0</v>
      </c>
      <c r="E21" s="71">
        <f t="shared" si="2"/>
        <v>0</v>
      </c>
      <c r="F21" s="71">
        <f t="shared" si="3"/>
        <v>0</v>
      </c>
      <c r="G21" s="44">
        <f t="shared" si="0"/>
        <v>7.5018583302613351E-2</v>
      </c>
      <c r="H21" s="52">
        <f t="shared" si="1"/>
        <v>0.12578234601277249</v>
      </c>
    </row>
    <row r="22" spans="2:8" x14ac:dyDescent="0.25">
      <c r="B22" s="22">
        <v>8</v>
      </c>
      <c r="C22" s="36">
        <f>COUNTIF(Notas!B:B,B22)/2</f>
        <v>0</v>
      </c>
      <c r="D22" s="47">
        <f>COUNTIF(Notas!F:F,B22)</f>
        <v>0</v>
      </c>
      <c r="E22" s="71">
        <f t="shared" si="2"/>
        <v>0</v>
      </c>
      <c r="F22" s="71">
        <f t="shared" si="3"/>
        <v>0</v>
      </c>
      <c r="G22" s="44">
        <f t="shared" si="0"/>
        <v>6.2092542712243848E-2</v>
      </c>
      <c r="H22" s="52">
        <f t="shared" si="1"/>
        <v>9.0381567263075557E-2</v>
      </c>
    </row>
    <row r="23" spans="2:8" x14ac:dyDescent="0.25">
      <c r="B23" s="22">
        <v>8.5</v>
      </c>
      <c r="C23" s="36">
        <f>(C22+C24)/2</f>
        <v>0</v>
      </c>
      <c r="D23" s="47">
        <f>COUNTIF(Notas!F:F,B23)</f>
        <v>0</v>
      </c>
      <c r="E23" s="71">
        <f t="shared" si="2"/>
        <v>0</v>
      </c>
      <c r="F23" s="71">
        <f t="shared" si="3"/>
        <v>0</v>
      </c>
      <c r="G23" s="44">
        <f t="shared" si="0"/>
        <v>4.8588465796543967E-2</v>
      </c>
      <c r="H23" s="52">
        <f t="shared" si="1"/>
        <v>5.5778081184472583E-2</v>
      </c>
    </row>
    <row r="24" spans="2:8" x14ac:dyDescent="0.25">
      <c r="B24" s="22">
        <v>9</v>
      </c>
      <c r="C24" s="36">
        <f>COUNTIF(Notas!B:B,B24)/2</f>
        <v>0</v>
      </c>
      <c r="D24" s="47">
        <f>COUNTIF(Notas!F:F,B24)</f>
        <v>0</v>
      </c>
      <c r="E24" s="71">
        <f t="shared" si="2"/>
        <v>0</v>
      </c>
      <c r="F24" s="71">
        <f t="shared" si="3"/>
        <v>0</v>
      </c>
      <c r="G24" s="44">
        <f t="shared" si="0"/>
        <v>3.5945946585823285E-2</v>
      </c>
      <c r="H24" s="52">
        <f t="shared" si="1"/>
        <v>2.9564091935930681E-2</v>
      </c>
    </row>
    <row r="25" spans="2:8" x14ac:dyDescent="0.25">
      <c r="B25" s="22">
        <v>9.5</v>
      </c>
      <c r="C25" s="36">
        <f>(C24+C26)/2</f>
        <v>0</v>
      </c>
      <c r="D25" s="47">
        <f>COUNTIF(Notas!F:F,B25)</f>
        <v>0</v>
      </c>
      <c r="E25" s="71">
        <f t="shared" si="2"/>
        <v>0</v>
      </c>
      <c r="F25" s="71">
        <f t="shared" si="3"/>
        <v>0</v>
      </c>
      <c r="G25" s="44">
        <f t="shared" si="0"/>
        <v>2.5141400473080999E-2</v>
      </c>
      <c r="H25" s="52">
        <f t="shared" si="1"/>
        <v>1.345781882502084E-2</v>
      </c>
    </row>
    <row r="26" spans="2:8" ht="15.75" thickBot="1" x14ac:dyDescent="0.3">
      <c r="B26" s="23">
        <v>10</v>
      </c>
      <c r="C26" s="37">
        <f>COUNTIF(Notas!B:B,B26)/2</f>
        <v>0</v>
      </c>
      <c r="D26" s="48">
        <f>COUNTIF(Notas!F:F,B26)</f>
        <v>0</v>
      </c>
      <c r="E26" s="72">
        <f t="shared" si="2"/>
        <v>0</v>
      </c>
      <c r="F26" s="72">
        <f t="shared" si="3"/>
        <v>0</v>
      </c>
      <c r="G26" s="45">
        <f t="shared" si="0"/>
        <v>1.6624614389095349E-2</v>
      </c>
      <c r="H26" s="53">
        <f t="shared" si="1"/>
        <v>5.2611911884490326E-3</v>
      </c>
    </row>
    <row r="28" spans="2:8" x14ac:dyDescent="0.25">
      <c r="E28">
        <f>SUM(E7:E26)</f>
        <v>-1.8363647521813053</v>
      </c>
      <c r="F28">
        <f>SUM(F7:F26)</f>
        <v>-0.98692905260139052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5ED56-93C2-495B-9ED0-E04AF59C2259}">
  <dimension ref="A1:E4"/>
  <sheetViews>
    <sheetView workbookViewId="0">
      <selection activeCell="B4" sqref="B4"/>
    </sheetView>
  </sheetViews>
  <sheetFormatPr baseColWidth="10" defaultRowHeight="15" x14ac:dyDescent="0.25"/>
  <cols>
    <col min="2" max="2" width="11.42578125" style="73"/>
  </cols>
  <sheetData>
    <row r="1" spans="1:5" x14ac:dyDescent="0.25">
      <c r="A1" t="s">
        <v>42</v>
      </c>
      <c r="B1" s="73">
        <f>AVERAGE(Visionados)</f>
        <v>26047</v>
      </c>
      <c r="D1" t="s">
        <v>48</v>
      </c>
      <c r="E1" s="73">
        <f>MAX(Visionados)</f>
        <v>26047</v>
      </c>
    </row>
    <row r="2" spans="1:5" x14ac:dyDescent="0.25">
      <c r="A2" t="s">
        <v>20</v>
      </c>
      <c r="B2" s="73">
        <f>MEDIAN(Visionados)</f>
        <v>26047</v>
      </c>
      <c r="D2" t="s">
        <v>49</v>
      </c>
      <c r="E2">
        <f>MIN(Visionados)</f>
        <v>26047</v>
      </c>
    </row>
    <row r="4" spans="1:5" x14ac:dyDescent="0.25">
      <c r="A4" t="s">
        <v>43</v>
      </c>
      <c r="B4" s="74">
        <v>62533</v>
      </c>
      <c r="C4" t="s">
        <v>44</v>
      </c>
      <c r="D4" s="2">
        <f>COUNTIF(Visionados,"&lt;="&amp;B4)/Pelis</f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14</vt:i4>
      </vt:variant>
    </vt:vector>
  </HeadingPairs>
  <TitlesOfParts>
    <vt:vector size="21" baseType="lpstr">
      <vt:lpstr>Notas</vt:lpstr>
      <vt:lpstr>Graficas</vt:lpstr>
      <vt:lpstr>Estadística</vt:lpstr>
      <vt:lpstr>Normales</vt:lpstr>
      <vt:lpstr>Tiempos</vt:lpstr>
      <vt:lpstr>MaxVero</vt:lpstr>
      <vt:lpstr>Visionados</vt:lpstr>
      <vt:lpstr>DesvFA</vt:lpstr>
      <vt:lpstr>DesvMia</vt:lpstr>
      <vt:lpstr>Duraciones</vt:lpstr>
      <vt:lpstr>MediaFA</vt:lpstr>
      <vt:lpstr>MediaMia</vt:lpstr>
      <vt:lpstr>MedianaFA</vt:lpstr>
      <vt:lpstr>MedianaMia</vt:lpstr>
      <vt:lpstr>NotasFA</vt:lpstr>
      <vt:lpstr>NotasMias</vt:lpstr>
      <vt:lpstr>NotasMiasRuido</vt:lpstr>
      <vt:lpstr>Pelis</vt:lpstr>
      <vt:lpstr>VarFA</vt:lpstr>
      <vt:lpstr>VarMia</vt:lpstr>
      <vt:lpstr>Visionados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2021-06-05T22:17:58Z</dcterms:modified>
</cp:coreProperties>
</file>