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 hidePivotFieldList="1"/>
  <xr:revisionPtr revIDLastSave="0" documentId="13_ncr:1_{E6E1AEC5-5890-4D82-8D6E-5D763BC59F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Estadística!$D$3</definedName>
    <definedName name="DesvMia">Estadística!$D$4</definedName>
    <definedName name="Duraciones">Notas!$D:$D</definedName>
    <definedName name="MediaFA">Estadística!$B$3</definedName>
    <definedName name="MediaMia">Estadística!$B$4</definedName>
    <definedName name="MedianaFA">Estadística!$H$3</definedName>
    <definedName name="MedianaMia">Estadística!$H$4</definedName>
    <definedName name="NotasFA">Notas!$C:$C</definedName>
    <definedName name="NotasMias">Notas!$B:$B</definedName>
    <definedName name="NotasMiasRuido">Notas!$K:$K</definedName>
    <definedName name="Pelis">Estadística!$B$1</definedName>
    <definedName name="Pelis_con_nota">Estadística!$B$2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Estadística!$F$3</definedName>
    <definedName name="VarMia">Estadística!$F$4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" i="5" l="1"/>
  <c r="I16" i="5"/>
  <c r="H16" i="5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20" i="6"/>
  <c r="C20" i="6"/>
  <c r="C39" i="6"/>
  <c r="C33" i="6"/>
  <c r="C23" i="6"/>
  <c r="C25" i="6"/>
  <c r="C27" i="6"/>
  <c r="C29" i="6"/>
  <c r="C31" i="6"/>
  <c r="C35" i="6"/>
  <c r="C37" i="6"/>
  <c r="C21" i="6"/>
  <c r="E40" i="6"/>
  <c r="F20" i="6"/>
  <c r="F40" i="6" s="1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21" i="6"/>
  <c r="F6" i="6"/>
  <c r="F7" i="6"/>
  <c r="F8" i="6"/>
  <c r="F9" i="6"/>
  <c r="F10" i="6"/>
  <c r="F11" i="6"/>
  <c r="F12" i="6"/>
  <c r="F13" i="6"/>
  <c r="F5" i="6"/>
  <c r="F4" i="6"/>
  <c r="E13" i="6"/>
  <c r="E6" i="6"/>
  <c r="E7" i="6"/>
  <c r="E8" i="6"/>
  <c r="E9" i="6"/>
  <c r="E10" i="6"/>
  <c r="E11" i="6"/>
  <c r="E12" i="6"/>
  <c r="E5" i="6"/>
  <c r="E4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D6" i="6"/>
  <c r="D7" i="6"/>
  <c r="D8" i="6"/>
  <c r="D9" i="6"/>
  <c r="D10" i="6"/>
  <c r="D11" i="6"/>
  <c r="D12" i="6"/>
  <c r="D5" i="6"/>
  <c r="D13" i="6"/>
  <c r="D4" i="6"/>
  <c r="C4" i="6"/>
  <c r="C5" i="6"/>
  <c r="C6" i="6"/>
  <c r="C7" i="6"/>
  <c r="C8" i="6"/>
  <c r="C9" i="6"/>
  <c r="C10" i="6"/>
  <c r="C11" i="6"/>
  <c r="C12" i="6"/>
  <c r="C13" i="6"/>
  <c r="B2" i="5"/>
  <c r="G16" i="5" s="1"/>
  <c r="B1" i="5"/>
  <c r="D17" i="5"/>
  <c r="L3" i="5"/>
  <c r="J3" i="5"/>
  <c r="H3" i="5"/>
  <c r="F3" i="5"/>
  <c r="D3" i="5"/>
  <c r="L2" i="3"/>
  <c r="M1" i="4"/>
  <c r="M2" i="4"/>
  <c r="H1" i="4"/>
  <c r="H2" i="4" a="1"/>
  <c r="H2" i="4" s="1"/>
  <c r="H3" i="4" a="1"/>
  <c r="H3" i="4" s="1"/>
  <c r="F1" i="4"/>
  <c r="F2" i="4"/>
  <c r="F3" i="4"/>
  <c r="C2" i="4"/>
  <c r="C28" i="6"/>
  <c r="C36" i="6"/>
  <c r="C30" i="6"/>
  <c r="C24" i="6"/>
  <c r="C26" i="6"/>
  <c r="C34" i="6"/>
  <c r="C38" i="6"/>
  <c r="C32" i="6"/>
  <c r="C22" i="6"/>
  <c r="D40" i="6" l="1"/>
  <c r="H2" i="3"/>
  <c r="B4" i="5"/>
  <c r="B17" i="5" s="1"/>
  <c r="B3" i="5"/>
  <c r="B16" i="5" s="1"/>
  <c r="J2" i="3" l="1"/>
  <c r="B11" i="5" s="1"/>
  <c r="B5" i="5"/>
  <c r="B10" i="5"/>
  <c r="B9" i="5"/>
  <c r="E2" i="10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N4" i="5"/>
  <c r="L4" i="5"/>
  <c r="J4" i="5"/>
  <c r="H4" i="5"/>
  <c r="F4" i="5"/>
  <c r="D4" i="5"/>
  <c r="C11" i="7" l="1"/>
  <c r="C19" i="7"/>
  <c r="E19" i="7" s="1"/>
  <c r="C9" i="7"/>
  <c r="E9" i="7" s="1"/>
  <c r="C17" i="7"/>
  <c r="E17" i="7" s="1"/>
  <c r="C25" i="7"/>
  <c r="C23" i="7"/>
  <c r="E23" i="7" s="1"/>
  <c r="C15" i="7"/>
  <c r="E15" i="7" s="1"/>
  <c r="C21" i="7"/>
  <c r="E21" i="7" s="1"/>
  <c r="C7" i="7"/>
  <c r="E7" i="7" s="1"/>
  <c r="C13" i="7"/>
  <c r="E13" i="7" s="1"/>
  <c r="E20" i="7"/>
  <c r="E24" i="7"/>
  <c r="E12" i="7"/>
  <c r="E8" i="7"/>
  <c r="E11" i="7"/>
  <c r="E16" i="7"/>
  <c r="E26" i="7"/>
  <c r="E22" i="7"/>
  <c r="E18" i="7"/>
  <c r="E14" i="7"/>
  <c r="E10" i="7"/>
  <c r="E25" i="7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7"/>
  <c r="N3" i="5"/>
  <c r="V28" i="4" l="1"/>
  <c r="D8" i="5" l="1"/>
  <c r="D4" i="10" l="1"/>
  <c r="G17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R52" i="4" l="1"/>
  <c r="F14" i="6"/>
  <c r="E14" i="6"/>
  <c r="K2" i="3" l="1"/>
  <c r="S20" i="6" l="1" a="1"/>
  <c r="S20" i="6" s="1"/>
  <c r="N2" i="3"/>
  <c r="D16" i="5" s="1"/>
  <c r="M2" i="3"/>
  <c r="C40" i="6" l="1"/>
  <c r="G2" i="3"/>
  <c r="D10" i="7" l="1"/>
  <c r="F10" i="7" s="1"/>
  <c r="D14" i="7"/>
  <c r="F14" i="7" s="1"/>
  <c r="D18" i="7"/>
  <c r="F18" i="7" s="1"/>
  <c r="D22" i="7"/>
  <c r="F22" i="7" s="1"/>
  <c r="D8" i="7"/>
  <c r="F8" i="7" s="1"/>
  <c r="D11" i="7"/>
  <c r="F11" i="7" s="1"/>
  <c r="D15" i="7"/>
  <c r="F15" i="7" s="1"/>
  <c r="D19" i="7"/>
  <c r="F19" i="7" s="1"/>
  <c r="D23" i="7"/>
  <c r="F23" i="7" s="1"/>
  <c r="D7" i="7"/>
  <c r="F7" i="7" s="1"/>
  <c r="D13" i="7"/>
  <c r="F13" i="7" s="1"/>
  <c r="D21" i="7"/>
  <c r="F21" i="7" s="1"/>
  <c r="D26" i="7"/>
  <c r="F26" i="7" s="1"/>
  <c r="D12" i="7"/>
  <c r="F12" i="7" s="1"/>
  <c r="D16" i="7"/>
  <c r="F16" i="7" s="1"/>
  <c r="D20" i="7"/>
  <c r="F20" i="7" s="1"/>
  <c r="D24" i="7"/>
  <c r="F24" i="7" s="1"/>
  <c r="D9" i="7"/>
  <c r="F9" i="7" s="1"/>
  <c r="D17" i="7"/>
  <c r="F17" i="7" s="1"/>
  <c r="D25" i="7"/>
  <c r="F25" i="7" s="1"/>
  <c r="F28" i="7" l="1"/>
  <c r="S21" i="6" a="1"/>
  <c r="S21" i="6" s="1"/>
  <c r="I2" i="3"/>
  <c r="B6" i="5" l="1"/>
  <c r="D6" i="5"/>
  <c r="B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6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1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<sst xmlns="http://schemas.openxmlformats.org/spreadsheetml/2006/main" count="90" uniqueCount="67">
  <si>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</si>
  <si>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</si>
  <si>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</si>
  <si>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</si>
  <si>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</si>
  <si>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</si>
  <si>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</si>
  <si>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</si>
  <si>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</si>
  <si>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</si>
  <si>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</si>
  <si>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</si>
  <si>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</si>
  <si>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</si>
  <si>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</si>
  <si>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</si>
  <si>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</si>
  <si>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</si>
  <si>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</si>
  <si>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</si>
  <si>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</si>
  <si>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</si>
  <si>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</si>
  <si>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</si>
  <si>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</si>
  <si>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</si>
  <si>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</si>
  <si>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</si>
  <si>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</si>
  <si>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</si>
  <si>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</si>
  <si>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</si>
  <si>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</si>
  <si>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</si>
  <si>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</si>
  <si>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</si>
  <si>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</si>
  <si>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</si>
  <si>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</si>
  <si>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</si>
  <si>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</si>
  <si>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</si>
  <si>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</si>
  <si>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</si>
  <si>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</si>
  <si>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</si>
  <si>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</si>
  <si>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</si>
  <si>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</si>
  <si>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</si>
  <si>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</si>
  <si>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</si>
  <si>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</si>
  <si>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Diferencia</t>
  </si>
  <si>
    <t>Id</t>
  </si>
  <si>
    <t>Varianza_FA</t>
  </si>
  <si>
    <t>FA_redondeo</t>
  </si>
  <si>
    <t>Diferencia_abs</t>
  </si>
  <si>
    <t>Me_ha_gustado</t>
  </si>
  <si>
    <t>Mia_ruido</t>
  </si>
  <si>
    <t>FA_ruido</t>
  </si>
  <si>
    <t>Mia_rees</t>
  </si>
  <si>
    <t>FA_rees</t>
  </si>
  <si>
    <t>Pelis con nota</t>
  </si>
  <si>
    <t>Puntos</t>
  </si>
  <si>
    <t>Nota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</si>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</sst>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2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1" fontId="0" fillId="0" borderId="0" xfId="0" applyNumberFormat="1"/>
    <xf numFmtId="0" fontId="0" fillId="5" borderId="9" xfId="0" applyFill="1" applyBorder="1"/>
    <xf numFmtId="0" fontId="0" fillId="3" borderId="10" xfId="0" applyFill="1" applyBorder="1"/>
    <xf numFmtId="0" fontId="0" fillId="5" borderId="12" xfId="0" applyFill="1" applyBorder="1"/>
    <xf numFmtId="0" fontId="0" fillId="5" borderId="14" xfId="0" applyFill="1" applyBorder="1"/>
    <xf numFmtId="0" fontId="0" fillId="3" borderId="15" xfId="0" applyFill="1" applyBorder="1"/>
    <xf numFmtId="0" fontId="0" fillId="4" borderId="10" xfId="0" applyFill="1" applyBorder="1"/>
    <xf numFmtId="0" fontId="0" fillId="4" borderId="15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7" xfId="0" applyNumberFormat="1" applyBorder="1"/>
    <xf numFmtId="1" fontId="0" fillId="0" borderId="18" xfId="0" applyNumberFormat="1" applyBorder="1"/>
    <xf numFmtId="1" fontId="0" fillId="3" borderId="10" xfId="0" applyNumberFormat="1" applyFill="1" applyBorder="1"/>
    <xf numFmtId="1" fontId="0" fillId="3" borderId="1" xfId="0" applyNumberFormat="1" applyFill="1" applyBorder="1"/>
    <xf numFmtId="1" fontId="0" fillId="3" borderId="15" xfId="0" applyNumberFormat="1" applyFill="1" applyBorder="1"/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" fontId="0" fillId="0" borderId="19" xfId="0" applyNumberFormat="1" applyBorder="1"/>
    <xf numFmtId="1" fontId="0" fillId="0" borderId="10" xfId="0" applyNumberFormat="1" applyBorder="1"/>
    <xf numFmtId="1" fontId="0" fillId="0" borderId="1" xfId="0" applyNumberFormat="1" applyBorder="1"/>
    <xf numFmtId="1" fontId="0" fillId="0" borderId="15" xfId="0" applyNumberFormat="1" applyBorder="1"/>
    <xf numFmtId="1" fontId="0" fillId="4" borderId="10" xfId="0" applyNumberFormat="1" applyFill="1" applyBorder="1"/>
    <xf numFmtId="1" fontId="0" fillId="4" borderId="1" xfId="0" applyNumberFormat="1" applyFill="1" applyBorder="1"/>
    <xf numFmtId="1" fontId="0" fillId="4" borderId="15" xfId="0" applyNumberFormat="1" applyFill="1" applyBorder="1"/>
    <xf numFmtId="0" fontId="0" fillId="2" borderId="20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1" xfId="0" applyNumberFormat="1" applyFill="1" applyBorder="1"/>
    <xf numFmtId="1" fontId="0" fillId="0" borderId="13" xfId="0" applyNumberFormat="1" applyFill="1" applyBorder="1"/>
    <xf numFmtId="1" fontId="0" fillId="0" borderId="16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1" xfId="0" applyFill="1" applyBorder="1"/>
    <xf numFmtId="0" fontId="0" fillId="0" borderId="22" xfId="0" applyBorder="1"/>
    <xf numFmtId="0" fontId="0" fillId="5" borderId="23" xfId="0" applyFill="1" applyBorder="1"/>
    <xf numFmtId="0" fontId="0" fillId="5" borderId="24" xfId="0" applyFill="1" applyBorder="1"/>
    <xf numFmtId="0" fontId="0" fillId="0" borderId="25" xfId="0" applyBorder="1"/>
    <xf numFmtId="0" fontId="0" fillId="2" borderId="26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2" xfId="0" applyNumberFormat="1" applyBorder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2" fontId="0" fillId="0" borderId="22" xfId="0" applyNumberFormat="1" applyBorder="1"/>
    <xf numFmtId="2" fontId="0" fillId="0" borderId="0" xfId="0" applyNumberFormat="1" applyBorder="1"/>
    <xf numFmtId="2" fontId="0" fillId="0" borderId="25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1" fontId="3" fillId="0" borderId="0" xfId="0" applyNumberFormat="1" applyFont="1" applyAlignment="1">
      <alignment horizontal="center" vertical="center"/>
    </xf>
    <xf numFmtId="4" fontId="0" fillId="0" borderId="0" xfId="0" applyNumberFormat="1"/>
    <xf numFmtId="0" fontId="0" fillId="5" borderId="31" xfId="0" applyFill="1" applyBorder="1"/>
    <xf numFmtId="0" fontId="0" fillId="5" borderId="30" xfId="0" applyFill="1" applyBorder="1"/>
    <xf numFmtId="0" fontId="0" fillId="5" borderId="32" xfId="0" applyFill="1" applyBorder="1"/>
    <xf numFmtId="1" fontId="0" fillId="0" borderId="0" xfId="0" applyNumberFormat="1" applyBorder="1"/>
    <xf numFmtId="0" fontId="0" fillId="2" borderId="3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" fontId="0" fillId="0" borderId="20" xfId="0" applyNumberFormat="1" applyFill="1" applyBorder="1"/>
    <xf numFmtId="1" fontId="0" fillId="0" borderId="29" xfId="0" applyNumberFormat="1" applyFill="1" applyBorder="1"/>
    <xf numFmtId="0" fontId="0" fillId="2" borderId="29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3" fontId="0" fillId="8" borderId="0" xfId="0" applyNumberFormat="1" applyFill="1"/>
    <xf numFmtId="2" fontId="0" fillId="8" borderId="0" xfId="0" applyNumberFormat="1" applyFill="1"/>
  </cellXfs>
  <cellStyles count="2">
    <cellStyle name="Normal" xfId="0" builtinId="0"/>
    <cellStyle name="Porcentaje" xfId="1" builtinId="5"/>
  </cellStyles>
  <dxfs count="26">
    <dxf>
      <numFmt numFmtId="2" formatCode="0.00"/>
    </dxf>
    <dxf>
      <numFmt numFmtId="2" formatCode="0.00"/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border outline="0">
        <right style="thin">
          <color indexed="64"/>
        </right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Notas!$L$2:$L$1048576</c:f>
              <c:numCache>
                <c:formatCode>0.0</c:formatCode>
                <c:ptCount val="1048575"/>
                <c:pt idx="0">
                  <c:v>3.9809247423692589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1.978746940923525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ax val="1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  <c:majorUnit val="1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1.978746940923525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1.978746940923525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N1048576" totalsRowShown="0" tableBorderDxfId="23">
  <autoFilter ref="A1:N1048576" xr:uid="{B7E8E3F6-4A56-4C38-9CDA-83612E98463A}"/>
  <tableColumns count="14">
    <tableColumn id="12" xr3:uid="{0AB4C432-387A-4CA4-B057-810DBFBD7743}" name="Id" dataDxfId="22"/>
    <tableColumn id="1" xr3:uid="{D4B468C3-7CDA-4F31-9638-09A527779C87}" name="Mia" dataDxfId="21"/>
    <tableColumn id="2" xr3:uid="{65EE12B7-2552-4910-A353-7AE48A3D7AA6}" name="FA"/>
    <tableColumn id="3" xr3:uid="{1D6E5D7A-6668-40F4-BA00-3A91CC9AC5BF}" name="Duracion" dataDxfId="20"/>
    <tableColumn id="4" xr3:uid="{E8F61A2B-CC2B-4DF4-AE8C-8C20147ABC40}" name="Visionados" dataDxfId="19"/>
    <tableColumn id="14" xr3:uid="{2E72113E-50BE-41C7-8BFD-59035950093F}" name="Varianza_FA" dataDxfId="18"/>
    <tableColumn id="5" xr3:uid="{FF19B5AE-C56B-4CA5-B812-840E5C110430}" name="FA_redondeo"/>
    <tableColumn id="6" xr3:uid="{20BAA72D-A773-488D-B544-DAD2EF762D99}" name="Diferencia"/>
    <tableColumn id="7" xr3:uid="{E40D682E-5136-4AEB-BEE2-B6B87967AFB0}" name="Diferencia_abs"/>
    <tableColumn id="8" xr3:uid="{7FF8C3DD-322A-4235-83BB-7D30EE81A4BF}" name="Me_ha_gustado" dataDxfId="17">
      <calculatedColumnFormula>IF($H2&gt;0,1,0.1)</calculatedColumnFormula>
    </tableColumn>
    <tableColumn id="9" xr3:uid="{C6FE0FC6-41FF-42DC-95D7-3BA16482D743}" name="Mia_ruido" dataDxfId="16"/>
    <tableColumn id="13" xr3:uid="{F6539847-A910-4F63-B100-298A992D7D82}" name="FA_ruido" dataDxfId="15">
      <calculatedColumnFormula>C2+(RAND()-0.5)/10</calculatedColumnFormula>
    </tableColumn>
    <tableColumn id="10" xr3:uid="{1D5E088C-37BD-4B8F-BD0A-602AB1027E68}" name="Mia_rees" dataDxfId="1"/>
    <tableColumn id="11" xr3:uid="{19C47E50-9952-473E-A08A-65D82E3962A6}" name="FA_re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53B35-92CE-4059-8AD4-DBAEE93A2DB7}" name="Normal_discreta" displayName="Normal_discreta" ref="B3:F13" totalsRowShown="0" tableBorderDxfId="14">
  <autoFilter ref="B3:F13" xr:uid="{B2653B35-92CE-4059-8AD4-DBAEE93A2DB7}"/>
  <tableColumns count="5">
    <tableColumn id="1" xr3:uid="{AF390C70-03AA-431F-A8ED-30C0DCB9DFDF}" name="Puntos" dataDxfId="13"/>
    <tableColumn id="2" xr3:uid="{598A8C01-1D1C-420B-8694-D25317E8EB25}" name="Yo" dataDxfId="12">
      <calculatedColumnFormula>COUNTIF(NotasMias,Normal_discreta[[#This Row],[Puntos]])</calculatedColumnFormula>
    </tableColumn>
    <tableColumn id="3" xr3:uid="{B4249F61-8354-492B-A8D7-1FC4AD8817B0}" name="FilmAffinity" dataDxfId="11"/>
    <tableColumn id="4" xr3:uid="{02468E76-7BC0-4435-8771-BCB059D4E47D}" name="Normal yo" dataDxfId="10">
      <calculatedColumnFormula>(_xlfn.NORM.DIST(B4,MediaMia,SQRT(VarMia),TRUE)-_xlfn.NORM.DIST(B3,MediaMia,SQRT(VarMia),TRUE))*Pelis</calculatedColumnFormula>
    </tableColumn>
    <tableColumn id="5" xr3:uid="{A770DBA5-7A85-4CE1-BE0D-42E2474C56E7}" name="Normal F.A." dataDxfId="9">
      <calculatedColumnFormula>_xlfn.NORM.DIST(B4,MediaFA,SQRT(VarFA),TRUE)*Pelis_con_nota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D9576F-E16E-4D59-8D7E-7FCBC06A5729}" name="Normal_continua" displayName="Normal_continua" ref="B19:F39" totalsRowShown="0" headerRowDxfId="8" tableBorderDxfId="7">
  <autoFilter ref="B19:F39" xr:uid="{E0D9576F-E16E-4D59-8D7E-7FCBC06A5729}"/>
  <tableColumns count="5">
    <tableColumn id="1" xr3:uid="{0239E3C8-6B59-4E95-8128-0CA23E525DC8}" name="Puntos " dataDxfId="6"/>
    <tableColumn id="2" xr3:uid="{DD42BB33-62C8-4E24-BD0D-81BEC813AAE5}" name="Yo" dataDxfId="5"/>
    <tableColumn id="3" xr3:uid="{22EF7FA5-DCB7-4C87-8C5D-261E5B9E0111}" name="FilmAffinity" dataDxfId="4">
      <calculatedColumnFormula>COUNTIF(Tabla1[FA_redondeo],Normal_continua[[#This Row],[Puntos ]])</calculatedColumnFormula>
    </tableColumn>
    <tableColumn id="4" xr3:uid="{7D5AFCB4-B113-4668-BD2B-91ABFA1287DC}" name="Normal Yo" dataDxfId="3">
      <calculatedColumnFormula>(_xlfn.NORM.DIST(Normal_continua[[#This Row],[Puntos ]],MediaMia,SQRT(VarMia),TRUE)-_xlfn.NORM.DIST(OFFSET(Normal_continua[[#This Row],[Puntos ]],-1,0),MediaMia,SQRT(VarMia),TRUE))*Pelis</calculatedColumnFormula>
    </tableColumn>
    <tableColumn id="5" xr3:uid="{236D39DF-9177-499F-BE2C-6E237E4F9DE9}" name="Normal F.A." dataDxfId="2">
      <calculatedColumnFormula>_xlfn.NORM.DIST(B20,MediaFA,SQRT(VarFA),TRUE)*Pelis_con_nota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E165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1" max="1" width="7.7109375" style="17" customWidth="1"/>
    <col min="2" max="2" width="6.42578125" style="17" customWidth="1"/>
    <col min="3" max="3" width="6.140625" customWidth="1"/>
    <col min="4" max="4" width="10.5703125" style="70" customWidth="1"/>
    <col min="5" max="6" width="12.140625" style="70" customWidth="1"/>
    <col min="7" max="7" width="13.5703125" customWidth="1"/>
    <col min="8" max="8" width="11.7109375" customWidth="1"/>
    <col min="9" max="9" width="9.42578125" customWidth="1"/>
    <col min="10" max="10" width="10.5703125" style="75" customWidth="1"/>
    <col min="11" max="12" width="7.42578125" style="28" customWidth="1"/>
    <col min="13" max="13" width="15.85546875" style="68" customWidth="1"/>
    <col min="14" max="14" width="14.85546875" style="68" customWidth="1"/>
    <col min="15" max="15" width="8.28515625" style="52" customWidth="1"/>
    <col min="16" max="16" width="9.42578125" customWidth="1"/>
    <col min="17" max="17" width="8.28515625" customWidth="1"/>
    <col min="18" max="18" width="8.85546875" customWidth="1"/>
    <col min="25" max="25" width="4.7109375" customWidth="1"/>
    <col min="26" max="26" width="10.85546875" customWidth="1"/>
    <col min="30" max="30" width="17.5703125" customWidth="1"/>
    <col min="31" max="31" width="11.85546875" customWidth="1"/>
    <col min="38" max="38" width="7.5703125" customWidth="1"/>
  </cols>
  <sheetData>
    <row r="1" spans="1:31" x14ac:dyDescent="0.25">
      <c r="A1" t="s">
        <v>54</v>
      </c>
      <c r="B1" t="s">
        <v>49</v>
      </c>
      <c r="C1" t="s">
        <v>50</v>
      </c>
      <c r="D1" t="s">
        <v>51</v>
      </c>
      <c r="E1" s="70" t="s">
        <v>52</v>
      </c>
      <c r="F1" s="70" t="s">
        <v>55</v>
      </c>
      <c r="G1" t="s">
        <v>56</v>
      </c>
      <c r="H1" t="s">
        <v>53</v>
      </c>
      <c r="I1" t="s">
        <v>57</v>
      </c>
      <c r="J1" s="29" t="s">
        <v>58</v>
      </c>
      <c r="K1" t="s">
        <v>59</v>
      </c>
      <c r="L1" t="s">
        <v>60</v>
      </c>
      <c r="M1" s="68" t="s">
        <v>61</v>
      </c>
      <c r="N1" s="68" t="s">
        <v>62</v>
      </c>
    </row>
    <row r="2" spans="1:31" x14ac:dyDescent="0.25">
      <c r="A2" s="17">
        <v>555555</v>
      </c>
      <c r="B2" s="17">
        <v>2</v>
      </c>
      <c r="C2">
        <v>4</v>
      </c>
      <c r="D2" s="70">
        <v>130</v>
      </c>
      <c r="E2" s="70">
        <v>26047</v>
      </c>
      <c r="F2" s="76">
        <v>2.1</v>
      </c>
      <c r="G2">
        <f t="shared" ref="G2" si="0">ROUND($C2*2, 0)/2</f>
        <v>4</v>
      </c>
      <c r="H2">
        <f>B2-C2</f>
        <v>-2</v>
      </c>
      <c r="I2">
        <f t="shared" ref="I2" si="1">ABS(H2)</f>
        <v>2</v>
      </c>
      <c r="J2" s="75">
        <f t="shared" ref="J2" si="2">IF($H2&gt;0,1,0.1)</f>
        <v>0.1</v>
      </c>
      <c r="K2" s="28">
        <f t="shared" ref="K2" ca="1" si="3">B2+RAND()-0.5</f>
        <v>1.978746940923525</v>
      </c>
      <c r="L2" s="28">
        <f t="shared" ref="L2" ca="1" si="4">C2+(RAND()-0.5)/10</f>
        <v>3.9809247423692589</v>
      </c>
      <c r="M2" s="68">
        <f t="shared" ref="M2" si="5">(B2-1)*10/9</f>
        <v>1.1111111111111112</v>
      </c>
      <c r="N2" s="68">
        <f t="shared" ref="N2" si="6">(C2-1)*10/9</f>
        <v>3.3333333333333335</v>
      </c>
      <c r="O2" s="53"/>
      <c r="P2" s="25"/>
      <c r="Q2" s="25"/>
      <c r="R2" s="25"/>
      <c r="V2" s="52"/>
      <c r="W2" s="52"/>
    </row>
    <row r="3" spans="1:31" x14ac:dyDescent="0.25">
      <c r="O3" s="63"/>
      <c r="P3" s="27"/>
      <c r="Q3" s="27"/>
      <c r="R3" s="25"/>
      <c r="V3" s="52"/>
      <c r="W3" s="52"/>
    </row>
    <row r="4" spans="1:31" x14ac:dyDescent="0.25">
      <c r="O4" s="63"/>
      <c r="P4" s="27"/>
      <c r="Q4" s="27"/>
      <c r="R4" s="25"/>
      <c r="V4" s="53"/>
      <c r="W4" s="53"/>
    </row>
    <row r="5" spans="1:31" x14ac:dyDescent="0.25">
      <c r="O5" s="53"/>
      <c r="P5" s="25"/>
      <c r="Q5" s="25"/>
      <c r="R5" s="25"/>
      <c r="V5" s="53"/>
      <c r="W5" s="53"/>
      <c r="AE5" s="1"/>
    </row>
    <row r="6" spans="1:31" x14ac:dyDescent="0.25">
      <c r="O6" s="53"/>
      <c r="P6" s="25"/>
      <c r="Q6" s="25"/>
      <c r="R6" s="25"/>
      <c r="V6" s="53"/>
      <c r="W6" s="53"/>
    </row>
    <row r="7" spans="1:31" x14ac:dyDescent="0.25">
      <c r="O7" s="53"/>
      <c r="P7" s="25"/>
      <c r="Q7" s="25"/>
      <c r="R7" s="25"/>
      <c r="V7" s="53"/>
      <c r="W7" s="53"/>
    </row>
    <row r="8" spans="1:31" x14ac:dyDescent="0.25">
      <c r="O8" s="53"/>
      <c r="P8" s="25"/>
      <c r="Q8" s="25"/>
      <c r="R8" s="25"/>
      <c r="V8" s="53"/>
      <c r="W8" s="53"/>
    </row>
    <row r="9" spans="1:31" x14ac:dyDescent="0.25">
      <c r="O9" s="53"/>
      <c r="P9" s="25"/>
      <c r="Q9" s="25"/>
      <c r="R9" s="25"/>
      <c r="V9" s="53"/>
      <c r="W9" s="53"/>
    </row>
    <row r="10" spans="1:31" x14ac:dyDescent="0.25">
      <c r="O10" s="53"/>
      <c r="P10" s="25"/>
      <c r="Q10" s="25"/>
      <c r="R10" s="25"/>
      <c r="V10" s="53"/>
      <c r="W10" s="53"/>
    </row>
    <row r="11" spans="1:31" x14ac:dyDescent="0.25">
      <c r="O11" s="53"/>
      <c r="P11" s="25"/>
      <c r="Q11" s="25"/>
      <c r="R11" s="25"/>
      <c r="V11" s="53"/>
      <c r="W11" s="53"/>
    </row>
    <row r="12" spans="1:31" x14ac:dyDescent="0.25">
      <c r="O12" s="53"/>
      <c r="P12" s="25"/>
      <c r="Q12" s="25"/>
      <c r="R12" s="25"/>
      <c r="V12" s="53"/>
      <c r="W12" s="53"/>
    </row>
    <row r="13" spans="1:31" x14ac:dyDescent="0.25">
      <c r="O13" s="53"/>
      <c r="P13" s="25"/>
      <c r="Q13" s="25"/>
      <c r="R13" s="25"/>
      <c r="V13" s="53"/>
      <c r="W13" s="53"/>
    </row>
    <row r="14" spans="1:31" x14ac:dyDescent="0.25">
      <c r="O14" s="53"/>
      <c r="P14" s="25"/>
      <c r="Q14" s="25"/>
      <c r="R14" s="25"/>
      <c r="V14" s="53"/>
      <c r="W14" s="53"/>
    </row>
    <row r="15" spans="1:31" x14ac:dyDescent="0.25">
      <c r="O15" s="53"/>
      <c r="P15" s="25"/>
      <c r="Q15" s="25"/>
      <c r="R15" s="25"/>
      <c r="V15" s="53"/>
      <c r="W15" s="53"/>
    </row>
    <row r="16" spans="1:31" x14ac:dyDescent="0.25">
      <c r="O16" s="53"/>
      <c r="P16" s="25"/>
      <c r="Q16" s="25"/>
      <c r="R16" s="25"/>
      <c r="V16" s="53"/>
      <c r="W16" s="53"/>
    </row>
    <row r="17" spans="22:23" x14ac:dyDescent="0.25">
      <c r="V17" s="53"/>
      <c r="W17" s="53"/>
    </row>
    <row r="18" spans="22:23" x14ac:dyDescent="0.25">
      <c r="V18" s="53"/>
      <c r="W18" s="53"/>
    </row>
    <row r="19" spans="22:23" x14ac:dyDescent="0.25">
      <c r="V19" s="53"/>
      <c r="W19" s="53"/>
    </row>
    <row r="20" spans="22:23" x14ac:dyDescent="0.25">
      <c r="V20" s="53"/>
      <c r="W20" s="53"/>
    </row>
    <row r="21" spans="22:23" x14ac:dyDescent="0.25">
      <c r="V21" s="53"/>
      <c r="W21" s="53"/>
    </row>
    <row r="22" spans="22:23" x14ac:dyDescent="0.25">
      <c r="V22" s="53"/>
      <c r="W22" s="53"/>
    </row>
    <row r="23" spans="22:23" x14ac:dyDescent="0.25">
      <c r="V23" s="53"/>
      <c r="W23" s="53"/>
    </row>
    <row r="24" spans="22:23" x14ac:dyDescent="0.25">
      <c r="V24" s="53"/>
      <c r="W24" s="53"/>
    </row>
    <row r="25" spans="22:23" x14ac:dyDescent="0.25">
      <c r="V25" s="53"/>
      <c r="W25" s="53"/>
    </row>
    <row r="26" spans="22:23" x14ac:dyDescent="0.25">
      <c r="V26" s="53"/>
      <c r="W26" s="53"/>
    </row>
    <row r="27" spans="22:23" x14ac:dyDescent="0.25">
      <c r="V27" s="53"/>
      <c r="W27" s="53"/>
    </row>
    <row r="28" spans="22:23" x14ac:dyDescent="0.25">
      <c r="V28" s="53"/>
      <c r="W28" s="53"/>
    </row>
    <row r="29" spans="22:23" x14ac:dyDescent="0.25">
      <c r="V29" s="53"/>
      <c r="W29" s="53"/>
    </row>
    <row r="30" spans="22:23" x14ac:dyDescent="0.25">
      <c r="V30" s="53"/>
      <c r="W30" s="53"/>
    </row>
    <row r="31" spans="22:23" x14ac:dyDescent="0.25">
      <c r="V31" s="53"/>
      <c r="W31" s="53"/>
    </row>
    <row r="32" spans="22:23" x14ac:dyDescent="0.25">
      <c r="V32" s="53"/>
      <c r="W32" s="53"/>
    </row>
    <row r="33" spans="22:23" x14ac:dyDescent="0.25">
      <c r="V33" s="53"/>
      <c r="W33" s="53"/>
    </row>
    <row r="34" spans="22:23" x14ac:dyDescent="0.25">
      <c r="V34" s="53"/>
      <c r="W34" s="53"/>
    </row>
    <row r="35" spans="22:23" x14ac:dyDescent="0.25">
      <c r="V35" s="53"/>
      <c r="W35" s="53"/>
    </row>
    <row r="36" spans="22:23" x14ac:dyDescent="0.25">
      <c r="V36" s="53"/>
      <c r="W36" s="53"/>
    </row>
    <row r="37" spans="22:23" x14ac:dyDescent="0.25">
      <c r="V37" s="53"/>
      <c r="W37" s="53"/>
    </row>
    <row r="38" spans="22:23" x14ac:dyDescent="0.25">
      <c r="V38" s="53"/>
      <c r="W38" s="53"/>
    </row>
    <row r="39" spans="22:23" x14ac:dyDescent="0.25">
      <c r="V39" s="53"/>
      <c r="W39" s="53"/>
    </row>
    <row r="40" spans="22:23" x14ac:dyDescent="0.25">
      <c r="V40" s="53"/>
      <c r="W40" s="53"/>
    </row>
    <row r="41" spans="22:23" x14ac:dyDescent="0.25">
      <c r="V41" s="53"/>
      <c r="W41" s="53"/>
    </row>
    <row r="42" spans="22:23" x14ac:dyDescent="0.25">
      <c r="V42" s="53"/>
      <c r="W42" s="53"/>
    </row>
    <row r="43" spans="22:23" x14ac:dyDescent="0.25">
      <c r="V43" s="52"/>
      <c r="W43" s="52"/>
    </row>
    <row r="44" spans="22:23" x14ac:dyDescent="0.25">
      <c r="V44" s="52"/>
      <c r="W44" s="52"/>
    </row>
    <row r="45" spans="22:23" x14ac:dyDescent="0.25">
      <c r="V45" s="52"/>
      <c r="W45" s="52"/>
    </row>
    <row r="46" spans="22:23" x14ac:dyDescent="0.25">
      <c r="V46" s="52"/>
      <c r="W46" s="52"/>
    </row>
    <row r="47" spans="22:23" x14ac:dyDescent="0.25">
      <c r="V47" s="52"/>
      <c r="W47" s="52"/>
    </row>
    <row r="48" spans="22:23" x14ac:dyDescent="0.25">
      <c r="V48" s="52"/>
      <c r="W48" s="52"/>
    </row>
    <row r="49" spans="22:23" x14ac:dyDescent="0.25">
      <c r="V49" s="52"/>
      <c r="W49" s="52"/>
    </row>
    <row r="164" ht="15.75" customHeight="1" x14ac:dyDescent="0.25"/>
    <row r="165" ht="15.75" customHeight="1" x14ac:dyDescent="0.25"/>
  </sheetData>
  <conditionalFormatting sqref="J1:J1048576">
    <cfRule type="cellIs" dxfId="25" priority="4" operator="equal">
      <formula>0.1</formula>
    </cfRule>
    <cfRule type="cellIs" dxfId="24" priority="5" operator="equal">
      <formula>1</formula>
    </cfRule>
  </conditionalFormatting>
  <conditionalFormatting sqref="M1:M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N1:N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I1:I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1"/>
  <sheetViews>
    <sheetView zoomScale="85" zoomScaleNormal="85" workbookViewId="0">
      <selection activeCell="H18" sqref="H18"/>
    </sheetView>
  </sheetViews>
  <sheetFormatPr baseColWidth="10" defaultRowHeight="15" x14ac:dyDescent="0.25"/>
  <cols>
    <col min="1" max="1" width="23.7109375" customWidth="1"/>
    <col min="5" max="5" width="11.42578125" style="25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COUNT(Tabla1[Mia])</f>
        <v>1</v>
      </c>
      <c r="G1" s="25"/>
    </row>
    <row r="2" spans="1:14" x14ac:dyDescent="0.25">
      <c r="A2" t="s">
        <v>63</v>
      </c>
      <c r="B2">
        <f>COUNT(Tabla1[FA])</f>
        <v>1</v>
      </c>
      <c r="G2" s="25"/>
    </row>
    <row r="3" spans="1:14" x14ac:dyDescent="0.25">
      <c r="A3" t="s">
        <v>0</v>
      </c>
      <c r="B3" s="7">
        <f>AVERAGE(Tabla1[FA])</f>
        <v>4</v>
      </c>
      <c r="C3" t="s">
        <v>8</v>
      </c>
      <c r="D3" s="8">
        <f>STDEVP(Tabla1[FA])</f>
        <v>0</v>
      </c>
      <c r="E3" s="26" t="s">
        <v>17</v>
      </c>
      <c r="F3" s="8">
        <f>_xlfn.VAR.P(Tabla1[FA])</f>
        <v>0</v>
      </c>
      <c r="G3" s="26" t="s">
        <v>20</v>
      </c>
      <c r="H3" s="7">
        <f>MEDIAN(Tabla1[FA])</f>
        <v>4</v>
      </c>
      <c r="I3" s="27" t="s">
        <v>22</v>
      </c>
      <c r="J3" s="7" t="e">
        <f>SKEW(Tabla1[FA])</f>
        <v>#DIV/0!</v>
      </c>
      <c r="K3" t="s">
        <v>25</v>
      </c>
      <c r="L3" s="55">
        <f>MAX(Tabla1[FA])</f>
        <v>4</v>
      </c>
      <c r="M3" t="s">
        <v>26</v>
      </c>
      <c r="N3" s="55">
        <f>MIN(Notas!C:C)</f>
        <v>4</v>
      </c>
    </row>
    <row r="4" spans="1:14" x14ac:dyDescent="0.25">
      <c r="A4" t="s">
        <v>1</v>
      </c>
      <c r="B4" s="5">
        <f>AVERAGE(Tabla1[Mia])</f>
        <v>2</v>
      </c>
      <c r="C4" t="s">
        <v>8</v>
      </c>
      <c r="D4" s="6">
        <f>STDEVP(NotasMias)</f>
        <v>0</v>
      </c>
      <c r="E4" s="26" t="s">
        <v>17</v>
      </c>
      <c r="F4" s="6">
        <f>_xlfn.VAR.P(NotasMias)</f>
        <v>0</v>
      </c>
      <c r="G4" s="26" t="s">
        <v>20</v>
      </c>
      <c r="H4" s="5">
        <f>MEDIAN(NotasMias)</f>
        <v>2</v>
      </c>
      <c r="I4" s="27" t="s">
        <v>22</v>
      </c>
      <c r="J4" s="5" t="e">
        <f>SKEW(NotasMias)</f>
        <v>#DIV/0!</v>
      </c>
      <c r="K4" t="s">
        <v>25</v>
      </c>
      <c r="L4" s="56">
        <f>MAX(NotasMias)</f>
        <v>2</v>
      </c>
      <c r="M4" t="s">
        <v>26</v>
      </c>
      <c r="N4" s="56">
        <f>MIN(NotasMias)</f>
        <v>2</v>
      </c>
    </row>
    <row r="5" spans="1:14" x14ac:dyDescent="0.25">
      <c r="A5" t="s">
        <v>2</v>
      </c>
      <c r="B5" s="1">
        <f>AVERAGE(Tabla1[Diferencia])</f>
        <v>-2</v>
      </c>
      <c r="G5" s="25"/>
    </row>
    <row r="6" spans="1:14" x14ac:dyDescent="0.25">
      <c r="A6" t="s">
        <v>3</v>
      </c>
      <c r="B6" s="1">
        <f>AVERAGE(Tabla1[Diferencia_abs])</f>
        <v>2</v>
      </c>
      <c r="C6" t="s">
        <v>8</v>
      </c>
      <c r="D6" s="1">
        <f>STDEVP(Tabla1[Diferencia_abs])</f>
        <v>0</v>
      </c>
      <c r="E6" s="27"/>
      <c r="F6" s="1"/>
      <c r="G6" s="27"/>
    </row>
    <row r="8" spans="1:14" x14ac:dyDescent="0.25">
      <c r="A8" t="s">
        <v>4</v>
      </c>
      <c r="B8">
        <f>MAX(Tabla1[Diferencia_abs])</f>
        <v>2</v>
      </c>
      <c r="C8" t="s">
        <v>23</v>
      </c>
      <c r="D8" s="30" t="e">
        <f>CORREL(Notas!B:B,Notas!C:C)</f>
        <v>#DIV/0!</v>
      </c>
      <c r="E8" s="51"/>
      <c r="F8" s="30"/>
    </row>
    <row r="9" spans="1:14" x14ac:dyDescent="0.25">
      <c r="A9" t="s">
        <v>5</v>
      </c>
      <c r="B9">
        <f>MIN(Tabla1[Diferencia])</f>
        <v>-2</v>
      </c>
    </row>
    <row r="10" spans="1:14" x14ac:dyDescent="0.25">
      <c r="A10" t="s">
        <v>6</v>
      </c>
      <c r="B10">
        <f>MAX(Tabla1[Diferencia])</f>
        <v>-2</v>
      </c>
    </row>
    <row r="11" spans="1:14" x14ac:dyDescent="0.25">
      <c r="A11" t="s">
        <v>10</v>
      </c>
      <c r="B11" s="2">
        <f>AVERAGE(Tabla1[Me_ha_gustado])</f>
        <v>0.1</v>
      </c>
    </row>
    <row r="14" spans="1:14" x14ac:dyDescent="0.25">
      <c r="F14" s="25"/>
      <c r="G14" s="25" t="s">
        <v>65</v>
      </c>
      <c r="H14" t="s">
        <v>52</v>
      </c>
      <c r="I14" t="s">
        <v>66</v>
      </c>
      <c r="J14" t="s">
        <v>17</v>
      </c>
    </row>
    <row r="15" spans="1:14" x14ac:dyDescent="0.25">
      <c r="A15" s="12" t="s">
        <v>13</v>
      </c>
      <c r="F15" s="25"/>
      <c r="G15" s="74">
        <v>7.8</v>
      </c>
      <c r="H15" s="90">
        <v>1000</v>
      </c>
      <c r="I15" s="90">
        <v>90</v>
      </c>
      <c r="J15" s="91">
        <v>1.6</v>
      </c>
    </row>
    <row r="16" spans="1:14" x14ac:dyDescent="0.25">
      <c r="A16" s="13" t="s">
        <v>14</v>
      </c>
      <c r="B16" s="15">
        <f>(MediaFA-1)*10/9</f>
        <v>1.1111111111111112</v>
      </c>
      <c r="C16" s="14" t="s">
        <v>8</v>
      </c>
      <c r="D16" s="15">
        <f>STDEVP(Tabla1[FA_rees])</f>
        <v>0</v>
      </c>
      <c r="E16" s="63"/>
      <c r="F16" s="63" t="s">
        <v>45</v>
      </c>
      <c r="G16" s="72">
        <f>COUNTIF(NotasFA,"&lt;="&amp;G15)/Pelis_con_nota</f>
        <v>1</v>
      </c>
      <c r="H16" s="72">
        <f>COUNTIF(Tabla1[Visionados],"&lt;="&amp;H15)/Pelis_con_nota</f>
        <v>0</v>
      </c>
      <c r="I16" s="72">
        <f>COUNTIF(Tabla1[Duracion],"&lt;="&amp;I15)/Pelis_con_nota</f>
        <v>0</v>
      </c>
      <c r="J16" s="72">
        <f>COUNTIF(Tabla1[Varianza_FA],"&lt;="&amp;J15)/Pelis_con_nota</f>
        <v>0</v>
      </c>
    </row>
    <row r="17" spans="1:7" x14ac:dyDescent="0.25">
      <c r="A17" s="9" t="s">
        <v>1</v>
      </c>
      <c r="B17" s="16">
        <f>(MediaMia-1)*10/9</f>
        <v>1.1111111111111112</v>
      </c>
      <c r="C17" s="10" t="s">
        <v>8</v>
      </c>
      <c r="D17" s="11">
        <f>STDEVP(Tabla1[Mia_rees])</f>
        <v>0</v>
      </c>
      <c r="E17" s="63"/>
      <c r="F17" s="63" t="s">
        <v>46</v>
      </c>
      <c r="G17" s="73">
        <f>COUNTIF(NotasMias,"&lt;="&amp;G15)/Pelis</f>
        <v>1</v>
      </c>
    </row>
    <row r="18" spans="1:7" x14ac:dyDescent="0.25">
      <c r="F18" s="25"/>
      <c r="G18" s="25"/>
    </row>
    <row r="19" spans="1:7" x14ac:dyDescent="0.25">
      <c r="F19" s="25"/>
      <c r="G19" s="25"/>
    </row>
    <row r="20" spans="1:7" x14ac:dyDescent="0.25">
      <c r="F20" s="25"/>
      <c r="G20" s="25"/>
    </row>
    <row r="21" spans="1:7" x14ac:dyDescent="0.25">
      <c r="F21" s="25"/>
      <c r="G21" s="25"/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3:S40"/>
  <sheetViews>
    <sheetView topLeftCell="A19" workbookViewId="0">
      <selection activeCell="D26" sqref="D26"/>
    </sheetView>
  </sheetViews>
  <sheetFormatPr baseColWidth="10" defaultRowHeight="15" x14ac:dyDescent="0.25"/>
  <cols>
    <col min="4" max="4" width="13.7109375" customWidth="1"/>
    <col min="5" max="5" width="12.42578125" customWidth="1"/>
    <col min="6" max="6" width="13.5703125" customWidth="1"/>
    <col min="19" max="19" width="8" customWidth="1"/>
  </cols>
  <sheetData>
    <row r="3" spans="2:6" ht="15.75" thickBot="1" x14ac:dyDescent="0.3">
      <c r="B3" s="81" t="s">
        <v>64</v>
      </c>
      <c r="C3" s="82" t="s">
        <v>9</v>
      </c>
      <c r="D3" s="83" t="s">
        <v>12</v>
      </c>
      <c r="E3" s="84" t="s">
        <v>18</v>
      </c>
      <c r="F3" s="85" t="s">
        <v>19</v>
      </c>
    </row>
    <row r="4" spans="2:6" x14ac:dyDescent="0.25">
      <c r="B4" s="77">
        <v>1</v>
      </c>
      <c r="C4" s="19">
        <f>COUNTIF(NotasMias,Normal_discreta[[#This Row],[Puntos]])</f>
        <v>0</v>
      </c>
      <c r="D4" s="23">
        <f>COUNTIF(NotasFA,"&lt;=([@[Puntos]]+0,5)")</f>
        <v>0</v>
      </c>
      <c r="E4" s="40" t="e">
        <f>_xlfn.NORM.DIST(Normal_discreta[[#This Row],[Puntos]],MediaMia,SQRT(VarMia),TRUE)*Pelis</f>
        <v>#NUM!</v>
      </c>
      <c r="F4" s="64" t="e">
        <f>_xlfn.NORM.DIST(Normal_discreta[[#This Row],[Puntos]],MediaFA,SQRT(VarFA),TRUE)*Pelis_con_nota</f>
        <v>#NUM!</v>
      </c>
    </row>
    <row r="5" spans="2:6" x14ac:dyDescent="0.25">
      <c r="B5" s="78">
        <v>2</v>
      </c>
      <c r="C5" s="3">
        <f>COUNTIF(NotasMias,Normal_discreta[[#This Row],[Puntos]])</f>
        <v>1</v>
      </c>
      <c r="D5" s="4">
        <f ca="1">COUNTIFS(NotasFA,"&gt;"&amp;OFFSET(Normal_discreta[[#This Row],[Puntos]],-1,0)+0.5,NotasFA,"&lt;="&amp;(Normal_discreta[[#This Row],[Puntos]]+0.5))</f>
        <v>0</v>
      </c>
      <c r="E5" s="41" t="e">
        <f ca="1">(_xlfn.NORM.DIST(Normal_discreta[[#This Row],[Puntos]],MediaMia,SQRT(VarMia),TRUE)-_xlfn.NORM.DIST(OFFSET(Normal_discreta[[#This Row],[Puntos]],-1,0),MediaMia,SQRT(VarMia),TRUE))*Pelis</f>
        <v>#NUM!</v>
      </c>
      <c r="F5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6" spans="2:6" x14ac:dyDescent="0.25">
      <c r="B6" s="78">
        <v>3</v>
      </c>
      <c r="C6" s="3">
        <f>COUNTIF(NotasMias,Normal_discreta[[#This Row],[Puntos]])</f>
        <v>0</v>
      </c>
      <c r="D6" s="4">
        <f ca="1">COUNTIFS(NotasFA,"&gt;"&amp;OFFSET(Normal_discreta[[#This Row],[Puntos]],-1,0)+0.5,NotasFA,"&lt;="&amp;(Normal_discreta[[#This Row],[Puntos]]+0.5))</f>
        <v>0</v>
      </c>
      <c r="E6" s="41" t="e">
        <f ca="1">(_xlfn.NORM.DIST(Normal_discreta[[#This Row],[Puntos]],MediaMia,SQRT(VarMia),TRUE)-_xlfn.NORM.DIST(OFFSET(Normal_discreta[[#This Row],[Puntos]],-1,0),MediaMia,SQRT(VarMia),TRUE))*Pelis</f>
        <v>#NUM!</v>
      </c>
      <c r="F6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7" spans="2:6" x14ac:dyDescent="0.25">
      <c r="B7" s="78">
        <v>4</v>
      </c>
      <c r="C7" s="3">
        <f>COUNTIF(NotasMias,Normal_discreta[[#This Row],[Puntos]])</f>
        <v>0</v>
      </c>
      <c r="D7" s="4">
        <f ca="1">COUNTIFS(NotasFA,"&gt;"&amp;OFFSET(Normal_discreta[[#This Row],[Puntos]],-1,0)+0.5,NotasFA,"&lt;="&amp;(Normal_discreta[[#This Row],[Puntos]]+0.5))</f>
        <v>1</v>
      </c>
      <c r="E7" s="41" t="e">
        <f ca="1">(_xlfn.NORM.DIST(Normal_discreta[[#This Row],[Puntos]],MediaMia,SQRT(VarMia),TRUE)-_xlfn.NORM.DIST(OFFSET(Normal_discreta[[#This Row],[Puntos]],-1,0),MediaMia,SQRT(VarMia),TRUE))*Pelis</f>
        <v>#NUM!</v>
      </c>
      <c r="F7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8" spans="2:6" x14ac:dyDescent="0.25">
      <c r="B8" s="78">
        <v>5</v>
      </c>
      <c r="C8" s="3">
        <f>COUNTIF(NotasMias,Normal_discreta[[#This Row],[Puntos]])</f>
        <v>0</v>
      </c>
      <c r="D8" s="4">
        <f ca="1">COUNTIFS(NotasFA,"&gt;"&amp;OFFSET(Normal_discreta[[#This Row],[Puntos]],-1,0)+0.5,NotasFA,"&lt;="&amp;(Normal_discreta[[#This Row],[Puntos]]+0.5))</f>
        <v>0</v>
      </c>
      <c r="E8" s="41" t="e">
        <f ca="1">(_xlfn.NORM.DIST(Normal_discreta[[#This Row],[Puntos]],MediaMia,SQRT(VarMia),TRUE)-_xlfn.NORM.DIST(OFFSET(Normal_discreta[[#This Row],[Puntos]],-1,0),MediaMia,SQRT(VarMia),TRUE))*Pelis</f>
        <v>#NUM!</v>
      </c>
      <c r="F8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9" spans="2:6" x14ac:dyDescent="0.25">
      <c r="B9" s="78">
        <v>6</v>
      </c>
      <c r="C9" s="3">
        <f>COUNTIF(NotasMias,Normal_discreta[[#This Row],[Puntos]])</f>
        <v>0</v>
      </c>
      <c r="D9" s="4">
        <f ca="1">COUNTIFS(NotasFA,"&gt;"&amp;OFFSET(Normal_discreta[[#This Row],[Puntos]],-1,0)+0.5,NotasFA,"&lt;="&amp;(Normal_discreta[[#This Row],[Puntos]]+0.5))</f>
        <v>0</v>
      </c>
      <c r="E9" s="41" t="e">
        <f ca="1">(_xlfn.NORM.DIST(Normal_discreta[[#This Row],[Puntos]],MediaMia,SQRT(VarMia),TRUE)-_xlfn.NORM.DIST(OFFSET(Normal_discreta[[#This Row],[Puntos]],-1,0),MediaMia,SQRT(VarMia),TRUE))*Pelis</f>
        <v>#NUM!</v>
      </c>
      <c r="F9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10" spans="2:6" x14ac:dyDescent="0.25">
      <c r="B10" s="78">
        <v>7</v>
      </c>
      <c r="C10" s="3">
        <f>COUNTIF(NotasMias,Normal_discreta[[#This Row],[Puntos]])</f>
        <v>0</v>
      </c>
      <c r="D10" s="4">
        <f ca="1">COUNTIFS(NotasFA,"&gt;"&amp;OFFSET(Normal_discreta[[#This Row],[Puntos]],-1,0)+0.5,NotasFA,"&lt;="&amp;(Normal_discreta[[#This Row],[Puntos]]+0.5))</f>
        <v>0</v>
      </c>
      <c r="E10" s="41" t="e">
        <f ca="1">(_xlfn.NORM.DIST(Normal_discreta[[#This Row],[Puntos]],MediaMia,SQRT(VarMia),TRUE)-_xlfn.NORM.DIST(OFFSET(Normal_discreta[[#This Row],[Puntos]],-1,0),MediaMia,SQRT(VarMia),TRUE))*Pelis</f>
        <v>#NUM!</v>
      </c>
      <c r="F10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11" spans="2:6" x14ac:dyDescent="0.25">
      <c r="B11" s="78">
        <v>8</v>
      </c>
      <c r="C11" s="3">
        <f>COUNTIF(NotasMias,Normal_discreta[[#This Row],[Puntos]])</f>
        <v>0</v>
      </c>
      <c r="D11" s="4">
        <f ca="1">COUNTIFS(NotasFA,"&gt;"&amp;OFFSET(Normal_discreta[[#This Row],[Puntos]],-1,0)+0.5,NotasFA,"&lt;="&amp;(Normal_discreta[[#This Row],[Puntos]]+0.5))</f>
        <v>0</v>
      </c>
      <c r="E11" s="41" t="e">
        <f ca="1">(_xlfn.NORM.DIST(Normal_discreta[[#This Row],[Puntos]],MediaMia,SQRT(VarMia),TRUE)-_xlfn.NORM.DIST(OFFSET(Normal_discreta[[#This Row],[Puntos]],-1,0),MediaMia,SQRT(VarMia),TRUE))*Pelis</f>
        <v>#NUM!</v>
      </c>
      <c r="F11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12" spans="2:6" x14ac:dyDescent="0.25">
      <c r="B12" s="78">
        <v>9</v>
      </c>
      <c r="C12" s="3">
        <f>COUNTIF(NotasMias,Normal_discreta[[#This Row],[Puntos]])</f>
        <v>0</v>
      </c>
      <c r="D12" s="4">
        <f ca="1">COUNTIFS(NotasFA,"&gt;"&amp;OFFSET(Normal_discreta[[#This Row],[Puntos]],-1,0)+0.5,NotasFA,"&lt;="&amp;(Normal_discreta[[#This Row],[Puntos]]+0.5))</f>
        <v>0</v>
      </c>
      <c r="E12" s="41" t="e">
        <f ca="1">(_xlfn.NORM.DIST(Normal_discreta[[#This Row],[Puntos]],MediaMia,SQRT(VarMia),TRUE)-_xlfn.NORM.DIST(OFFSET(Normal_discreta[[#This Row],[Puntos]],-1,0),MediaMia,SQRT(VarMia),TRUE))*Pelis</f>
        <v>#NUM!</v>
      </c>
      <c r="F12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13" spans="2:6" ht="15.75" thickBot="1" x14ac:dyDescent="0.3">
      <c r="B13" s="79">
        <v>10</v>
      </c>
      <c r="C13" s="22">
        <f>COUNTIF(NotasMias,Normal_discreta[[#This Row],[Puntos]])</f>
        <v>0</v>
      </c>
      <c r="D13" s="24">
        <f ca="1">COUNTIF(NotasFA,"&gt;"&amp;OFFSET(Normal_discreta[[#This Row],[Puntos]],-1,0)+0.5)</f>
        <v>0</v>
      </c>
      <c r="E13" s="41" t="e">
        <f ca="1">(_xlfn.NORM.DIST(Normal_discreta[[#This Row],[Puntos]],MediaMia,SQRT(VarMia),TRUE)-_xlfn.NORM.DIST(OFFSET(Normal_discreta[[#This Row],[Puntos]],-1,0),MediaMia,SQRT(VarMia),TRUE))*Pelis</f>
        <v>#NUM!</v>
      </c>
      <c r="F13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14" spans="2:6" x14ac:dyDescent="0.25">
      <c r="E14" s="64" t="e">
        <f>SUM(E4:E13)</f>
        <v>#NUM!</v>
      </c>
      <c r="F14" s="64" t="e">
        <f>SUM(F4:F13)</f>
        <v>#NUM!</v>
      </c>
    </row>
    <row r="19" spans="2:19" ht="15.75" thickBot="1" x14ac:dyDescent="0.3">
      <c r="B19" s="81" t="s">
        <v>7</v>
      </c>
      <c r="C19" s="82" t="s">
        <v>9</v>
      </c>
      <c r="D19" s="88" t="s">
        <v>12</v>
      </c>
      <c r="E19" s="89" t="s">
        <v>24</v>
      </c>
      <c r="F19" s="88" t="s">
        <v>19</v>
      </c>
    </row>
    <row r="20" spans="2:19" x14ac:dyDescent="0.25">
      <c r="B20" s="77">
        <v>0.5</v>
      </c>
      <c r="C20" s="33">
        <f>C21/2</f>
        <v>0</v>
      </c>
      <c r="D20" s="43">
        <f>COUNTIF(Tabla1[FA_redondeo],Normal_continua[[#This Row],[Puntos ]])</f>
        <v>0</v>
      </c>
      <c r="E20" s="40" t="e">
        <f>(_xlfn.NORM.DIST(Normal_continua[[#This Row],[Puntos ]],MediaMia,SQRT(VarMia),TRUE))*Pelis</f>
        <v>#NUM!</v>
      </c>
      <c r="F20" s="86" t="e">
        <f>_xlfn.NORM.DIST(Normal_continua[[#This Row],[Puntos ]],MediaFA,SQRT(VarFA),TRUE)*Pelis_con_nota</f>
        <v>#NUM!</v>
      </c>
      <c r="R20" t="s">
        <v>30</v>
      </c>
      <c r="S20" s="30" t="e" cm="1">
        <f t="array" aca="1" ref="S20" ca="1">_xlfn.CHISQ.DIST(SUM((C22:C39-E22:E39)^2/E22:E39),18,TRUE)</f>
        <v>#NUM!</v>
      </c>
    </row>
    <row r="21" spans="2:19" x14ac:dyDescent="0.25">
      <c r="B21" s="78">
        <v>1</v>
      </c>
      <c r="C21" s="34">
        <f>COUNTIF(NotasMias,Normal_continua[[#This Row],[Puntos ]])/2</f>
        <v>0</v>
      </c>
      <c r="D21" s="44">
        <f>COUNTIF(Tabla1[FA_redondeo],Normal_continua[[#This Row],[Puntos ]])</f>
        <v>0</v>
      </c>
      <c r="E21" s="41" t="e">
        <f ca="1">(_xlfn.NORM.DIST(Normal_continua[[#This Row],[Puntos ]],MediaMia,SQRT(VarMia),TRUE)-_xlfn.NORM.DIST(OFFSET(Normal_continua[[#This Row],[Puntos ]],-1,0),MediaMia,SQRT(VarMia),TRUE))*Pelis</f>
        <v>#NUM!</v>
      </c>
      <c r="F21" s="87" t="e">
        <f ca="1">(_xlfn.NORM.DIST(Normal_continua[[#This Row],[Puntos ]],MediaFA,SQRT(VarFA),TRUE)-_xlfn.NORM.DIST(OFFSET(Normal_continua[[#This Row],[Puntos ]],-1,0),MediaFA,SQRT(VarFA),TRUE))*Pelis_con_nota</f>
        <v>#NUM!</v>
      </c>
      <c r="R21" t="s">
        <v>31</v>
      </c>
      <c r="S21" s="30" t="e" cm="1">
        <f t="array" aca="1" ref="S21" ca="1">_xlfn.CHISQ.DIST(SUM((D25:D39-F25:F39)^2/F25:F39),18,TRUE)</f>
        <v>#NUM!</v>
      </c>
    </row>
    <row r="22" spans="2:19" x14ac:dyDescent="0.25">
      <c r="B22" s="78">
        <v>1.5</v>
      </c>
      <c r="C22" s="34">
        <f ca="1">AVERAGE(INDIRECT(ADDRESS(ROW()-1,COLUMN())),INDIRECT(ADDRESS(ROW()+1,COLUMN())))</f>
        <v>0.25</v>
      </c>
      <c r="D22" s="44">
        <f>COUNTIF(Tabla1[FA_redondeo],Normal_continua[[#This Row],[Puntos ]])</f>
        <v>0</v>
      </c>
      <c r="E22" s="41" t="e">
        <f ca="1">(_xlfn.NORM.DIST(Normal_continua[[#This Row],[Puntos ]],MediaMia,SQRT(VarMia),TRUE)-_xlfn.NORM.DIST(OFFSET(Normal_continua[[#This Row],[Puntos ]],-1,0),MediaMia,SQRT(VarMia),TRUE))*Pelis</f>
        <v>#NUM!</v>
      </c>
      <c r="F22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3" spans="2:19" x14ac:dyDescent="0.25">
      <c r="B23" s="78">
        <v>2</v>
      </c>
      <c r="C23" s="34">
        <f>COUNTIF(NotasMias,Normal_continua[[#This Row],[Puntos ]])/2</f>
        <v>0.5</v>
      </c>
      <c r="D23" s="44">
        <f>COUNTIF(Tabla1[FA_redondeo],Normal_continua[[#This Row],[Puntos ]])</f>
        <v>0</v>
      </c>
      <c r="E23" s="41" t="e">
        <f ca="1">(_xlfn.NORM.DIST(Normal_continua[[#This Row],[Puntos ]],MediaMia,SQRT(VarMia),TRUE)-_xlfn.NORM.DIST(OFFSET(Normal_continua[[#This Row],[Puntos ]],-1,0),MediaMia,SQRT(VarMia),TRUE))*Pelis</f>
        <v>#NUM!</v>
      </c>
      <c r="F23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4" spans="2:19" x14ac:dyDescent="0.25">
      <c r="B24" s="78">
        <v>2.5</v>
      </c>
      <c r="C24" s="34">
        <f ca="1">AVERAGE(INDIRECT(ADDRESS(ROW()-1,COLUMN())),INDIRECT(ADDRESS(ROW()+1,COLUMN())))</f>
        <v>0.25</v>
      </c>
      <c r="D24" s="44">
        <f>COUNTIF(Tabla1[FA_redondeo],Normal_continua[[#This Row],[Puntos ]])</f>
        <v>0</v>
      </c>
      <c r="E24" s="41" t="e">
        <f ca="1">(_xlfn.NORM.DIST(Normal_continua[[#This Row],[Puntos ]],MediaMia,SQRT(VarMia),TRUE)-_xlfn.NORM.DIST(OFFSET(Normal_continua[[#This Row],[Puntos ]],-1,0),MediaMia,SQRT(VarMia),TRUE))*Pelis</f>
        <v>#NUM!</v>
      </c>
      <c r="F24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5" spans="2:19" x14ac:dyDescent="0.25">
      <c r="B25" s="78">
        <v>3</v>
      </c>
      <c r="C25" s="34">
        <f>COUNTIF(NotasMias,Normal_continua[[#This Row],[Puntos ]])/2</f>
        <v>0</v>
      </c>
      <c r="D25" s="44">
        <f>COUNTIF(Tabla1[FA_redondeo],Normal_continua[[#This Row],[Puntos ]])</f>
        <v>0</v>
      </c>
      <c r="E25" s="41" t="e">
        <f ca="1">(_xlfn.NORM.DIST(Normal_continua[[#This Row],[Puntos ]],MediaMia,SQRT(VarMia),TRUE)-_xlfn.NORM.DIST(OFFSET(Normal_continua[[#This Row],[Puntos ]],-1,0),MediaMia,SQRT(VarMia),TRUE))*Pelis</f>
        <v>#NUM!</v>
      </c>
      <c r="F25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6" spans="2:19" x14ac:dyDescent="0.25">
      <c r="B26" s="78">
        <v>3.5</v>
      </c>
      <c r="C26" s="34">
        <f ca="1">AVERAGE(INDIRECT(ADDRESS(ROW()-1,COLUMN())),INDIRECT(ADDRESS(ROW()+1,COLUMN())))</f>
        <v>0</v>
      </c>
      <c r="D26" s="44">
        <f>COUNTIF(Tabla1[FA_redondeo],Normal_continua[[#This Row],[Puntos ]])</f>
        <v>0</v>
      </c>
      <c r="E26" s="41" t="e">
        <f ca="1">(_xlfn.NORM.DIST(Normal_continua[[#This Row],[Puntos ]],MediaMia,SQRT(VarMia),TRUE)-_xlfn.NORM.DIST(OFFSET(Normal_continua[[#This Row],[Puntos ]],-1,0),MediaMia,SQRT(VarMia),TRUE))*Pelis</f>
        <v>#NUM!</v>
      </c>
      <c r="F26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7" spans="2:19" x14ac:dyDescent="0.25">
      <c r="B27" s="78">
        <v>4</v>
      </c>
      <c r="C27" s="34">
        <f>COUNTIF(NotasMias,Normal_continua[[#This Row],[Puntos ]])/2</f>
        <v>0</v>
      </c>
      <c r="D27" s="44">
        <f>COUNTIF(Tabla1[FA_redondeo],Normal_continua[[#This Row],[Puntos ]])</f>
        <v>1</v>
      </c>
      <c r="E27" s="41" t="e">
        <f ca="1">(_xlfn.NORM.DIST(Normal_continua[[#This Row],[Puntos ]],MediaMia,SQRT(VarMia),TRUE)-_xlfn.NORM.DIST(OFFSET(Normal_continua[[#This Row],[Puntos ]],-1,0),MediaMia,SQRT(VarMia),TRUE))*Pelis</f>
        <v>#NUM!</v>
      </c>
      <c r="F27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8" spans="2:19" x14ac:dyDescent="0.25">
      <c r="B28" s="78">
        <v>4.5</v>
      </c>
      <c r="C28" s="34">
        <f ca="1">AVERAGE(INDIRECT(ADDRESS(ROW()-1,COLUMN())),INDIRECT(ADDRESS(ROW()+1,COLUMN())))</f>
        <v>0</v>
      </c>
      <c r="D28" s="44">
        <f>COUNTIF(Tabla1[FA_redondeo],Normal_continua[[#This Row],[Puntos ]])</f>
        <v>0</v>
      </c>
      <c r="E28" s="41" t="e">
        <f ca="1">(_xlfn.NORM.DIST(Normal_continua[[#This Row],[Puntos ]],MediaMia,SQRT(VarMia),TRUE)-_xlfn.NORM.DIST(OFFSET(Normal_continua[[#This Row],[Puntos ]],-1,0),MediaMia,SQRT(VarMia),TRUE))*Pelis</f>
        <v>#NUM!</v>
      </c>
      <c r="F28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9" spans="2:19" x14ac:dyDescent="0.25">
      <c r="B29" s="78">
        <v>5</v>
      </c>
      <c r="C29" s="34">
        <f>COUNTIF(NotasMias,Normal_continua[[#This Row],[Puntos ]])/2</f>
        <v>0</v>
      </c>
      <c r="D29" s="44">
        <f>COUNTIF(Tabla1[FA_redondeo],Normal_continua[[#This Row],[Puntos ]])</f>
        <v>0</v>
      </c>
      <c r="E29" s="41" t="e">
        <f ca="1">(_xlfn.NORM.DIST(Normal_continua[[#This Row],[Puntos ]],MediaMia,SQRT(VarMia),TRUE)-_xlfn.NORM.DIST(OFFSET(Normal_continua[[#This Row],[Puntos ]],-1,0),MediaMia,SQRT(VarMia),TRUE))*Pelis</f>
        <v>#NUM!</v>
      </c>
      <c r="F29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0" spans="2:19" x14ac:dyDescent="0.25">
      <c r="B30" s="78">
        <v>5.5</v>
      </c>
      <c r="C30" s="34">
        <f ca="1">AVERAGE(INDIRECT(ADDRESS(ROW()-1,COLUMN())),INDIRECT(ADDRESS(ROW()+1,COLUMN())))</f>
        <v>0</v>
      </c>
      <c r="D30" s="44">
        <f>COUNTIF(Tabla1[FA_redondeo],Normal_continua[[#This Row],[Puntos ]])</f>
        <v>0</v>
      </c>
      <c r="E30" s="41" t="e">
        <f ca="1">(_xlfn.NORM.DIST(Normal_continua[[#This Row],[Puntos ]],MediaMia,SQRT(VarMia),TRUE)-_xlfn.NORM.DIST(OFFSET(Normal_continua[[#This Row],[Puntos ]],-1,0),MediaMia,SQRT(VarMia),TRUE))*Pelis</f>
        <v>#NUM!</v>
      </c>
      <c r="F30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1" spans="2:19" x14ac:dyDescent="0.25">
      <c r="B31" s="78">
        <v>6</v>
      </c>
      <c r="C31" s="34">
        <f>COUNTIF(NotasMias,Normal_continua[[#This Row],[Puntos ]])/2</f>
        <v>0</v>
      </c>
      <c r="D31" s="44">
        <f>COUNTIF(Tabla1[FA_redondeo],Normal_continua[[#This Row],[Puntos ]])</f>
        <v>0</v>
      </c>
      <c r="E31" s="41" t="e">
        <f ca="1">(_xlfn.NORM.DIST(Normal_continua[[#This Row],[Puntos ]],MediaMia,SQRT(VarMia),TRUE)-_xlfn.NORM.DIST(OFFSET(Normal_continua[[#This Row],[Puntos ]],-1,0),MediaMia,SQRT(VarMia),TRUE))*Pelis</f>
        <v>#NUM!</v>
      </c>
      <c r="F31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2" spans="2:19" x14ac:dyDescent="0.25">
      <c r="B32" s="78">
        <v>6.5</v>
      </c>
      <c r="C32" s="34">
        <f ca="1">AVERAGE(INDIRECT(ADDRESS(ROW()-1,COLUMN())),INDIRECT(ADDRESS(ROW()+1,COLUMN())))</f>
        <v>0</v>
      </c>
      <c r="D32" s="44">
        <f>COUNTIF(Tabla1[FA_redondeo],Normal_continua[[#This Row],[Puntos ]])</f>
        <v>0</v>
      </c>
      <c r="E32" s="41" t="e">
        <f ca="1">(_xlfn.NORM.DIST(Normal_continua[[#This Row],[Puntos ]],MediaMia,SQRT(VarMia),TRUE)-_xlfn.NORM.DIST(OFFSET(Normal_continua[[#This Row],[Puntos ]],-1,0),MediaMia,SQRT(VarMia),TRUE))*Pelis</f>
        <v>#NUM!</v>
      </c>
      <c r="F32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3" spans="2:6" x14ac:dyDescent="0.25">
      <c r="B33" s="78">
        <v>7</v>
      </c>
      <c r="C33" s="34">
        <f>COUNTIF(NotasMias,Normal_continua[[#This Row],[Puntos ]])/2</f>
        <v>0</v>
      </c>
      <c r="D33" s="44">
        <f>COUNTIF(Tabla1[FA_redondeo],Normal_continua[[#This Row],[Puntos ]])</f>
        <v>0</v>
      </c>
      <c r="E33" s="41" t="e">
        <f ca="1">(_xlfn.NORM.DIST(Normal_continua[[#This Row],[Puntos ]],MediaMia,SQRT(VarMia),TRUE)-_xlfn.NORM.DIST(OFFSET(Normal_continua[[#This Row],[Puntos ]],-1,0),MediaMia,SQRT(VarMia),TRUE))*Pelis</f>
        <v>#NUM!</v>
      </c>
      <c r="F33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4" spans="2:6" x14ac:dyDescent="0.25">
      <c r="B34" s="78">
        <v>7.5</v>
      </c>
      <c r="C34" s="34">
        <f ca="1">AVERAGE(INDIRECT(ADDRESS(ROW()-1,COLUMN())),INDIRECT(ADDRESS(ROW()+1,COLUMN())))</f>
        <v>0</v>
      </c>
      <c r="D34" s="44">
        <f>COUNTIF(Tabla1[FA_redondeo],Normal_continua[[#This Row],[Puntos ]])</f>
        <v>0</v>
      </c>
      <c r="E34" s="41" t="e">
        <f ca="1">(_xlfn.NORM.DIST(Normal_continua[[#This Row],[Puntos ]],MediaMia,SQRT(VarMia),TRUE)-_xlfn.NORM.DIST(OFFSET(Normal_continua[[#This Row],[Puntos ]],-1,0),MediaMia,SQRT(VarMia),TRUE))*Pelis</f>
        <v>#NUM!</v>
      </c>
      <c r="F34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5" spans="2:6" x14ac:dyDescent="0.25">
      <c r="B35" s="78">
        <v>8</v>
      </c>
      <c r="C35" s="34">
        <f>COUNTIF(NotasMias,Normal_continua[[#This Row],[Puntos ]])/2</f>
        <v>0</v>
      </c>
      <c r="D35" s="44">
        <f>COUNTIF(Tabla1[FA_redondeo],Normal_continua[[#This Row],[Puntos ]])</f>
        <v>0</v>
      </c>
      <c r="E35" s="41" t="e">
        <f ca="1">(_xlfn.NORM.DIST(Normal_continua[[#This Row],[Puntos ]],MediaMia,SQRT(VarMia),TRUE)-_xlfn.NORM.DIST(OFFSET(Normal_continua[[#This Row],[Puntos ]],-1,0),MediaMia,SQRT(VarMia),TRUE))*Pelis</f>
        <v>#NUM!</v>
      </c>
      <c r="F35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6" spans="2:6" x14ac:dyDescent="0.25">
      <c r="B36" s="78">
        <v>8.5</v>
      </c>
      <c r="C36" s="34">
        <f ca="1">AVERAGE(INDIRECT(ADDRESS(ROW()-1,COLUMN())),INDIRECT(ADDRESS(ROW()+1,COLUMN())))</f>
        <v>0</v>
      </c>
      <c r="D36" s="44">
        <f>COUNTIF(Tabla1[FA_redondeo],Normal_continua[[#This Row],[Puntos ]])</f>
        <v>0</v>
      </c>
      <c r="E36" s="41" t="e">
        <f ca="1">(_xlfn.NORM.DIST(Normal_continua[[#This Row],[Puntos ]],MediaMia,SQRT(VarMia),TRUE)-_xlfn.NORM.DIST(OFFSET(Normal_continua[[#This Row],[Puntos ]],-1,0),MediaMia,SQRT(VarMia),TRUE))*Pelis</f>
        <v>#NUM!</v>
      </c>
      <c r="F36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7" spans="2:6" x14ac:dyDescent="0.25">
      <c r="B37" s="78">
        <v>9</v>
      </c>
      <c r="C37" s="34">
        <f>COUNTIF(NotasMias,Normal_continua[[#This Row],[Puntos ]])/2</f>
        <v>0</v>
      </c>
      <c r="D37" s="44">
        <f>COUNTIF(Tabla1[FA_redondeo],Normal_continua[[#This Row],[Puntos ]])</f>
        <v>0</v>
      </c>
      <c r="E37" s="41" t="e">
        <f ca="1">(_xlfn.NORM.DIST(Normal_continua[[#This Row],[Puntos ]],MediaMia,SQRT(VarMia),TRUE)-_xlfn.NORM.DIST(OFFSET(Normal_continua[[#This Row],[Puntos ]],-1,0),MediaMia,SQRT(VarMia),TRUE))*Pelis</f>
        <v>#NUM!</v>
      </c>
      <c r="F37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8" spans="2:6" x14ac:dyDescent="0.25">
      <c r="B38" s="78">
        <v>9.5</v>
      </c>
      <c r="C38" s="34">
        <f ca="1">AVERAGE(INDIRECT(ADDRESS(ROW()-1,COLUMN())),INDIRECT(ADDRESS(ROW()+1,COLUMN())))</f>
        <v>0</v>
      </c>
      <c r="D38" s="44">
        <f>COUNTIF(Tabla1[FA_redondeo],Normal_continua[[#This Row],[Puntos ]])</f>
        <v>0</v>
      </c>
      <c r="E38" s="41" t="e">
        <f ca="1">(_xlfn.NORM.DIST(Normal_continua[[#This Row],[Puntos ]],MediaMia,SQRT(VarMia),TRUE)-_xlfn.NORM.DIST(OFFSET(Normal_continua[[#This Row],[Puntos ]],-1,0),MediaMia,SQRT(VarMia),TRUE))*Pelis</f>
        <v>#NUM!</v>
      </c>
      <c r="F38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9" spans="2:6" ht="15.75" thickBot="1" x14ac:dyDescent="0.3">
      <c r="B39" s="79">
        <v>10</v>
      </c>
      <c r="C39" s="35">
        <f>COUNTIF(NotasMias,Normal_continua[[#This Row],[Puntos ]])*2/3</f>
        <v>0</v>
      </c>
      <c r="D39" s="45">
        <f>COUNTIF(Tabla1[FA_redondeo],Normal_continua[[#This Row],[Puntos ]])</f>
        <v>0</v>
      </c>
      <c r="E39" s="41" t="e">
        <f ca="1">(_xlfn.NORM.DIST(Normal_continua[[#This Row],[Puntos ]],MediaMia,SQRT(VarMia),TRUE)-_xlfn.NORM.DIST(OFFSET(Normal_continua[[#This Row],[Puntos ]],-1,0),MediaMia,SQRT(VarMia),TRUE))*Pelis</f>
        <v>#NUM!</v>
      </c>
      <c r="F39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40" spans="2:6" x14ac:dyDescent="0.25">
      <c r="C40" s="47">
        <f ca="1">SUM(Normal_continua[Yo])</f>
        <v>1</v>
      </c>
      <c r="D40" s="17">
        <f>SUM(Normal_continua[FilmAffinity])</f>
        <v>1</v>
      </c>
      <c r="E40" s="64" t="e">
        <f>SUM(Normal_continua[Normal Yo])</f>
        <v>#NUM!</v>
      </c>
      <c r="F40" s="64" t="e">
        <f>SUM(Normal_continua[Normal F.A.])</f>
        <v>#NUM!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zoomScaleNormal="100" workbookViewId="0">
      <selection activeCell="F1" sqref="F1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4"/>
      <c r="E1" t="s">
        <v>15</v>
      </c>
      <c r="F1" s="17">
        <f>AVERAGE(Tabla1[Duracion])</f>
        <v>130</v>
      </c>
      <c r="G1" t="s">
        <v>21</v>
      </c>
      <c r="H1">
        <f>MEDIAN(Tabla1[Duracion])</f>
        <v>130</v>
      </c>
      <c r="L1" t="s">
        <v>34</v>
      </c>
      <c r="M1">
        <f>MAX(Tabla1[Duracion])</f>
        <v>130</v>
      </c>
    </row>
    <row r="2" spans="1:22" x14ac:dyDescent="0.25">
      <c r="C2">
        <f>COUNTIF(Tabla1[Duracion],"&gt;50")</f>
        <v>1</v>
      </c>
      <c r="E2" t="s">
        <v>16</v>
      </c>
      <c r="F2" s="17">
        <f>AVERAGEIF(Tabla1[Duracion],"&gt;50")</f>
        <v>130</v>
      </c>
      <c r="G2" t="s">
        <v>32</v>
      </c>
      <c r="H2" s="17" cm="1">
        <f t="array" ref="H2">STDEVP(IF(Tabla1[Duracion]&gt;50,Tabla1[Duracion]))</f>
        <v>0</v>
      </c>
      <c r="L2" t="s">
        <v>35</v>
      </c>
      <c r="M2">
        <f>MIN(Tabla1[Duracion])</f>
        <v>130</v>
      </c>
    </row>
    <row r="3" spans="1:22" ht="15.75" thickBot="1" x14ac:dyDescent="0.3">
      <c r="E3" t="s">
        <v>17</v>
      </c>
      <c r="F3" s="17" t="e">
        <f>_xlfn.VAR.S(Tabla1[Duracion])</f>
        <v>#DIV/0!</v>
      </c>
      <c r="G3" t="s">
        <v>33</v>
      </c>
      <c r="H3" cm="1">
        <f t="array" ref="H3">_xlfn.VAR.P(IF(Tabla1[Duracion]&gt;50,Tabla1[Duracion],))</f>
        <v>1.6117095947250967E-2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7"/>
      <c r="P4" s="57">
        <v>5</v>
      </c>
      <c r="Q4" s="58">
        <f>COUNTIF(Notas!D:D,"&lt;="&amp;P4)</f>
        <v>0</v>
      </c>
      <c r="R4" s="39" t="e">
        <f>EXP((P4-$F$1)^2/(-2*$F$3))/SQRT(2*PI()*$F$3)*Estadística!$B$1</f>
        <v>#DIV/0!</v>
      </c>
      <c r="T4" s="57">
        <v>10</v>
      </c>
      <c r="U4" s="58">
        <f>COUNTIF(Notas!D:D,"&lt;="&amp;T4)</f>
        <v>0</v>
      </c>
      <c r="V4" s="39" t="e">
        <f>EXP((T4-$F$2)^2/(-2*$H$2))/SQRT(2*PI()*$H$2)*$C$2*10</f>
        <v>#DIV/0!</v>
      </c>
    </row>
    <row r="5" spans="1:22" x14ac:dyDescent="0.25">
      <c r="P5" s="59">
        <v>10</v>
      </c>
      <c r="Q5" s="52">
        <f>COUNTIF(Notas!D:D,"&lt;="&amp;P5)-COUNTIF(Notas!D:D,"&lt;="&amp;P4)</f>
        <v>0</v>
      </c>
      <c r="R5" s="31" t="e">
        <f>EXP((P5-$F$1)^2/(-2*$F$3))/SQRT(2*PI()*$F$3)*Estadística!$B$1</f>
        <v>#DIV/0!</v>
      </c>
      <c r="T5" s="59">
        <v>20</v>
      </c>
      <c r="U5" s="52">
        <f>COUNTIF(Notas!D:D,"&lt;="&amp;T5)-COUNTIF(Notas!D:D,"&lt;="&amp;T4)</f>
        <v>0</v>
      </c>
      <c r="V5" s="31" t="e">
        <f t="shared" ref="V5:V27" si="0">EXP((T5-$F$2)^2/(-2*$H$2))/SQRT(2*PI()*$H$2)*$C$2*10</f>
        <v>#DIV/0!</v>
      </c>
    </row>
    <row r="6" spans="1:22" x14ac:dyDescent="0.25">
      <c r="P6" s="59">
        <v>15</v>
      </c>
      <c r="Q6" s="52">
        <f>COUNTIF(Notas!D:D,"&lt;="&amp;P6)-COUNTIF(Notas!D:D,"&lt;="&amp;P5)</f>
        <v>0</v>
      </c>
      <c r="R6" s="31" t="e">
        <f>EXP((P6-$F$1)^2/(-2*$F$3))/SQRT(2*PI()*$F$3)*Estadística!$B$1</f>
        <v>#DIV/0!</v>
      </c>
      <c r="T6" s="59">
        <v>30</v>
      </c>
      <c r="U6" s="52">
        <f>COUNTIF(Notas!D:D,"&lt;="&amp;T6)-COUNTIF(Notas!D:D,"&lt;="&amp;T5)</f>
        <v>0</v>
      </c>
      <c r="V6" s="31" t="e">
        <f>_xlfn.NORM.DIST($T6,$F$2,SQRT($H$2),TRUE)*$C$2</f>
        <v>#NUM!</v>
      </c>
    </row>
    <row r="7" spans="1:22" x14ac:dyDescent="0.25">
      <c r="P7" s="59">
        <v>20</v>
      </c>
      <c r="Q7" s="52">
        <f>COUNTIF(Notas!D:D,"&lt;="&amp;P7)-COUNTIF(Notas!D:D,"&lt;="&amp;P6)</f>
        <v>0</v>
      </c>
      <c r="R7" s="31" t="e">
        <f>EXP((P7-$F$1)^2/(-2*$F$3))/SQRT(2*PI()*$F$3)*Estadística!$B$1</f>
        <v>#DIV/0!</v>
      </c>
      <c r="T7" s="59">
        <v>40</v>
      </c>
      <c r="U7" s="52">
        <f>COUNTIF(Notas!D:D,"&lt;="&amp;T7)-COUNTIF(Notas!D:D,"&lt;="&amp;T6)</f>
        <v>0</v>
      </c>
      <c r="V7" s="31" t="e">
        <f>(_xlfn.NORM.DIST($T7,$F$2,SQRT($H$2),TRUE)-_xlfn.NORM.DIST($T6,$F$2,SQRT($H$2),TRUE))*$C$2</f>
        <v>#NUM!</v>
      </c>
    </row>
    <row r="8" spans="1:22" x14ac:dyDescent="0.25">
      <c r="P8" s="59">
        <v>25</v>
      </c>
      <c r="Q8" s="52">
        <f>COUNTIF(Notas!D:D,"&lt;="&amp;P8)-COUNTIF(Notas!D:D,"&lt;="&amp;P7)</f>
        <v>0</v>
      </c>
      <c r="R8" s="31" t="e">
        <f>EXP((P8-$F$1)^2/(-2*$F$3))/SQRT(2*PI()*$F$3)*Estadística!$B$1</f>
        <v>#DIV/0!</v>
      </c>
      <c r="T8" s="59">
        <v>50</v>
      </c>
      <c r="U8" s="52">
        <f>COUNTIF(Notas!D:D,"&lt;="&amp;T8)-COUNTIF(Notas!D:D,"&lt;="&amp;T7)</f>
        <v>0</v>
      </c>
      <c r="V8" s="31" t="e">
        <f t="shared" ref="V8:V26" si="1">(_xlfn.NORM.DIST($T8,$F$2,SQRT($H$2),TRUE)-_xlfn.NORM.DIST($T7,$F$2,SQRT($H$2),TRUE))*$C$2</f>
        <v>#NUM!</v>
      </c>
    </row>
    <row r="9" spans="1:22" x14ac:dyDescent="0.25">
      <c r="P9" s="59">
        <v>30</v>
      </c>
      <c r="Q9" s="52">
        <f>COUNTIF(Notas!D:D,"&lt;="&amp;P9)-COUNTIF(Notas!D:D,"&lt;="&amp;P8)</f>
        <v>0</v>
      </c>
      <c r="R9" s="31" t="e">
        <f>EXP((P9-$F$1)^2/(-2*$F$3))/SQRT(2*PI()*$F$3)*Estadística!$B$1</f>
        <v>#DIV/0!</v>
      </c>
      <c r="T9" s="59">
        <v>60</v>
      </c>
      <c r="U9" s="52">
        <f>COUNTIF(Notas!D:D,"&lt;="&amp;T9)-COUNTIF(Notas!D:D,"&lt;="&amp;T8)</f>
        <v>0</v>
      </c>
      <c r="V9" s="31" t="e">
        <f t="shared" si="1"/>
        <v>#NUM!</v>
      </c>
    </row>
    <row r="10" spans="1:22" x14ac:dyDescent="0.25">
      <c r="P10" s="59">
        <v>35</v>
      </c>
      <c r="Q10" s="52">
        <f>COUNTIF(Notas!D:D,"&lt;="&amp;P10)-COUNTIF(Notas!D:D,"&lt;="&amp;P9)</f>
        <v>0</v>
      </c>
      <c r="R10" s="31" t="e">
        <f>EXP((P10-$F$1)^2/(-2*$F$3))/SQRT(2*PI()*$F$3)*Estadística!$B$1</f>
        <v>#DIV/0!</v>
      </c>
      <c r="T10" s="59">
        <v>70</v>
      </c>
      <c r="U10" s="52">
        <f>COUNTIF(Notas!D:D,"&lt;="&amp;T10)-COUNTIF(Notas!D:D,"&lt;="&amp;T9)</f>
        <v>0</v>
      </c>
      <c r="V10" s="31" t="e">
        <f t="shared" si="1"/>
        <v>#NUM!</v>
      </c>
    </row>
    <row r="11" spans="1:22" x14ac:dyDescent="0.25">
      <c r="P11" s="59">
        <v>40</v>
      </c>
      <c r="Q11" s="52">
        <f>COUNTIF(Notas!D:D,"&lt;="&amp;P11)-COUNTIF(Notas!D:D,"&lt;="&amp;P10)</f>
        <v>0</v>
      </c>
      <c r="R11" s="31" t="e">
        <f>EXP((P11-$F$1)^2/(-2*$F$3))/SQRT(2*PI()*$F$3)*Estadística!$B$1</f>
        <v>#DIV/0!</v>
      </c>
      <c r="T11" s="59">
        <v>80</v>
      </c>
      <c r="U11" s="52">
        <f>COUNTIF(Notas!D:D,"&lt;="&amp;T11)-COUNTIF(Notas!D:D,"&lt;="&amp;T10)</f>
        <v>0</v>
      </c>
      <c r="V11" s="31" t="e">
        <f t="shared" si="1"/>
        <v>#NUM!</v>
      </c>
    </row>
    <row r="12" spans="1:22" x14ac:dyDescent="0.25">
      <c r="P12" s="59">
        <v>45</v>
      </c>
      <c r="Q12" s="52">
        <f>COUNTIF(Notas!D:D,"&lt;="&amp;P12)-COUNTIF(Notas!D:D,"&lt;="&amp;P11)</f>
        <v>0</v>
      </c>
      <c r="R12" s="31" t="e">
        <f>EXP((P12-$F$1)^2/(-2*$F$3))/SQRT(2*PI()*$F$3)*Estadística!$B$1</f>
        <v>#DIV/0!</v>
      </c>
      <c r="T12" s="59">
        <v>90</v>
      </c>
      <c r="U12" s="52">
        <f>COUNTIF(Notas!D:D,"&lt;="&amp;T12)-COUNTIF(Notas!D:D,"&lt;="&amp;T11)</f>
        <v>0</v>
      </c>
      <c r="V12" s="31" t="e">
        <f t="shared" si="1"/>
        <v>#NUM!</v>
      </c>
    </row>
    <row r="13" spans="1:22" x14ac:dyDescent="0.25">
      <c r="P13" s="59">
        <v>50</v>
      </c>
      <c r="Q13" s="52">
        <f>COUNTIF(Notas!D:D,"&lt;="&amp;P13)-COUNTIF(Notas!D:D,"&lt;="&amp;P12)</f>
        <v>0</v>
      </c>
      <c r="R13" s="31" t="e">
        <f>EXP((P13-$F$1)^2/(-2*$F$3))/SQRT(2*PI()*$F$3)*Estadística!$B$1</f>
        <v>#DIV/0!</v>
      </c>
      <c r="T13" s="59">
        <v>100</v>
      </c>
      <c r="U13" s="52">
        <f>COUNTIF(Notas!D:D,"&lt;="&amp;T13)-COUNTIF(Notas!D:D,"&lt;="&amp;T12)</f>
        <v>0</v>
      </c>
      <c r="V13" s="31" t="e">
        <f t="shared" si="1"/>
        <v>#NUM!</v>
      </c>
    </row>
    <row r="14" spans="1:22" x14ac:dyDescent="0.25">
      <c r="P14" s="59">
        <v>55</v>
      </c>
      <c r="Q14" s="52">
        <f>COUNTIF(Notas!D:D,"&lt;="&amp;P14)-COUNTIF(Notas!D:D,"&lt;="&amp;P13)</f>
        <v>0</v>
      </c>
      <c r="R14" s="31" t="e">
        <f>EXP((P14-$F$1)^2/(-2*$F$3))/SQRT(2*PI()*$F$3)*Estadística!$B$1</f>
        <v>#DIV/0!</v>
      </c>
      <c r="T14" s="59">
        <v>110</v>
      </c>
      <c r="U14" s="52">
        <f>COUNTIF(Notas!D:D,"&lt;="&amp;T14)-COUNTIF(Notas!D:D,"&lt;="&amp;T13)</f>
        <v>0</v>
      </c>
      <c r="V14" s="31" t="e">
        <f t="shared" si="1"/>
        <v>#NUM!</v>
      </c>
    </row>
    <row r="15" spans="1:22" x14ac:dyDescent="0.25">
      <c r="P15" s="59">
        <v>60</v>
      </c>
      <c r="Q15" s="52">
        <f>COUNTIF(Notas!D:D,"&lt;="&amp;P15)-COUNTIF(Notas!D:D,"&lt;="&amp;P14)</f>
        <v>0</v>
      </c>
      <c r="R15" s="31" t="e">
        <f>EXP((P15-$F$1)^2/(-2*$F$3))/SQRT(2*PI()*$F$3)*Estadística!$B$1</f>
        <v>#DIV/0!</v>
      </c>
      <c r="T15" s="59">
        <v>120</v>
      </c>
      <c r="U15" s="52">
        <f>COUNTIF(Notas!D:D,"&lt;="&amp;T15)-COUNTIF(Notas!D:D,"&lt;="&amp;T14)</f>
        <v>0</v>
      </c>
      <c r="V15" s="31" t="e">
        <f t="shared" si="1"/>
        <v>#NUM!</v>
      </c>
    </row>
    <row r="16" spans="1:22" x14ac:dyDescent="0.25">
      <c r="P16" s="59">
        <v>65</v>
      </c>
      <c r="Q16" s="52">
        <f>COUNTIF(Notas!D:D,"&lt;="&amp;P16)-COUNTIF(Notas!D:D,"&lt;="&amp;P15)</f>
        <v>0</v>
      </c>
      <c r="R16" s="31" t="e">
        <f>EXP((P16-$F$1)^2/(-2*$F$3))/SQRT(2*PI()*$F$3)*Estadística!$B$1</f>
        <v>#DIV/0!</v>
      </c>
      <c r="T16" s="59">
        <v>130</v>
      </c>
      <c r="U16" s="52">
        <f>COUNTIF(Notas!D:D,"&lt;="&amp;T16)-COUNTIF(Notas!D:D,"&lt;="&amp;T15)</f>
        <v>1</v>
      </c>
      <c r="V16" s="31" t="e">
        <f t="shared" si="1"/>
        <v>#NUM!</v>
      </c>
    </row>
    <row r="17" spans="16:22" x14ac:dyDescent="0.25">
      <c r="P17" s="59">
        <v>70</v>
      </c>
      <c r="Q17" s="52">
        <f>COUNTIF(Notas!D:D,"&lt;="&amp;P17)-COUNTIF(Notas!D:D,"&lt;="&amp;P16)</f>
        <v>0</v>
      </c>
      <c r="R17" s="31" t="e">
        <f>EXP((P17-$F$1)^2/(-2*$F$3))/SQRT(2*PI()*$F$3)*Estadística!$B$1</f>
        <v>#DIV/0!</v>
      </c>
      <c r="T17" s="59">
        <v>140</v>
      </c>
      <c r="U17" s="52">
        <f>COUNTIF(Notas!D:D,"&lt;="&amp;T17)-COUNTIF(Notas!D:D,"&lt;="&amp;T16)</f>
        <v>0</v>
      </c>
      <c r="V17" s="31" t="e">
        <f t="shared" si="1"/>
        <v>#NUM!</v>
      </c>
    </row>
    <row r="18" spans="16:22" x14ac:dyDescent="0.25">
      <c r="P18" s="59">
        <v>75</v>
      </c>
      <c r="Q18" s="52">
        <f>COUNTIF(Notas!D:D,"&lt;="&amp;P18)-COUNTIF(Notas!D:D,"&lt;="&amp;P17)</f>
        <v>0</v>
      </c>
      <c r="R18" s="31" t="e">
        <f>EXP((P18-$F$1)^2/(-2*$F$3))/SQRT(2*PI()*$F$3)*Estadística!$B$1</f>
        <v>#DIV/0!</v>
      </c>
      <c r="T18" s="59">
        <v>150</v>
      </c>
      <c r="U18" s="52">
        <f>COUNTIF(Notas!D:D,"&lt;="&amp;T18)-COUNTIF(Notas!D:D,"&lt;="&amp;T17)</f>
        <v>0</v>
      </c>
      <c r="V18" s="31" t="e">
        <f t="shared" si="1"/>
        <v>#NUM!</v>
      </c>
    </row>
    <row r="19" spans="16:22" x14ac:dyDescent="0.25">
      <c r="P19" s="59">
        <v>80</v>
      </c>
      <c r="Q19" s="52">
        <f>COUNTIF(Notas!D:D,"&lt;="&amp;P19)-COUNTIF(Notas!D:D,"&lt;="&amp;P18)</f>
        <v>0</v>
      </c>
      <c r="R19" s="31" t="e">
        <f>EXP((P19-$F$1)^2/(-2*$F$3))/SQRT(2*PI()*$F$3)*Estadística!$B$1</f>
        <v>#DIV/0!</v>
      </c>
      <c r="T19" s="59">
        <v>160</v>
      </c>
      <c r="U19" s="52">
        <f>COUNTIF(Notas!D:D,"&lt;="&amp;T19)-COUNTIF(Notas!D:D,"&lt;="&amp;T18)</f>
        <v>0</v>
      </c>
      <c r="V19" s="31" t="e">
        <f t="shared" si="1"/>
        <v>#NUM!</v>
      </c>
    </row>
    <row r="20" spans="16:22" x14ac:dyDescent="0.25">
      <c r="P20" s="59">
        <v>85</v>
      </c>
      <c r="Q20" s="52">
        <f>COUNTIF(Notas!D:D,"&lt;="&amp;P20)-COUNTIF(Notas!D:D,"&lt;="&amp;P19)</f>
        <v>0</v>
      </c>
      <c r="R20" s="31" t="e">
        <f>EXP((P20-$F$1)^2/(-2*$F$3))/SQRT(2*PI()*$F$3)*Estadística!$B$1</f>
        <v>#DIV/0!</v>
      </c>
      <c r="T20" s="59">
        <v>170</v>
      </c>
      <c r="U20" s="52">
        <f>COUNTIF(Notas!D:D,"&lt;="&amp;T20)-COUNTIF(Notas!D:D,"&lt;="&amp;T19)</f>
        <v>0</v>
      </c>
      <c r="V20" s="31" t="e">
        <f t="shared" si="1"/>
        <v>#NUM!</v>
      </c>
    </row>
    <row r="21" spans="16:22" x14ac:dyDescent="0.25">
      <c r="P21" s="59">
        <v>90</v>
      </c>
      <c r="Q21" s="52">
        <f>COUNTIF(Notas!D:D,"&lt;="&amp;P21)-COUNTIF(Notas!D:D,"&lt;="&amp;P20)</f>
        <v>0</v>
      </c>
      <c r="R21" s="31" t="e">
        <f>EXP((P21-$F$1)^2/(-2*$F$3))/SQRT(2*PI()*$F$3)*Estadística!$B$1</f>
        <v>#DIV/0!</v>
      </c>
      <c r="T21" s="59">
        <v>180</v>
      </c>
      <c r="U21" s="52">
        <f>COUNTIF(Notas!D:D,"&lt;="&amp;T21)-COUNTIF(Notas!D:D,"&lt;="&amp;T20)</f>
        <v>0</v>
      </c>
      <c r="V21" s="31" t="e">
        <f t="shared" si="1"/>
        <v>#NUM!</v>
      </c>
    </row>
    <row r="22" spans="16:22" x14ac:dyDescent="0.25">
      <c r="P22" s="59">
        <v>95</v>
      </c>
      <c r="Q22" s="52">
        <f>COUNTIF(Notas!D:D,"&lt;="&amp;P22)-COUNTIF(Notas!D:D,"&lt;="&amp;P21)</f>
        <v>0</v>
      </c>
      <c r="R22" s="31" t="e">
        <f>EXP((P22-$F$1)^2/(-2*$F$3))/SQRT(2*PI()*$F$3)*Estadística!$B$1</f>
        <v>#DIV/0!</v>
      </c>
      <c r="T22" s="59">
        <v>190</v>
      </c>
      <c r="U22" s="52">
        <f>COUNTIF(Notas!D:D,"&lt;="&amp;T22)-COUNTIF(Notas!D:D,"&lt;="&amp;T21)</f>
        <v>0</v>
      </c>
      <c r="V22" s="31" t="e">
        <f t="shared" si="1"/>
        <v>#NUM!</v>
      </c>
    </row>
    <row r="23" spans="16:22" x14ac:dyDescent="0.25">
      <c r="P23" s="59">
        <v>100</v>
      </c>
      <c r="Q23" s="52">
        <f>COUNTIF(Notas!D:D,"&lt;="&amp;P23)-COUNTIF(Notas!D:D,"&lt;="&amp;P22)</f>
        <v>0</v>
      </c>
      <c r="R23" s="31" t="e">
        <f>EXP((P23-$F$1)^2/(-2*$F$3))/SQRT(2*PI()*$F$3)*Estadística!$B$1</f>
        <v>#DIV/0!</v>
      </c>
      <c r="T23" s="59">
        <v>200</v>
      </c>
      <c r="U23" s="52">
        <f>COUNTIF(Notas!D:D,"&lt;="&amp;T23)-COUNTIF(Notas!D:D,"&lt;="&amp;T22)</f>
        <v>0</v>
      </c>
      <c r="V23" s="31" t="e">
        <f t="shared" si="1"/>
        <v>#NUM!</v>
      </c>
    </row>
    <row r="24" spans="16:22" x14ac:dyDescent="0.25">
      <c r="P24" s="59">
        <v>105</v>
      </c>
      <c r="Q24" s="52">
        <f>COUNTIF(Notas!D:D,"&lt;="&amp;P24)-COUNTIF(Notas!D:D,"&lt;="&amp;P23)</f>
        <v>0</v>
      </c>
      <c r="R24" s="31" t="e">
        <f>EXP((P24-$F$1)^2/(-2*$F$3))/SQRT(2*PI()*$F$3)*Estadística!$B$1</f>
        <v>#DIV/0!</v>
      </c>
      <c r="T24" s="59">
        <v>210</v>
      </c>
      <c r="U24" s="52">
        <f>COUNTIF(Notas!D:D,"&lt;="&amp;T24)-COUNTIF(Notas!D:D,"&lt;="&amp;T23)</f>
        <v>0</v>
      </c>
      <c r="V24" s="31" t="e">
        <f t="shared" si="1"/>
        <v>#NUM!</v>
      </c>
    </row>
    <row r="25" spans="16:22" x14ac:dyDescent="0.25">
      <c r="P25" s="59">
        <v>110</v>
      </c>
      <c r="Q25" s="52">
        <f>COUNTIF(Notas!D:D,"&lt;="&amp;P25)-COUNTIF(Notas!D:D,"&lt;="&amp;P24)</f>
        <v>0</v>
      </c>
      <c r="R25" s="31" t="e">
        <f>EXP((P25-$F$1)^2/(-2*$F$3))/SQRT(2*PI()*$F$3)*Estadística!$B$1</f>
        <v>#DIV/0!</v>
      </c>
      <c r="T25" s="59">
        <v>220</v>
      </c>
      <c r="U25" s="52">
        <f>COUNTIF(Notas!D:D,"&lt;="&amp;T25)-COUNTIF(Notas!D:D,"&lt;="&amp;T24)</f>
        <v>0</v>
      </c>
      <c r="V25" s="31" t="e">
        <f t="shared" si="1"/>
        <v>#NUM!</v>
      </c>
    </row>
    <row r="26" spans="16:22" x14ac:dyDescent="0.25">
      <c r="P26" s="59">
        <v>115</v>
      </c>
      <c r="Q26" s="52">
        <f>COUNTIF(Notas!D:D,"&lt;="&amp;P26)-COUNTIF(Notas!D:D,"&lt;="&amp;P25)</f>
        <v>0</v>
      </c>
      <c r="R26" s="31" t="e">
        <f>EXP((P26-$F$1)^2/(-2*$F$3))/SQRT(2*PI()*$F$3)*Estadística!$B$1</f>
        <v>#DIV/0!</v>
      </c>
      <c r="T26" s="59">
        <v>230</v>
      </c>
      <c r="U26" s="52">
        <f>COUNTIF(Notas!D:D,"&lt;="&amp;T26)-COUNTIF(Notas!D:D,"&lt;="&amp;T25)</f>
        <v>0</v>
      </c>
      <c r="V26" s="31" t="e">
        <f t="shared" si="1"/>
        <v>#NUM!</v>
      </c>
    </row>
    <row r="27" spans="16:22" ht="15.75" thickBot="1" x14ac:dyDescent="0.3">
      <c r="P27" s="59">
        <v>120</v>
      </c>
      <c r="Q27" s="52">
        <f>COUNTIF(Notas!D:D,"&lt;="&amp;P27)-COUNTIF(Notas!D:D,"&lt;="&amp;P26)</f>
        <v>0</v>
      </c>
      <c r="R27" s="31" t="e">
        <f>EXP((P27-$F$1)^2/(-2*$F$3))/SQRT(2*PI()*$F$3)*Estadística!$B$1</f>
        <v>#DIV/0!</v>
      </c>
      <c r="T27" s="60">
        <v>240</v>
      </c>
      <c r="U27" s="61">
        <f>COUNTIF(Notas!D:D,"&lt;="&amp;T27)-COUNTIF(Notas!D:D,"&lt;="&amp;T26)</f>
        <v>0</v>
      </c>
      <c r="V27" s="32" t="e">
        <f t="shared" si="0"/>
        <v>#DIV/0!</v>
      </c>
    </row>
    <row r="28" spans="16:22" x14ac:dyDescent="0.25">
      <c r="P28" s="59">
        <v>125</v>
      </c>
      <c r="Q28" s="52">
        <f>COUNTIF(Notas!D:D,"&lt;="&amp;P28)-COUNTIF(Notas!D:D,"&lt;="&amp;P27)</f>
        <v>0</v>
      </c>
      <c r="R28" s="31" t="e">
        <f>EXP((P28-$F$1)^2/(-2*$F$3))/SQRT(2*PI()*$F$3)*Estadística!$B$1</f>
        <v>#DIV/0!</v>
      </c>
      <c r="T28" s="25"/>
      <c r="V28" s="17" t="e">
        <f>SUM(V4:V27)</f>
        <v>#DIV/0!</v>
      </c>
    </row>
    <row r="29" spans="16:22" x14ac:dyDescent="0.25">
      <c r="P29" s="59">
        <v>130</v>
      </c>
      <c r="Q29" s="52">
        <f>COUNTIF(Notas!D:D,"&lt;="&amp;P29)-COUNTIF(Notas!D:D,"&lt;="&amp;P28)</f>
        <v>1</v>
      </c>
      <c r="R29" s="31" t="e">
        <f>EXP((P29-$F$1)^2/(-2*$F$3))/SQRT(2*PI()*$F$3)*Estadística!$B$1</f>
        <v>#DIV/0!</v>
      </c>
    </row>
    <row r="30" spans="16:22" x14ac:dyDescent="0.25">
      <c r="P30" s="59">
        <v>135</v>
      </c>
      <c r="Q30" s="52">
        <f>COUNTIF(Notas!D:D,"&lt;="&amp;P30)-COUNTIF(Notas!D:D,"&lt;="&amp;P29)</f>
        <v>0</v>
      </c>
      <c r="R30" s="31" t="e">
        <f>EXP((P30-$F$1)^2/(-2*$F$3))/SQRT(2*PI()*$F$3)*Estadística!$B$1</f>
        <v>#DIV/0!</v>
      </c>
    </row>
    <row r="31" spans="16:22" x14ac:dyDescent="0.25">
      <c r="P31" s="59">
        <v>140</v>
      </c>
      <c r="Q31" s="52">
        <f>COUNTIF(Notas!D:D,"&lt;="&amp;P31)-COUNTIF(Notas!D:D,"&lt;="&amp;P30)</f>
        <v>0</v>
      </c>
      <c r="R31" s="31" t="e">
        <f>EXP((P31-$F$1)^2/(-2*$F$3))/SQRT(2*PI()*$F$3)*Estadística!$B$1</f>
        <v>#DIV/0!</v>
      </c>
    </row>
    <row r="32" spans="16:22" x14ac:dyDescent="0.25">
      <c r="P32" s="59">
        <v>145</v>
      </c>
      <c r="Q32" s="52">
        <f>COUNTIF(Notas!D:D,"&lt;="&amp;P32)-COUNTIF(Notas!D:D,"&lt;="&amp;P31)</f>
        <v>0</v>
      </c>
      <c r="R32" s="31" t="e">
        <f>EXP((P32-$F$1)^2/(-2*$F$3))/SQRT(2*PI()*$F$3)*Estadística!$B$1</f>
        <v>#DIV/0!</v>
      </c>
    </row>
    <row r="33" spans="16:18" x14ac:dyDescent="0.25">
      <c r="P33" s="59">
        <v>150</v>
      </c>
      <c r="Q33" s="52">
        <f>COUNTIF(Notas!D:D,"&lt;="&amp;P33)-COUNTIF(Notas!D:D,"&lt;="&amp;P32)</f>
        <v>0</v>
      </c>
      <c r="R33" s="31" t="e">
        <f>EXP((P33-$F$1)^2/(-2*$F$3))/SQRT(2*PI()*$F$3)*Estadística!$B$1</f>
        <v>#DIV/0!</v>
      </c>
    </row>
    <row r="34" spans="16:18" x14ac:dyDescent="0.25">
      <c r="P34" s="59">
        <v>155</v>
      </c>
      <c r="Q34" s="52">
        <f>COUNTIF(Notas!D:D,"&lt;="&amp;P34)-COUNTIF(Notas!D:D,"&lt;="&amp;P33)</f>
        <v>0</v>
      </c>
      <c r="R34" s="31" t="e">
        <f>EXP((P34-$F$1)^2/(-2*$F$3))/SQRT(2*PI()*$F$3)*Estadística!$B$1</f>
        <v>#DIV/0!</v>
      </c>
    </row>
    <row r="35" spans="16:18" x14ac:dyDescent="0.25">
      <c r="P35" s="59">
        <v>160</v>
      </c>
      <c r="Q35" s="52">
        <f>COUNTIF(Notas!D:D,"&lt;="&amp;P35)-COUNTIF(Notas!D:D,"&lt;="&amp;P34)</f>
        <v>0</v>
      </c>
      <c r="R35" s="31" t="e">
        <f>EXP((P35-$F$1)^2/(-2*$F$3))/SQRT(2*PI()*$F$3)*Estadística!$B$1</f>
        <v>#DIV/0!</v>
      </c>
    </row>
    <row r="36" spans="16:18" x14ac:dyDescent="0.25">
      <c r="P36" s="59">
        <v>165</v>
      </c>
      <c r="Q36" s="52">
        <f>COUNTIF(Notas!D:D,"&lt;="&amp;P36)-COUNTIF(Notas!D:D,"&lt;="&amp;P35)</f>
        <v>0</v>
      </c>
      <c r="R36" s="31" t="e">
        <f>EXP((P36-$F$1)^2/(-2*$F$3))/SQRT(2*PI()*$F$3)*Estadística!$B$1</f>
        <v>#DIV/0!</v>
      </c>
    </row>
    <row r="37" spans="16:18" x14ac:dyDescent="0.25">
      <c r="P37" s="59">
        <v>170</v>
      </c>
      <c r="Q37" s="52">
        <f>COUNTIF(Notas!D:D,"&lt;="&amp;P37)-COUNTIF(Notas!D:D,"&lt;="&amp;P36)</f>
        <v>0</v>
      </c>
      <c r="R37" s="31" t="e">
        <f>EXP((P37-$F$1)^2/(-2*$F$3))/SQRT(2*PI()*$F$3)*Estadística!$B$1</f>
        <v>#DIV/0!</v>
      </c>
    </row>
    <row r="38" spans="16:18" x14ac:dyDescent="0.25">
      <c r="P38" s="59">
        <v>175</v>
      </c>
      <c r="Q38" s="52">
        <f>COUNTIF(Notas!D:D,"&lt;="&amp;P38)-COUNTIF(Notas!D:D,"&lt;="&amp;P37)</f>
        <v>0</v>
      </c>
      <c r="R38" s="31" t="e">
        <f>EXP((P38-$F$1)^2/(-2*$F$3))/SQRT(2*PI()*$F$3)*Estadística!$B$1</f>
        <v>#DIV/0!</v>
      </c>
    </row>
    <row r="39" spans="16:18" x14ac:dyDescent="0.25">
      <c r="P39" s="59">
        <v>180</v>
      </c>
      <c r="Q39" s="52">
        <f>COUNTIF(Notas!D:D,"&lt;="&amp;P39)-COUNTIF(Notas!D:D,"&lt;="&amp;P38)</f>
        <v>0</v>
      </c>
      <c r="R39" s="31" t="e">
        <f>EXP((P39-$F$1)^2/(-2*$F$3))/SQRT(2*PI()*$F$3)*Estadística!$B$1</f>
        <v>#DIV/0!</v>
      </c>
    </row>
    <row r="40" spans="16:18" x14ac:dyDescent="0.25">
      <c r="P40" s="59">
        <v>185</v>
      </c>
      <c r="Q40" s="52">
        <f>COUNTIF(Notas!D:D,"&lt;="&amp;P40)-COUNTIF(Notas!D:D,"&lt;="&amp;P39)</f>
        <v>0</v>
      </c>
      <c r="R40" s="31" t="e">
        <f>EXP((P40-$F$1)^2/(-2*$F$3))/SQRT(2*PI()*$F$3)*Estadística!$B$1</f>
        <v>#DIV/0!</v>
      </c>
    </row>
    <row r="41" spans="16:18" x14ac:dyDescent="0.25">
      <c r="P41" s="59">
        <v>190</v>
      </c>
      <c r="Q41" s="52">
        <f>COUNTIF(Notas!D:D,"&lt;="&amp;P41)-COUNTIF(Notas!D:D,"&lt;="&amp;P40)</f>
        <v>0</v>
      </c>
      <c r="R41" s="31" t="e">
        <f>EXP((P41-$F$1)^2/(-2*$F$3))/SQRT(2*PI()*$F$3)*Estadística!$B$1</f>
        <v>#DIV/0!</v>
      </c>
    </row>
    <row r="42" spans="16:18" x14ac:dyDescent="0.25">
      <c r="P42" s="59">
        <v>195</v>
      </c>
      <c r="Q42" s="52">
        <f>COUNTIF(Notas!D:D,"&lt;="&amp;P42)-COUNTIF(Notas!D:D,"&lt;="&amp;P41)</f>
        <v>0</v>
      </c>
      <c r="R42" s="31" t="e">
        <f>EXP((P42-$F$1)^2/(-2*$F$3))/SQRT(2*PI()*$F$3)*Estadística!$B$1</f>
        <v>#DIV/0!</v>
      </c>
    </row>
    <row r="43" spans="16:18" x14ac:dyDescent="0.25">
      <c r="P43" s="59">
        <v>200</v>
      </c>
      <c r="Q43" s="52">
        <f>COUNTIF(Notas!D:D,"&lt;="&amp;P43)-COUNTIF(Notas!D:D,"&lt;="&amp;P42)</f>
        <v>0</v>
      </c>
      <c r="R43" s="31" t="e">
        <f>EXP((P43-$F$1)^2/(-2*$F$3))/SQRT(2*PI()*$F$3)*Estadística!$B$1</f>
        <v>#DIV/0!</v>
      </c>
    </row>
    <row r="44" spans="16:18" x14ac:dyDescent="0.25">
      <c r="P44" s="59">
        <v>205</v>
      </c>
      <c r="Q44" s="52">
        <f>COUNTIF(Notas!D:D,"&lt;="&amp;P44)-COUNTIF(Notas!D:D,"&lt;="&amp;P43)</f>
        <v>0</v>
      </c>
      <c r="R44" s="31" t="e">
        <f>EXP((P44-$F$1)^2/(-2*$F$3))/SQRT(2*PI()*$F$3)*Estadística!$B$1</f>
        <v>#DIV/0!</v>
      </c>
    </row>
    <row r="45" spans="16:18" x14ac:dyDescent="0.25">
      <c r="P45" s="59">
        <v>210</v>
      </c>
      <c r="Q45" s="52">
        <f>COUNTIF(Notas!D:D,"&lt;="&amp;P45)-COUNTIF(Notas!D:D,"&lt;="&amp;P44)</f>
        <v>0</v>
      </c>
      <c r="R45" s="31" t="e">
        <f>EXP((P45-$F$1)^2/(-2*$F$3))/SQRT(2*PI()*$F$3)*Estadística!$B$1</f>
        <v>#DIV/0!</v>
      </c>
    </row>
    <row r="46" spans="16:18" x14ac:dyDescent="0.25">
      <c r="P46" s="59">
        <v>215</v>
      </c>
      <c r="Q46" s="52">
        <f>COUNTIF(Notas!D:D,"&lt;="&amp;P46)-COUNTIF(Notas!D:D,"&lt;="&amp;P45)</f>
        <v>0</v>
      </c>
      <c r="R46" s="31" t="e">
        <f>EXP((P46-$F$1)^2/(-2*$F$3))/SQRT(2*PI()*$F$3)*Estadística!$B$1</f>
        <v>#DIV/0!</v>
      </c>
    </row>
    <row r="47" spans="16:18" x14ac:dyDescent="0.25">
      <c r="P47" s="59">
        <v>220</v>
      </c>
      <c r="Q47" s="52">
        <f>COUNTIF(Notas!D:D,"&lt;="&amp;P47)-COUNTIF(Notas!D:D,"&lt;="&amp;P46)</f>
        <v>0</v>
      </c>
      <c r="R47" s="31" t="e">
        <f>EXP((P47-$F$1)^2/(-2*$F$3))/SQRT(2*PI()*$F$3)*Estadística!$B$1</f>
        <v>#DIV/0!</v>
      </c>
    </row>
    <row r="48" spans="16:18" x14ac:dyDescent="0.25">
      <c r="P48" s="59">
        <v>225</v>
      </c>
      <c r="Q48" s="52">
        <f>COUNTIF(Notas!D:D,"&lt;="&amp;P48)-COUNTIF(Notas!D:D,"&lt;="&amp;P47)</f>
        <v>0</v>
      </c>
      <c r="R48" s="31" t="e">
        <f>EXP((P48-$F$1)^2/(-2*$F$3))/SQRT(2*PI()*$F$3)*Estadística!$B$1</f>
        <v>#DIV/0!</v>
      </c>
    </row>
    <row r="49" spans="16:18" x14ac:dyDescent="0.25">
      <c r="P49" s="59">
        <v>230</v>
      </c>
      <c r="Q49" s="52">
        <f>COUNTIF(Notas!D:D,"&lt;="&amp;P49)-COUNTIF(Notas!D:D,"&lt;="&amp;P48)</f>
        <v>0</v>
      </c>
      <c r="R49" s="31" t="e">
        <f>EXP((P49-$F$1)^2/(-2*$F$3))/SQRT(2*PI()*$F$3)*Estadística!$B$1</f>
        <v>#DIV/0!</v>
      </c>
    </row>
    <row r="50" spans="16:18" x14ac:dyDescent="0.25">
      <c r="P50" s="59">
        <v>235</v>
      </c>
      <c r="Q50" s="52">
        <f>COUNTIF(Notas!D:D,"&lt;="&amp;P50)-COUNTIF(Notas!D:D,"&lt;="&amp;P49)</f>
        <v>0</v>
      </c>
      <c r="R50" s="31" t="e">
        <f>EXP((P50-$F$1)^2/(-2*$F$3))/SQRT(2*PI()*$F$3)*Estadística!$B$1</f>
        <v>#DIV/0!</v>
      </c>
    </row>
    <row r="51" spans="16:18" ht="15.75" thickBot="1" x14ac:dyDescent="0.3">
      <c r="P51" s="60">
        <v>240</v>
      </c>
      <c r="Q51" s="61">
        <f>COUNTIF(Notas!D:D,"&lt;="&amp;P51)-COUNTIF(Notas!D:D,"&lt;="&amp;P50)</f>
        <v>0</v>
      </c>
      <c r="R51" s="32" t="e">
        <f>EXP((P51-$F$1)^2/(-2*$F$3))/SQRT(2*PI()*$F$3)*Estadística!$B$1</f>
        <v>#DIV/0!</v>
      </c>
    </row>
    <row r="52" spans="16:18" x14ac:dyDescent="0.25">
      <c r="Q52">
        <f>SUM(Q4:Q51)</f>
        <v>1</v>
      </c>
      <c r="R52" t="e">
        <f>SUM(R4:R51)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7" t="s">
        <v>7</v>
      </c>
      <c r="C6" s="36" t="s">
        <v>9</v>
      </c>
      <c r="D6" s="46" t="s">
        <v>12</v>
      </c>
      <c r="E6" s="65" t="s">
        <v>40</v>
      </c>
      <c r="F6" s="66" t="s">
        <v>41</v>
      </c>
      <c r="G6" s="62" t="s">
        <v>24</v>
      </c>
      <c r="H6" s="38" t="s">
        <v>19</v>
      </c>
    </row>
    <row r="7" spans="2:8" x14ac:dyDescent="0.25">
      <c r="B7" s="18">
        <v>0.5</v>
      </c>
      <c r="C7" s="33">
        <f>C8/2</f>
        <v>0</v>
      </c>
      <c r="D7" s="43">
        <f>COUNTIF(Notas!G:G,B7)</f>
        <v>0</v>
      </c>
      <c r="E7" s="67">
        <f>LOG(_xlfn.NORM.DIST($B7,$E$3,SQRT($E$4),TRUE)^$C7)</f>
        <v>0</v>
      </c>
      <c r="F7" s="67">
        <f>LOG(_xlfn.NORM.DIST(B7,$G$3,SQRT($G$4),TRUE)^D7)</f>
        <v>0</v>
      </c>
      <c r="G7" s="40">
        <f>_xlfn.NORM.DIST(B7,$E$3,SQRT($E$4),TRUE)*Pelis</f>
        <v>5.7925488621560443E-3</v>
      </c>
      <c r="H7" s="48">
        <f>_xlfn.NORM.DIST(B8,$G$3,SQRT($G$4),TRUE)*Pelis</f>
        <v>1.0670751456919622E-5</v>
      </c>
    </row>
    <row r="8" spans="2:8" x14ac:dyDescent="0.25">
      <c r="B8" s="20">
        <v>1</v>
      </c>
      <c r="C8" s="34">
        <f>COUNTIF(Notas!B:B,B8)/2</f>
        <v>0</v>
      </c>
      <c r="D8" s="44">
        <f>COUNTIF(Notas!G:G,B8)</f>
        <v>0</v>
      </c>
      <c r="E8" s="68">
        <f>LOG((_xlfn.NORM.DIST(B8,$E$3,SQRT($E$4),TRUE)-_xlfn.NORM.DIST(B7,$E$3,SQRT($E$4),TRUE))^C8)</f>
        <v>0</v>
      </c>
      <c r="F8" s="68">
        <f>LOG((_xlfn.NORM.DIST(B8,$G$3,SQRT($G$4),TRUE)-_xlfn.NORM.DIST(B7,$G$3,SQRT($G$4),TRUE))^$D8)</f>
        <v>0</v>
      </c>
      <c r="G8" s="41">
        <f t="shared" ref="G8:G26" si="0">(_xlfn.NORM.DIST(B8,$E$3,SQRT($E$4),TRUE)-_xlfn.NORM.DIST(B7,$E$3,SQRT($E$4),TRUE))*Pelis</f>
        <v>5.3035236315983354E-3</v>
      </c>
      <c r="H8" s="49">
        <f t="shared" ref="H8:H26" si="1">(_xlfn.NORM.DIST(B8,$G$3,SQRT($G$4),TRUE)-_xlfn.NORM.DIST(B7,$G$3,SQRT($G$4),TRUE))*Pelis</f>
        <v>8.9532107336445599E-6</v>
      </c>
    </row>
    <row r="9" spans="2:8" x14ac:dyDescent="0.25">
      <c r="B9" s="20">
        <v>1.5</v>
      </c>
      <c r="C9" s="34">
        <f>(C8+C10)/2</f>
        <v>0.25</v>
      </c>
      <c r="D9" s="44">
        <f>COUNTIF(Notas!G:G,B9)</f>
        <v>0</v>
      </c>
      <c r="E9" s="68">
        <f t="shared" ref="E9:E26" si="2">LOG((_xlfn.NORM.DIST(B9,$E$3,SQRT($E$4),TRUE)-_xlfn.NORM.DIST(B8,$E$3,SQRT($E$4),TRUE))^C9)</f>
        <v>-0.510165965966482</v>
      </c>
      <c r="F9" s="68">
        <f t="shared" ref="F9:F26" si="3">LOG((_xlfn.NORM.DIST(B9,$G$3,SQRT($G$4),TRUE)-_xlfn.NORM.DIST(B8,$G$3,SQRT($G$4),TRUE))^$D9)</f>
        <v>0</v>
      </c>
      <c r="G9" s="41">
        <f t="shared" si="0"/>
        <v>9.1061780178500785E-3</v>
      </c>
      <c r="H9" s="49">
        <f t="shared" si="1"/>
        <v>4.6530954287035938E-5</v>
      </c>
    </row>
    <row r="10" spans="2:8" x14ac:dyDescent="0.25">
      <c r="B10" s="20">
        <v>2</v>
      </c>
      <c r="C10" s="34">
        <f>COUNTIF(Notas!B:B,B10)/2</f>
        <v>0.5</v>
      </c>
      <c r="D10" s="44">
        <f>COUNTIF(Notas!G:G,B10)</f>
        <v>0</v>
      </c>
      <c r="E10" s="68">
        <f t="shared" si="2"/>
        <v>-0.91513515531428258</v>
      </c>
      <c r="F10" s="68">
        <f t="shared" si="3"/>
        <v>0</v>
      </c>
      <c r="G10" s="41">
        <f t="shared" si="0"/>
        <v>1.478188057990508E-2</v>
      </c>
      <c r="H10" s="49">
        <f t="shared" si="1"/>
        <v>2.0765310065299676E-4</v>
      </c>
    </row>
    <row r="11" spans="2:8" x14ac:dyDescent="0.25">
      <c r="B11" s="20">
        <v>2.5</v>
      </c>
      <c r="C11" s="34">
        <f>(C10+C12)/2</f>
        <v>0.25</v>
      </c>
      <c r="D11" s="44">
        <f>COUNTIF(Notas!G:G,B11)</f>
        <v>0</v>
      </c>
      <c r="E11" s="68">
        <f t="shared" si="2"/>
        <v>-0.41106363090054054</v>
      </c>
      <c r="F11" s="68">
        <f t="shared" si="3"/>
        <v>0</v>
      </c>
      <c r="G11" s="41">
        <f t="shared" si="0"/>
        <v>2.2685349595145655E-2</v>
      </c>
      <c r="H11" s="49">
        <f t="shared" si="1"/>
        <v>7.9576485490160656E-4</v>
      </c>
    </row>
    <row r="12" spans="2:8" x14ac:dyDescent="0.25">
      <c r="B12" s="20">
        <v>3</v>
      </c>
      <c r="C12" s="34">
        <f>COUNTIF(Notas!B:B,B12)/2</f>
        <v>0</v>
      </c>
      <c r="D12" s="44">
        <f>COUNTIF(Notas!G:G,B12)</f>
        <v>0</v>
      </c>
      <c r="E12" s="68">
        <f t="shared" si="2"/>
        <v>0</v>
      </c>
      <c r="F12" s="68">
        <f t="shared" si="3"/>
        <v>0</v>
      </c>
      <c r="G12" s="41">
        <f t="shared" si="0"/>
        <v>3.2914235407240124E-2</v>
      </c>
      <c r="H12" s="49">
        <f t="shared" si="1"/>
        <v>2.6187638771519059E-3</v>
      </c>
    </row>
    <row r="13" spans="2:8" x14ac:dyDescent="0.25">
      <c r="B13" s="20">
        <v>3.5</v>
      </c>
      <c r="C13" s="34">
        <f>(C12+C14)/2</f>
        <v>0</v>
      </c>
      <c r="D13" s="44">
        <f>COUNTIF(Notas!G:G,B13)</f>
        <v>0</v>
      </c>
      <c r="E13" s="68">
        <f t="shared" si="2"/>
        <v>0</v>
      </c>
      <c r="F13" s="68">
        <f t="shared" si="3"/>
        <v>0</v>
      </c>
      <c r="G13" s="41">
        <f t="shared" si="0"/>
        <v>4.5148654453109976E-2</v>
      </c>
      <c r="H13" s="49">
        <f t="shared" si="1"/>
        <v>7.400945940858444E-3</v>
      </c>
    </row>
    <row r="14" spans="2:8" x14ac:dyDescent="0.25">
      <c r="B14" s="20">
        <v>4</v>
      </c>
      <c r="C14" s="34">
        <f>COUNTIF(Notas!B:B,B14)/2</f>
        <v>0</v>
      </c>
      <c r="D14" s="44">
        <f>COUNTIF(Notas!G:G,B14)</f>
        <v>1</v>
      </c>
      <c r="E14" s="68">
        <f t="shared" si="2"/>
        <v>0</v>
      </c>
      <c r="F14" s="68">
        <f t="shared" si="3"/>
        <v>-1.7456299905769432</v>
      </c>
      <c r="G14" s="41">
        <f t="shared" si="0"/>
        <v>5.8550256516192611E-2</v>
      </c>
      <c r="H14" s="49">
        <f t="shared" si="1"/>
        <v>1.796263352278547E-2</v>
      </c>
    </row>
    <row r="15" spans="2:8" x14ac:dyDescent="0.25">
      <c r="B15" s="20">
        <v>4.5</v>
      </c>
      <c r="C15" s="34">
        <f>(C14+C16)/2</f>
        <v>0</v>
      </c>
      <c r="D15" s="44">
        <f>COUNTIF(Notas!G:G,B15)</f>
        <v>0</v>
      </c>
      <c r="E15" s="68">
        <f t="shared" si="2"/>
        <v>0</v>
      </c>
      <c r="F15" s="68">
        <f t="shared" si="3"/>
        <v>0</v>
      </c>
      <c r="G15" s="41">
        <f t="shared" si="0"/>
        <v>7.1785364468036045E-2</v>
      </c>
      <c r="H15" s="49">
        <f t="shared" si="1"/>
        <v>3.744170915363889E-2</v>
      </c>
    </row>
    <row r="16" spans="2:8" x14ac:dyDescent="0.25">
      <c r="B16" s="20">
        <v>5</v>
      </c>
      <c r="C16" s="34">
        <f>COUNTIF(Notas!B:B,B16)/2</f>
        <v>0</v>
      </c>
      <c r="D16" s="44">
        <f>COUNTIF(Notas!G:G,B16)</f>
        <v>0</v>
      </c>
      <c r="E16" s="68">
        <f t="shared" si="2"/>
        <v>0</v>
      </c>
      <c r="F16" s="68">
        <f t="shared" si="3"/>
        <v>0</v>
      </c>
      <c r="G16" s="41">
        <f t="shared" si="0"/>
        <v>8.320822664083477E-2</v>
      </c>
      <c r="H16" s="49">
        <f t="shared" si="1"/>
        <v>6.7027571512691578E-2</v>
      </c>
    </row>
    <row r="17" spans="2:8" x14ac:dyDescent="0.25">
      <c r="B17" s="20">
        <v>5.5</v>
      </c>
      <c r="C17" s="34">
        <f>(C16+C18)/2</f>
        <v>0</v>
      </c>
      <c r="D17" s="44">
        <f>COUNTIF(Notas!G:G,B17)</f>
        <v>0</v>
      </c>
      <c r="E17" s="68">
        <f t="shared" si="2"/>
        <v>0</v>
      </c>
      <c r="F17" s="68">
        <f t="shared" si="3"/>
        <v>0</v>
      </c>
      <c r="G17" s="41">
        <f t="shared" si="0"/>
        <v>9.1184278782524775E-2</v>
      </c>
      <c r="H17" s="49">
        <f t="shared" si="1"/>
        <v>0.10305544605641351</v>
      </c>
    </row>
    <row r="18" spans="2:8" x14ac:dyDescent="0.25">
      <c r="B18" s="20">
        <v>6</v>
      </c>
      <c r="C18" s="34">
        <f>COUNTIF(Notas!B:B,B18)/2</f>
        <v>0</v>
      </c>
      <c r="D18" s="44">
        <f>COUNTIF(Notas!G:G,B18)</f>
        <v>0</v>
      </c>
      <c r="E18" s="68">
        <f t="shared" si="2"/>
        <v>0</v>
      </c>
      <c r="F18" s="68">
        <f t="shared" si="3"/>
        <v>0</v>
      </c>
      <c r="G18" s="41">
        <f t="shared" si="0"/>
        <v>9.4470686747302468E-2</v>
      </c>
      <c r="H18" s="49">
        <f t="shared" si="1"/>
        <v>0.13608606230328921</v>
      </c>
    </row>
    <row r="19" spans="2:8" x14ac:dyDescent="0.25">
      <c r="B19" s="20">
        <v>6.5</v>
      </c>
      <c r="C19" s="34">
        <f>(C18+C20)/2</f>
        <v>0</v>
      </c>
      <c r="D19" s="44">
        <f>COUNTIF(Notas!G:G,B19)</f>
        <v>0</v>
      </c>
      <c r="E19" s="68">
        <f t="shared" si="2"/>
        <v>0</v>
      </c>
      <c r="F19" s="68">
        <f t="shared" si="3"/>
        <v>0</v>
      </c>
      <c r="G19" s="41">
        <f t="shared" si="0"/>
        <v>9.2533204903991528E-2</v>
      </c>
      <c r="H19" s="49">
        <f t="shared" si="1"/>
        <v>0.15434239427286445</v>
      </c>
    </row>
    <row r="20" spans="2:8" x14ac:dyDescent="0.25">
      <c r="B20" s="20">
        <v>7</v>
      </c>
      <c r="C20" s="34">
        <f>COUNTIF(Notas!B:B,B20)/2</f>
        <v>0</v>
      </c>
      <c r="D20" s="44">
        <f>COUNTIF(Notas!G:G,B20)</f>
        <v>0</v>
      </c>
      <c r="E20" s="68">
        <f t="shared" si="2"/>
        <v>0</v>
      </c>
      <c r="F20" s="68">
        <f t="shared" si="3"/>
        <v>0</v>
      </c>
      <c r="G20" s="41">
        <f t="shared" si="0"/>
        <v>8.5688304490451506E-2</v>
      </c>
      <c r="H20" s="49">
        <f t="shared" si="1"/>
        <v>0.15034443690384314</v>
      </c>
    </row>
    <row r="21" spans="2:8" x14ac:dyDescent="0.25">
      <c r="B21" s="20">
        <v>7.5</v>
      </c>
      <c r="C21" s="34">
        <f>(C20+C22)/2</f>
        <v>0</v>
      </c>
      <c r="D21" s="44">
        <f>COUNTIF(Notas!G:G,B21)</f>
        <v>0</v>
      </c>
      <c r="E21" s="68">
        <f t="shared" si="2"/>
        <v>0</v>
      </c>
      <c r="F21" s="68">
        <f t="shared" si="3"/>
        <v>0</v>
      </c>
      <c r="G21" s="41">
        <f t="shared" si="0"/>
        <v>7.5018583302613351E-2</v>
      </c>
      <c r="H21" s="49">
        <f t="shared" si="1"/>
        <v>0.12578234601277249</v>
      </c>
    </row>
    <row r="22" spans="2:8" x14ac:dyDescent="0.25">
      <c r="B22" s="20">
        <v>8</v>
      </c>
      <c r="C22" s="34">
        <f>COUNTIF(Notas!B:B,B22)/2</f>
        <v>0</v>
      </c>
      <c r="D22" s="44">
        <f>COUNTIF(Notas!G:G,B22)</f>
        <v>0</v>
      </c>
      <c r="E22" s="68">
        <f t="shared" si="2"/>
        <v>0</v>
      </c>
      <c r="F22" s="68">
        <f t="shared" si="3"/>
        <v>0</v>
      </c>
      <c r="G22" s="41">
        <f t="shared" si="0"/>
        <v>6.2092542712243848E-2</v>
      </c>
      <c r="H22" s="49">
        <f t="shared" si="1"/>
        <v>9.0381567263075557E-2</v>
      </c>
    </row>
    <row r="23" spans="2:8" x14ac:dyDescent="0.25">
      <c r="B23" s="20">
        <v>8.5</v>
      </c>
      <c r="C23" s="34">
        <f>(C22+C24)/2</f>
        <v>0</v>
      </c>
      <c r="D23" s="44">
        <f>COUNTIF(Notas!G:G,B23)</f>
        <v>0</v>
      </c>
      <c r="E23" s="68">
        <f t="shared" si="2"/>
        <v>0</v>
      </c>
      <c r="F23" s="68">
        <f t="shared" si="3"/>
        <v>0</v>
      </c>
      <c r="G23" s="41">
        <f t="shared" si="0"/>
        <v>4.8588465796543967E-2</v>
      </c>
      <c r="H23" s="49">
        <f t="shared" si="1"/>
        <v>5.5778081184472583E-2</v>
      </c>
    </row>
    <row r="24" spans="2:8" x14ac:dyDescent="0.25">
      <c r="B24" s="20">
        <v>9</v>
      </c>
      <c r="C24" s="34">
        <f>COUNTIF(Notas!B:B,B24)/2</f>
        <v>0</v>
      </c>
      <c r="D24" s="44">
        <f>COUNTIF(Notas!G:G,B24)</f>
        <v>0</v>
      </c>
      <c r="E24" s="68">
        <f t="shared" si="2"/>
        <v>0</v>
      </c>
      <c r="F24" s="68">
        <f t="shared" si="3"/>
        <v>0</v>
      </c>
      <c r="G24" s="41">
        <f t="shared" si="0"/>
        <v>3.5945946585823285E-2</v>
      </c>
      <c r="H24" s="49">
        <f t="shared" si="1"/>
        <v>2.9564091935930681E-2</v>
      </c>
    </row>
    <row r="25" spans="2:8" x14ac:dyDescent="0.25">
      <c r="B25" s="20">
        <v>9.5</v>
      </c>
      <c r="C25" s="34">
        <f>(C24+C26)/2</f>
        <v>0</v>
      </c>
      <c r="D25" s="44">
        <f>COUNTIF(Notas!G:G,B25)</f>
        <v>0</v>
      </c>
      <c r="E25" s="68">
        <f t="shared" si="2"/>
        <v>0</v>
      </c>
      <c r="F25" s="68">
        <f t="shared" si="3"/>
        <v>0</v>
      </c>
      <c r="G25" s="41">
        <f t="shared" si="0"/>
        <v>2.5141400473080999E-2</v>
      </c>
      <c r="H25" s="49">
        <f t="shared" si="1"/>
        <v>1.345781882502084E-2</v>
      </c>
    </row>
    <row r="26" spans="2:8" ht="15.75" thickBot="1" x14ac:dyDescent="0.3">
      <c r="B26" s="21">
        <v>10</v>
      </c>
      <c r="C26" s="35">
        <f>COUNTIF(Notas!B:B,B26)/2</f>
        <v>0</v>
      </c>
      <c r="D26" s="45">
        <f>COUNTIF(Notas!G:G,B26)</f>
        <v>0</v>
      </c>
      <c r="E26" s="69">
        <f t="shared" si="2"/>
        <v>0</v>
      </c>
      <c r="F26" s="69">
        <f t="shared" si="3"/>
        <v>0</v>
      </c>
      <c r="G26" s="42">
        <f t="shared" si="0"/>
        <v>1.6624614389095349E-2</v>
      </c>
      <c r="H26" s="50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-1.7456299905769432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topLeftCell="A7" workbookViewId="0">
      <selection activeCell="B4" sqref="B4"/>
    </sheetView>
  </sheetViews>
  <sheetFormatPr baseColWidth="10" defaultRowHeight="15" x14ac:dyDescent="0.25"/>
  <cols>
    <col min="2" max="2" width="11.42578125" style="70"/>
  </cols>
  <sheetData>
    <row r="1" spans="1:5" x14ac:dyDescent="0.25">
      <c r="A1" t="s">
        <v>42</v>
      </c>
      <c r="B1" s="70">
        <f>AVERAGE(Visionados)</f>
        <v>26047</v>
      </c>
      <c r="D1" t="s">
        <v>47</v>
      </c>
      <c r="E1" s="70">
        <f>MAX(Visionados)</f>
        <v>26047</v>
      </c>
    </row>
    <row r="2" spans="1:5" x14ac:dyDescent="0.25">
      <c r="A2" t="s">
        <v>20</v>
      </c>
      <c r="B2" s="70">
        <f>MEDIAN(Visionados)</f>
        <v>26047</v>
      </c>
      <c r="D2" t="s">
        <v>48</v>
      </c>
      <c r="E2">
        <f>MIN(Visionados)</f>
        <v>26047</v>
      </c>
    </row>
    <row r="4" spans="1:5" x14ac:dyDescent="0.25">
      <c r="A4" t="s">
        <v>43</v>
      </c>
      <c r="B4" s="71">
        <v>62533</v>
      </c>
      <c r="C4" t="s">
        <v>44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15</vt:i4>
      </vt:variant>
    </vt:vector>
  </HeadingPairs>
  <TitlesOfParts>
    <vt:vector size="22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Pelis_con_nota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2022-03-02T10:13:53Z</dcterms:modified>
</cp:coreProperties>
</file>