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7420"/>
  <workbookPr defaultThemeVersion="124226"/>
  <mc:AlternateContent xmlns:mc="http://schemas.openxmlformats.org/markup-compatibility/2006">
    <mc:Choice Requires="x15">
      <x15ac:absPath xmlns:x15ac="http://schemas.microsoft.com/office/spreadsheetml/2010/11/ac" url="D:\TempUserProfiles\NetworkService\AppData\Local\Temp\OICE_16_974FA576_32C1D314_2EFC\"/>
    </mc:Choice>
  </mc:AlternateContent>
  <xr:revisionPtr revIDLastSave="0" documentId="7_{275286D0-B330-49D6-9F34-8AD8254A60EC}" xr6:coauthVersionLast="10" xr6:coauthVersionMax="10" xr10:uidLastSave="{00000000-0000-0000-0000-000000000000}"/>
  <bookViews>
    <workbookView xWindow="240" yWindow="300" windowWidth="14955" windowHeight="8190" tabRatio="905" firstSheet="1" activeTab="1" xr2:uid="{00000000-000D-0000-FFFF-FFFF00000000}"/>
  </bookViews>
  <sheets>
    <sheet name="Identificação" sheetId="1" r:id="rId1"/>
    <sheet name="Investimentos - Operação" sheetId="2" r:id="rId2"/>
    <sheet name="Mercado" sheetId="7" r:id="rId3"/>
    <sheet name="Análise Investimento" sheetId="8" r:id="rId4"/>
    <sheet name="Fluxo de Caixa - Simples" sheetId="9" r:id="rId5"/>
  </sheets>
  <calcPr calcId="171026"/>
</workbook>
</file>

<file path=xl/calcChain.xml><?xml version="1.0" encoding="utf-8"?>
<calcChain xmlns="http://schemas.openxmlformats.org/spreadsheetml/2006/main">
  <c r="D15" i="2" l="1"/>
  <c r="D14" i="2"/>
  <c r="D18" i="2"/>
  <c r="D39" i="2"/>
  <c r="D37" i="2"/>
  <c r="D35" i="2"/>
  <c r="D29" i="2"/>
  <c r="D27" i="2"/>
  <c r="D25" i="2"/>
  <c r="D17" i="2"/>
  <c r="H2" i="9"/>
  <c r="H3" i="9"/>
  <c r="C3" i="9"/>
  <c r="D3" i="9"/>
  <c r="E3" i="9"/>
  <c r="F3" i="9"/>
  <c r="G3" i="9"/>
  <c r="H16" i="9"/>
  <c r="H4" i="9"/>
  <c r="H6" i="9"/>
  <c r="H8" i="9"/>
  <c r="H9" i="9"/>
  <c r="H10" i="9"/>
  <c r="H7" i="9"/>
  <c r="H11" i="9"/>
  <c r="G2" i="9"/>
  <c r="G16" i="9"/>
  <c r="G4" i="9"/>
  <c r="G6" i="9"/>
  <c r="G8" i="9"/>
  <c r="G9" i="9"/>
  <c r="G10" i="9"/>
  <c r="G7" i="9"/>
  <c r="G11" i="9"/>
  <c r="F2" i="9"/>
  <c r="F16" i="9"/>
  <c r="F4" i="9"/>
  <c r="F6" i="9"/>
  <c r="F8" i="9"/>
  <c r="F9" i="9"/>
  <c r="F10" i="9"/>
  <c r="F7" i="9"/>
  <c r="F11" i="9"/>
  <c r="E2" i="9"/>
  <c r="E16" i="9"/>
  <c r="E4" i="9"/>
  <c r="E6" i="9"/>
  <c r="E8" i="9"/>
  <c r="E9" i="9"/>
  <c r="E10" i="9"/>
  <c r="E7" i="9"/>
  <c r="E11" i="9"/>
  <c r="D2" i="9"/>
  <c r="D16" i="9"/>
  <c r="D4" i="9"/>
  <c r="D6" i="9"/>
  <c r="D8" i="9"/>
  <c r="D9" i="9"/>
  <c r="D10" i="9"/>
  <c r="D7" i="9"/>
  <c r="D11" i="9"/>
  <c r="C2" i="9"/>
  <c r="C16" i="9"/>
  <c r="C4" i="9"/>
  <c r="C6" i="9"/>
  <c r="C8" i="9"/>
  <c r="C9" i="9"/>
  <c r="C10" i="9"/>
  <c r="C7" i="9"/>
  <c r="C11" i="9"/>
  <c r="D40" i="2"/>
  <c r="C13" i="8"/>
  <c r="B2" i="2"/>
  <c r="C6" i="8"/>
  <c r="C6" i="2"/>
  <c r="B12" i="8"/>
  <c r="B13" i="8"/>
  <c r="B14" i="8"/>
  <c r="B15" i="8"/>
  <c r="B16" i="8"/>
  <c r="C4" i="8"/>
  <c r="H19" i="8"/>
  <c r="J19" i="8"/>
  <c r="H20" i="8"/>
  <c r="J20" i="8"/>
  <c r="C4" i="7"/>
  <c r="C4" i="2"/>
  <c r="D11" i="8"/>
  <c r="D13" i="8"/>
  <c r="D14" i="8"/>
  <c r="D12" i="8"/>
  <c r="D15" i="8"/>
  <c r="D16" i="8"/>
  <c r="D17" i="8"/>
  <c r="D20" i="2"/>
  <c r="C11" i="8"/>
  <c r="E11" i="8"/>
  <c r="D30" i="2"/>
  <c r="C12" i="8"/>
  <c r="E12" i="8"/>
  <c r="H12" i="8"/>
  <c r="C14" i="8"/>
  <c r="E13" i="8"/>
  <c r="F11" i="8"/>
  <c r="I11" i="8"/>
  <c r="C15" i="8"/>
  <c r="E14" i="8"/>
  <c r="H13" i="8"/>
  <c r="J11" i="8"/>
  <c r="I12" i="8"/>
  <c r="G11" i="8"/>
  <c r="F12" i="8"/>
  <c r="E15" i="8"/>
  <c r="C16" i="8"/>
  <c r="E16" i="8"/>
  <c r="H14" i="8"/>
  <c r="C17" i="8"/>
  <c r="H15" i="8"/>
  <c r="E17" i="8"/>
  <c r="G22" i="8"/>
  <c r="H22" i="8"/>
  <c r="H16" i="8"/>
  <c r="J12" i="8"/>
  <c r="I13" i="8"/>
  <c r="G12" i="8"/>
  <c r="F13" i="8"/>
  <c r="G21" i="8"/>
  <c r="G13" i="8"/>
  <c r="F14" i="8"/>
  <c r="J13" i="8"/>
  <c r="I14" i="8"/>
  <c r="G14" i="8"/>
  <c r="F15" i="8"/>
  <c r="J14" i="8"/>
  <c r="I15" i="8"/>
  <c r="J15" i="8"/>
  <c r="I16" i="8"/>
  <c r="J16" i="8"/>
  <c r="G15" i="8"/>
  <c r="F16" i="8"/>
  <c r="G16" i="8"/>
  <c r="J17" i="8"/>
  <c r="G20" i="8"/>
  <c r="G17" i="8"/>
  <c r="I19" i="8"/>
  <c r="I20" i="8"/>
  <c r="G19" i="8"/>
</calcChain>
</file>

<file path=xl/sharedStrings.xml><?xml version="1.0" encoding="utf-8"?>
<sst xmlns="http://schemas.openxmlformats.org/spreadsheetml/2006/main" count="136" uniqueCount="90">
  <si>
    <t>ANÁLISE INICIAL DO PROJETO</t>
  </si>
  <si>
    <t>Item:</t>
  </si>
  <si>
    <t>Nome do Projeto:</t>
  </si>
  <si>
    <t>Health Manager</t>
  </si>
  <si>
    <t>Resumo Executivo:</t>
  </si>
  <si>
    <t>Este projeto tem como base desenvolver um software que gerencie as informações dos médicos e dos pacientes de determinada rede de hospitais e/ou planos de saúde. Sua interação propõe a fácil inserção de dados dos usuários, os resultados de exames, vacinas e etc. Além disso, deve proporcionar a consulta de dados pertinentes, mediante autorização e facilitar a análise de informações pelos médicos, independente de onde o paciente esteja. O projeto também procura introduzir conceitos como o atestado virtual e deve servir como um grande banco de dados relacionados a medicina.</t>
  </si>
  <si>
    <t>Investimentos Necessários:</t>
  </si>
  <si>
    <t>Numero</t>
  </si>
  <si>
    <t>Item</t>
  </si>
  <si>
    <t>Justificativa</t>
  </si>
  <si>
    <t>Valor</t>
  </si>
  <si>
    <t>Forma de Aplicação</t>
  </si>
  <si>
    <t>Máquinas e Equipamentos</t>
  </si>
  <si>
    <t>Desenvolvimento do Software</t>
  </si>
  <si>
    <t>2.1</t>
  </si>
  <si>
    <t>3 Desenvolvedores</t>
  </si>
  <si>
    <t>3 colaboradores full-time por 6 meses</t>
  </si>
  <si>
    <t>2.2</t>
  </si>
  <si>
    <t>3 colaboradores part-time por 6 meses</t>
  </si>
  <si>
    <t>Despesas Operacionais de Implementação</t>
  </si>
  <si>
    <t>3.1</t>
  </si>
  <si>
    <t>Suporte Administrativo</t>
  </si>
  <si>
    <t>Custo Administrativo dos 3 meses</t>
  </si>
  <si>
    <t>6 meses à R$ 500,00/mês</t>
  </si>
  <si>
    <t>3.2</t>
  </si>
  <si>
    <t>Luz, Telefone, Água</t>
  </si>
  <si>
    <t>Despesas com Infraestrutura Física</t>
  </si>
  <si>
    <t>6 meses de custos gerais</t>
  </si>
  <si>
    <t>Primeiro Ano / Valor Mensal</t>
  </si>
  <si>
    <t>Suporte Administrativo /Mês</t>
  </si>
  <si>
    <t>Despesa Mensal</t>
  </si>
  <si>
    <t>Luz, Telefone, Aluguel, Seguro, Manutenção e Condomínio</t>
  </si>
  <si>
    <t>Despesas com Viagens e Deslocamento</t>
  </si>
  <si>
    <t>Custo equipe Suporte especializado / mensal</t>
  </si>
  <si>
    <t>2 ou 3 pessoas (uma pessoa de campo)</t>
  </si>
  <si>
    <t>(Com encargos)</t>
  </si>
  <si>
    <t>Custo do Gerente de Projeto</t>
  </si>
  <si>
    <t>Tempo Parcial (30%)</t>
  </si>
  <si>
    <t>Custo equipe Desenvolvimento especializado</t>
  </si>
  <si>
    <t>2 pessoas</t>
  </si>
  <si>
    <t>Marketing</t>
  </si>
  <si>
    <t>Custo de Profissional de Pré-venda</t>
  </si>
  <si>
    <t>1 pessoa</t>
  </si>
  <si>
    <t>Demais anos / Valor Mensal</t>
  </si>
  <si>
    <t>Custo de Pré-Venda</t>
  </si>
  <si>
    <t>PROJETOS DE CRESCIMENTO</t>
  </si>
  <si>
    <t>Mercado:</t>
  </si>
  <si>
    <t xml:space="preserve">Nos últimos anos, os hospitais vêm passando por um importante processo de redimensionamento da rede e adaptação, a intenção é qualificar seus serviços prestados e, assim, sobreviver em meio de desafio de reduzir custos, investir em inovação e alcançar níveis de excelência sem perder de vista os resultados financeiros.
Em muitos hospitais, o fluxo de caixa ainda é registrado em planilhas no Excel, sem qualquer tipo de integração, e com altíssima chance de erros (já que a coleta de dados é manual). Um sistema que possibilite gerenciar prontuários de forma eletrônica reduz as chances de erros médicos, torna diagnóstico mais correto e aumenta a produtividade. Sistema de registro eletrônico de pacientes controla de forma uniforme desde o cadastro inicial até a alta, oferecendo subsídio para geração de estudos e relatórios estatísticos sobre processos endêmicos, especialidades mais requisitadas, períodos de aumento na demanda, indicativo de epidemias etc.
A possibilidade de implementar de um sistema de marcação de consultas on-line, reduz filas e melhora a qualidade do atendimento presencial. Priorização dos atendimentos da urgência e emergência de acordo com grau de complexidade e risco à saúde representa ganho de tempo e maior assertividade no atendimento. Redução do fluxo burocrático durante os processos de atendimento ao paciente, o que significa menor tempo de permanência no hospital e aumento de seu nível de satisfação. A maior rotatividade também implica menor lotação média do estabelecimento.
As vantagens de um sistema de gestão hospitalar são maior proteção aos dados registrados (redução das possibilidades de extravio), redução de erros médicos por ilegibilidade, otimização do fluxo de informações, redução de custos. </t>
  </si>
  <si>
    <t>Pay-Back Normal</t>
  </si>
  <si>
    <t>Pay-Back Descontado</t>
  </si>
  <si>
    <t>Período</t>
  </si>
  <si>
    <t>ano</t>
  </si>
  <si>
    <t>Investimento</t>
  </si>
  <si>
    <t>Entrada Caixa</t>
  </si>
  <si>
    <t>Fluxo Caixa</t>
  </si>
  <si>
    <t>Saldo</t>
  </si>
  <si>
    <t>Resultado</t>
  </si>
  <si>
    <t>Entrada Cx (VP)</t>
  </si>
  <si>
    <t>TOTAL</t>
  </si>
  <si>
    <t>TMA</t>
  </si>
  <si>
    <t>Período 0</t>
  </si>
  <si>
    <t>Anos</t>
  </si>
  <si>
    <t>Meses</t>
  </si>
  <si>
    <t>Pay-Back Desc.</t>
  </si>
  <si>
    <t>Período 2</t>
  </si>
  <si>
    <t>VPL</t>
  </si>
  <si>
    <t>TIR</t>
  </si>
  <si>
    <t>Produto/Serviço</t>
  </si>
  <si>
    <t>Forma de Cobrança</t>
  </si>
  <si>
    <t>ano 0</t>
  </si>
  <si>
    <t>ano 1</t>
  </si>
  <si>
    <t>ano 2</t>
  </si>
  <si>
    <t>ano 3</t>
  </si>
  <si>
    <t>ano 4</t>
  </si>
  <si>
    <t>ano 5</t>
  </si>
  <si>
    <t>Instalação</t>
  </si>
  <si>
    <t>Por Cliente</t>
  </si>
  <si>
    <t>Licença de Uso</t>
  </si>
  <si>
    <t>Por Usuário</t>
  </si>
  <si>
    <t>Manutenção/ Melhoria</t>
  </si>
  <si>
    <t>Por Ano</t>
  </si>
  <si>
    <t>(+) Receita</t>
  </si>
  <si>
    <t>Instalação+Licença+Manutenção</t>
  </si>
  <si>
    <t>(-) Impostos</t>
  </si>
  <si>
    <t>Percentagem</t>
  </si>
  <si>
    <t>RESULTADO</t>
  </si>
  <si>
    <t>Considerações</t>
  </si>
  <si>
    <t>Instalações</t>
  </si>
  <si>
    <t>Licença Média / Cliente (5)</t>
  </si>
  <si>
    <t>Manutenção / Licença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</si>
</sst>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quot;R$ &quot;* #,##0.00_);_(&quot;R$ &quot;* \(#,##0.00\);_(&quot;R$ &quot;* &quot;-&quot;??_);_(@_)"/>
    <numFmt numFmtId="165" formatCode="&quot;R$&quot;#,##0.00_);[Red]\(&quot;R$&quot;#,##0.00\)"/>
    <numFmt numFmtId="166" formatCode="_(&quot;R$&quot;* #,##0.00_);_(&quot;R$&quot;* \(#,##0.00\);_(&quot;R$&quot;* &quot;-&quot;??_);_(@_)"/>
    <numFmt numFmtId="167" formatCode="_([$$-2C0A]* #,##0.00_);_([$$-2C0A]* \(#,##0.00\);_([$$-2C0A]* &quot;-&quot;??_);_(@_)"/>
    <numFmt numFmtId="168" formatCode="0.000"/>
    <numFmt numFmtId="169" formatCode="&quot;R$&quot;\ #,##0.00"/>
    <numFmt numFmtId="170" formatCode="_-[$R$-416]\ * #,##0.00_-;\-[$R$-416]\ * #,##0.00_-;_-[$R$-416]\ * &quot;-&quot;??_-;_-@_-"/>
  </numFmts>
  <fonts count="13">
    <font>
      <sz val="10"/>
      <name val="Arial"/>
    </font>
    <font>
      <sz val="10"/>
      <name val="Arial"/>
    </font>
    <font>
      <sz val="8"/>
      <name val="Arial"/>
      <family val="2"/>
    </font>
    <font>
      <b/>
      <sz val="10"/>
      <name val="Arial"/>
      <family val="2"/>
    </font>
    <font>
      <b/>
      <sz val="10"/>
      <color indexed="10"/>
      <name val="Arial"/>
      <family val="2"/>
    </font>
    <font>
      <b/>
      <sz val="10"/>
      <color indexed="12"/>
      <name val="Arial"/>
      <family val="2"/>
    </font>
    <font>
      <sz val="10"/>
      <color indexed="12"/>
      <name val="Arial"/>
      <family val="2"/>
    </font>
    <font>
      <sz val="10"/>
      <name val="Arial"/>
      <family val="2"/>
    </font>
    <font>
      <sz val="16"/>
      <name val="Arial"/>
      <family val="2"/>
    </font>
    <font>
      <b/>
      <sz val="12"/>
      <name val="Arial"/>
      <family val="2"/>
    </font>
    <font>
      <sz val="12"/>
      <name val="Arial"/>
      <family val="2"/>
    </font>
    <font>
      <b/>
      <sz val="10"/>
      <color theme="0"/>
      <name val="Arial"/>
      <family val="2"/>
    </font>
    <font>
      <b/>
      <sz val="10"/>
      <color rgb="FF002060"/>
      <name val="Arial"/>
      <family val="2"/>
    </font>
  </fonts>
  <fills count="14">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indexed="41"/>
        <bgColor indexed="64"/>
      </patternFill>
    </fill>
    <fill>
      <patternFill patternType="solid">
        <fgColor indexed="47"/>
        <bgColor indexed="64"/>
      </patternFill>
    </fill>
    <fill>
      <patternFill patternType="solid">
        <fgColor indexed="45"/>
        <bgColor indexed="64"/>
      </patternFill>
    </fill>
    <fill>
      <patternFill patternType="solid">
        <fgColor indexed="9"/>
        <bgColor indexed="64"/>
      </patternFill>
    </fill>
    <fill>
      <patternFill patternType="solid">
        <fgColor indexed="13"/>
        <bgColor indexed="64"/>
      </patternFill>
    </fill>
    <fill>
      <patternFill patternType="solid">
        <fgColor indexed="44"/>
        <bgColor indexed="64"/>
      </patternFill>
    </fill>
    <fill>
      <patternFill patternType="solid">
        <fgColor theme="1"/>
        <bgColor indexed="64"/>
      </patternFill>
    </fill>
    <fill>
      <patternFill patternType="solid">
        <fgColor rgb="FF00B050"/>
        <bgColor indexed="64"/>
      </patternFill>
    </fill>
    <fill>
      <patternFill patternType="solid">
        <fgColor rgb="FFFF0000"/>
        <bgColor indexed="64"/>
      </patternFill>
    </fill>
    <fill>
      <patternFill patternType="solid">
        <fgColor theme="0" tint="-4.9989318521683403E-2"/>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s>
  <cellStyleXfs count="4">
    <xf numFmtId="0" fontId="0" fillId="0" borderId="0"/>
    <xf numFmtId="164" fontId="1"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cellStyleXfs>
  <cellXfs count="103">
    <xf numFmtId="0" fontId="0" fillId="0" borderId="0" xfId="0"/>
    <xf numFmtId="0" fontId="0" fillId="0" borderId="1" xfId="0" applyBorder="1"/>
    <xf numFmtId="0" fontId="3" fillId="0" borderId="0" xfId="0" applyFont="1" applyAlignment="1">
      <alignment horizontal="center"/>
    </xf>
    <xf numFmtId="0" fontId="3" fillId="2" borderId="1" xfId="0" applyFont="1" applyFill="1" applyBorder="1"/>
    <xf numFmtId="0" fontId="0" fillId="0" borderId="0" xfId="0" applyBorder="1" applyAlignment="1">
      <alignment horizontal="center"/>
    </xf>
    <xf numFmtId="0" fontId="3" fillId="2" borderId="2" xfId="0" applyFont="1" applyFill="1" applyBorder="1" applyAlignment="1"/>
    <xf numFmtId="0" fontId="3" fillId="2" borderId="1" xfId="0" applyFont="1" applyFill="1" applyBorder="1" applyAlignment="1"/>
    <xf numFmtId="0" fontId="3" fillId="3" borderId="1" xfId="0" applyFont="1" applyFill="1" applyBorder="1" applyAlignment="1">
      <alignment horizontal="center"/>
    </xf>
    <xf numFmtId="0" fontId="4" fillId="0" borderId="0" xfId="0" applyFont="1"/>
    <xf numFmtId="2" fontId="0" fillId="0" borderId="0" xfId="0" applyNumberFormat="1"/>
    <xf numFmtId="0" fontId="3" fillId="5" borderId="1" xfId="0" applyFont="1" applyFill="1" applyBorder="1" applyAlignment="1">
      <alignment horizontal="center"/>
    </xf>
    <xf numFmtId="0" fontId="3" fillId="5" borderId="2" xfId="0" applyFont="1" applyFill="1" applyBorder="1" applyAlignment="1">
      <alignment horizontal="center"/>
    </xf>
    <xf numFmtId="167" fontId="1" fillId="5" borderId="1" xfId="2" applyNumberFormat="1" applyFill="1" applyBorder="1"/>
    <xf numFmtId="167" fontId="1" fillId="5" borderId="2" xfId="2" applyNumberFormat="1" applyFill="1" applyBorder="1"/>
    <xf numFmtId="167" fontId="0" fillId="4" borderId="1" xfId="0" applyNumberFormat="1" applyFill="1" applyBorder="1"/>
    <xf numFmtId="2" fontId="0" fillId="4" borderId="1" xfId="0" applyNumberFormat="1" applyFill="1" applyBorder="1"/>
    <xf numFmtId="0" fontId="0" fillId="2" borderId="1" xfId="0" applyFill="1" applyBorder="1"/>
    <xf numFmtId="167" fontId="0" fillId="2" borderId="1" xfId="0" applyNumberFormat="1" applyFill="1" applyBorder="1"/>
    <xf numFmtId="2" fontId="0" fillId="2" borderId="1" xfId="0" applyNumberFormat="1" applyFill="1" applyBorder="1"/>
    <xf numFmtId="165" fontId="0" fillId="2" borderId="1" xfId="0" applyNumberFormat="1" applyFill="1" applyBorder="1"/>
    <xf numFmtId="167" fontId="3" fillId="5" borderId="1" xfId="2" applyNumberFormat="1" applyFont="1" applyFill="1" applyBorder="1"/>
    <xf numFmtId="0" fontId="3" fillId="0" borderId="0" xfId="0" applyFont="1"/>
    <xf numFmtId="0" fontId="5" fillId="0" borderId="1" xfId="0" applyFont="1" applyBorder="1"/>
    <xf numFmtId="9" fontId="5" fillId="0" borderId="1" xfId="3" applyFont="1" applyBorder="1"/>
    <xf numFmtId="0" fontId="3" fillId="6" borderId="1" xfId="0" applyFont="1" applyFill="1" applyBorder="1"/>
    <xf numFmtId="1" fontId="3" fillId="6" borderId="1" xfId="0" applyNumberFormat="1" applyFont="1" applyFill="1" applyBorder="1" applyAlignment="1">
      <alignment horizontal="center"/>
    </xf>
    <xf numFmtId="0" fontId="3" fillId="6" borderId="1" xfId="0" applyFont="1" applyFill="1" applyBorder="1" applyAlignment="1">
      <alignment horizontal="center"/>
    </xf>
    <xf numFmtId="0" fontId="6" fillId="0" borderId="1" xfId="0" applyFont="1" applyBorder="1"/>
    <xf numFmtId="0" fontId="6" fillId="0" borderId="1" xfId="0" applyFont="1" applyBorder="1" applyAlignment="1">
      <alignment horizontal="left"/>
    </xf>
    <xf numFmtId="0" fontId="3" fillId="5" borderId="1" xfId="0" applyFont="1" applyFill="1" applyBorder="1"/>
    <xf numFmtId="167" fontId="3" fillId="5" borderId="1" xfId="0" applyNumberFormat="1" applyFont="1" applyFill="1" applyBorder="1"/>
    <xf numFmtId="0" fontId="0" fillId="5" borderId="1" xfId="0" applyFill="1" applyBorder="1"/>
    <xf numFmtId="10" fontId="3" fillId="5" borderId="1" xfId="3" applyNumberFormat="1" applyFont="1" applyFill="1" applyBorder="1"/>
    <xf numFmtId="165" fontId="0" fillId="0" borderId="0" xfId="0" applyNumberFormat="1"/>
    <xf numFmtId="0" fontId="0" fillId="0" borderId="0" xfId="0" applyAlignment="1">
      <alignment wrapText="1"/>
    </xf>
    <xf numFmtId="0" fontId="0" fillId="0" borderId="1" xfId="0" applyBorder="1" applyAlignment="1">
      <alignment horizontal="right"/>
    </xf>
    <xf numFmtId="0" fontId="0" fillId="0" borderId="1" xfId="0" applyBorder="1" applyAlignment="1">
      <alignment horizontal="left" indent="1"/>
    </xf>
    <xf numFmtId="164" fontId="7" fillId="7" borderId="1" xfId="1" applyFont="1" applyFill="1" applyBorder="1"/>
    <xf numFmtId="0" fontId="7" fillId="0" borderId="1" xfId="0" applyFont="1" applyBorder="1" applyAlignment="1">
      <alignment horizontal="right"/>
    </xf>
    <xf numFmtId="0" fontId="7" fillId="0" borderId="1" xfId="0" applyFont="1" applyBorder="1"/>
    <xf numFmtId="0" fontId="0" fillId="0" borderId="1" xfId="0" applyBorder="1" applyAlignment="1">
      <alignment horizontal="left"/>
    </xf>
    <xf numFmtId="0" fontId="0" fillId="0" borderId="0" xfId="0" applyBorder="1"/>
    <xf numFmtId="0" fontId="0" fillId="0" borderId="3" xfId="0" applyBorder="1"/>
    <xf numFmtId="0" fontId="7" fillId="0" borderId="3" xfId="0" applyFont="1" applyBorder="1"/>
    <xf numFmtId="164" fontId="7" fillId="8" borderId="4" xfId="1" applyFont="1" applyFill="1" applyBorder="1"/>
    <xf numFmtId="0" fontId="7" fillId="0" borderId="0" xfId="0" applyFont="1"/>
    <xf numFmtId="39" fontId="0" fillId="0" borderId="0" xfId="0" applyNumberFormat="1"/>
    <xf numFmtId="164" fontId="0" fillId="0" borderId="0" xfId="0" applyNumberFormat="1"/>
    <xf numFmtId="0" fontId="7" fillId="0" borderId="5" xfId="0" applyFont="1" applyBorder="1" applyAlignment="1">
      <alignment horizontal="right"/>
    </xf>
    <xf numFmtId="0" fontId="7" fillId="0" borderId="5" xfId="0" applyFont="1" applyBorder="1" applyAlignment="1">
      <alignment horizontal="left"/>
    </xf>
    <xf numFmtId="0" fontId="7" fillId="0" borderId="6" xfId="0" applyFont="1" applyBorder="1"/>
    <xf numFmtId="164" fontId="7" fillId="7" borderId="6" xfId="1" applyFont="1" applyFill="1" applyBorder="1"/>
    <xf numFmtId="164" fontId="7" fillId="7" borderId="3" xfId="1" applyFont="1" applyFill="1" applyBorder="1"/>
    <xf numFmtId="0" fontId="7" fillId="0" borderId="0" xfId="0" applyFont="1" applyAlignment="1">
      <alignment horizontal="center"/>
    </xf>
    <xf numFmtId="4" fontId="8" fillId="0" borderId="0" xfId="0" applyNumberFormat="1" applyFont="1" applyAlignment="1">
      <alignment horizontal="center"/>
    </xf>
    <xf numFmtId="9" fontId="0" fillId="0" borderId="0" xfId="0" applyNumberFormat="1"/>
    <xf numFmtId="0" fontId="8" fillId="0" borderId="0" xfId="0" applyFont="1" applyAlignment="1">
      <alignment horizontal="center"/>
    </xf>
    <xf numFmtId="169" fontId="10" fillId="0" borderId="0" xfId="0" applyNumberFormat="1" applyFont="1"/>
    <xf numFmtId="0" fontId="0" fillId="10" borderId="0" xfId="0" applyFill="1"/>
    <xf numFmtId="0" fontId="11" fillId="11" borderId="0" xfId="0" applyFont="1" applyFill="1"/>
    <xf numFmtId="0" fontId="7" fillId="0" borderId="0" xfId="0" applyFont="1" applyAlignment="1">
      <alignment horizontal="left" indent="2"/>
    </xf>
    <xf numFmtId="10" fontId="7" fillId="0" borderId="0" xfId="0" applyNumberFormat="1" applyFont="1"/>
    <xf numFmtId="0" fontId="11" fillId="12" borderId="0" xfId="0" applyFont="1" applyFill="1"/>
    <xf numFmtId="169" fontId="11" fillId="12" borderId="0" xfId="0" applyNumberFormat="1" applyFont="1" applyFill="1"/>
    <xf numFmtId="9" fontId="7" fillId="0" borderId="0" xfId="0" applyNumberFormat="1" applyFont="1"/>
    <xf numFmtId="169" fontId="0" fillId="10" borderId="0" xfId="0" applyNumberFormat="1" applyFill="1"/>
    <xf numFmtId="169" fontId="11" fillId="11" borderId="0" xfId="1" applyNumberFormat="1" applyFont="1" applyFill="1"/>
    <xf numFmtId="0" fontId="11" fillId="12" borderId="0" xfId="0" applyFont="1" applyFill="1" applyAlignment="1">
      <alignment horizontal="center"/>
    </xf>
    <xf numFmtId="169" fontId="12" fillId="13" borderId="7" xfId="0" applyNumberFormat="1" applyFont="1" applyFill="1" applyBorder="1"/>
    <xf numFmtId="168" fontId="3" fillId="5" borderId="1" xfId="0" applyNumberFormat="1" applyFont="1" applyFill="1" applyBorder="1"/>
    <xf numFmtId="164" fontId="7" fillId="7" borderId="0" xfId="1" applyFont="1" applyFill="1" applyBorder="1"/>
    <xf numFmtId="9" fontId="7" fillId="0" borderId="1" xfId="0" applyNumberFormat="1" applyFont="1" applyBorder="1"/>
    <xf numFmtId="0" fontId="6" fillId="0" borderId="1" xfId="0" applyFont="1" applyBorder="1" applyAlignment="1">
      <alignment horizontal="right"/>
    </xf>
    <xf numFmtId="0" fontId="7" fillId="0" borderId="0" xfId="0" applyFont="1" applyBorder="1" applyAlignment="1">
      <alignment horizontal="right"/>
    </xf>
    <xf numFmtId="0" fontId="0" fillId="0" borderId="0" xfId="0" applyBorder="1" applyAlignment="1">
      <alignment horizontal="left" indent="1"/>
    </xf>
    <xf numFmtId="0" fontId="0" fillId="0" borderId="0" xfId="0" applyFill="1" applyBorder="1"/>
    <xf numFmtId="0" fontId="7" fillId="0" borderId="0" xfId="0" applyFont="1" applyBorder="1"/>
    <xf numFmtId="169" fontId="7" fillId="0" borderId="0" xfId="0" applyNumberFormat="1" applyFont="1"/>
    <xf numFmtId="170" fontId="7" fillId="7" borderId="1" xfId="1" applyNumberFormat="1" applyFont="1" applyFill="1" applyBorder="1"/>
    <xf numFmtId="0" fontId="3" fillId="2" borderId="1" xfId="0" applyFont="1" applyFill="1" applyBorder="1" applyAlignment="1">
      <alignment horizontal="center"/>
    </xf>
    <xf numFmtId="0" fontId="3" fillId="4" borderId="1" xfId="0" applyFont="1" applyFill="1" applyBorder="1" applyAlignment="1">
      <alignment horizontal="center"/>
    </xf>
    <xf numFmtId="0" fontId="3" fillId="2" borderId="8" xfId="0" applyFont="1" applyFill="1" applyBorder="1" applyAlignment="1">
      <alignment horizontal="center"/>
    </xf>
    <xf numFmtId="0" fontId="3" fillId="2" borderId="9" xfId="0" applyFont="1" applyFill="1" applyBorder="1" applyAlignment="1">
      <alignment horizontal="center"/>
    </xf>
    <xf numFmtId="0" fontId="3" fillId="2" borderId="10" xfId="0" applyFont="1" applyFill="1" applyBorder="1" applyAlignment="1">
      <alignment horizontal="center"/>
    </xf>
    <xf numFmtId="0" fontId="0" fillId="0" borderId="1" xfId="0" applyBorder="1" applyAlignment="1">
      <alignment horizontal="center"/>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0"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17" xfId="0" applyBorder="1" applyAlignment="1">
      <alignment horizontal="left" vertical="top" wrapText="1"/>
    </xf>
    <xf numFmtId="0" fontId="0" fillId="0" borderId="18" xfId="0" applyBorder="1" applyAlignment="1">
      <alignment horizontal="left" vertical="top" wrapText="1"/>
    </xf>
    <xf numFmtId="0" fontId="3" fillId="2" borderId="1" xfId="0" applyFont="1" applyFill="1" applyBorder="1" applyAlignment="1">
      <alignment horizontal="center"/>
    </xf>
    <xf numFmtId="0" fontId="3" fillId="2" borderId="2" xfId="0" applyFont="1" applyFill="1" applyBorder="1" applyAlignment="1">
      <alignment horizontal="left"/>
    </xf>
    <xf numFmtId="0" fontId="3" fillId="2" borderId="19" xfId="0" applyFont="1" applyFill="1" applyBorder="1" applyAlignment="1">
      <alignment horizontal="left"/>
    </xf>
    <xf numFmtId="0" fontId="9" fillId="9" borderId="8" xfId="0" applyFont="1" applyFill="1" applyBorder="1" applyAlignment="1">
      <alignment horizontal="center"/>
    </xf>
    <xf numFmtId="0" fontId="9" fillId="9" borderId="10" xfId="0" applyFont="1" applyFill="1" applyBorder="1" applyAlignment="1">
      <alignment horizontal="center"/>
    </xf>
    <xf numFmtId="0" fontId="7" fillId="0" borderId="11" xfId="0" applyFont="1" applyBorder="1" applyAlignment="1">
      <alignment horizontal="left" vertical="top" wrapText="1"/>
    </xf>
    <xf numFmtId="0" fontId="3" fillId="4" borderId="1" xfId="0" applyFont="1" applyFill="1" applyBorder="1" applyAlignment="1">
      <alignment horizontal="center"/>
    </xf>
    <xf numFmtId="0" fontId="12" fillId="13" borderId="20" xfId="0" applyFont="1" applyFill="1" applyBorder="1" applyAlignment="1">
      <alignment horizontal="right" indent="1"/>
    </xf>
    <xf numFmtId="0" fontId="12" fillId="13" borderId="7" xfId="0" applyFont="1" applyFill="1" applyBorder="1" applyAlignment="1">
      <alignment horizontal="right" indent="1"/>
    </xf>
  </cellXfs>
  <cellStyles count="4">
    <cellStyle name="Moeda" xfId="1" builtinId="4"/>
    <cellStyle name="Moeda_Trabalho Financas v3" xfId="2" xr:uid="{00000000-0005-0000-0000-000001000000}"/>
    <cellStyle name="Normal" xfId="0" builtinId="0"/>
    <cellStyle name="Porcentagem"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Fluxo de Caixa</a:t>
            </a:r>
          </a:p>
        </c:rich>
      </c:tx>
      <c:layout>
        <c:manualLayout>
          <c:xMode val="edge"/>
          <c:yMode val="edge"/>
          <c:x val="0.44215731098128863"/>
          <c:y val="4.1474654377880185E-2"/>
        </c:manualLayout>
      </c:layout>
      <c:overlay val="0"/>
      <c:spPr>
        <a:noFill/>
        <a:ln w="25400">
          <a:noFill/>
        </a:ln>
      </c:spPr>
    </c:title>
    <c:autoTitleDeleted val="0"/>
    <c:plotArea>
      <c:layout>
        <c:manualLayout>
          <c:layoutTarget val="inner"/>
          <c:xMode val="edge"/>
          <c:yMode val="edge"/>
          <c:x val="3.3333365247171079E-2"/>
          <c:y val="0.2903232339142468"/>
          <c:w val="0.95294208883089082"/>
          <c:h val="0.59447138372917208"/>
        </c:manualLayout>
      </c:layout>
      <c:barChart>
        <c:barDir val="col"/>
        <c:grouping val="clustered"/>
        <c:varyColors val="0"/>
        <c:ser>
          <c:idx val="0"/>
          <c:order val="0"/>
          <c:spPr>
            <a:solidFill>
              <a:srgbClr val="9999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'Análise Investimento'!$A$11:$A$16</c:f>
              <c:numCache>
                <c:formatCode>General</c:formatCode>
                <c:ptCount val="6"/>
                <c:pt idx="0">
                  <c:v>0</c:v>
                </c:pt>
                <c:pt idx="1">
                  <c:v>1</c:v>
                </c:pt>
                <c:pt idx="2">
                  <c:v>2</c:v>
                </c:pt>
                <c:pt idx="3">
                  <c:v>3</c:v>
                </c:pt>
                <c:pt idx="4">
                  <c:v>4</c:v>
                </c:pt>
                <c:pt idx="5">
                  <c:v>5</c:v>
                </c:pt>
              </c:numCache>
            </c:numRef>
          </c:val>
          <c:extLst>
            <c:ext xmlns:c16="http://schemas.microsoft.com/office/drawing/2014/chart" uri="{C3380CC4-5D6E-409C-BE32-E72D297353CC}">
              <c16:uniqueId val="{00000000-C44C-45AD-96CB-22604AC80470}"/>
            </c:ext>
          </c:extLst>
        </c:ser>
        <c:ser>
          <c:idx val="1"/>
          <c:order val="1"/>
          <c:spPr>
            <a:solidFill>
              <a:srgbClr val="993366"/>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'Análise Investimento'!$E$11:$E$16</c:f>
              <c:numCache>
                <c:formatCode>_([$$-2C0A]* #,##0.00_);_([$$-2C0A]* \(#,##0.00\);_([$$-2C0A]* "-"??_);_(@_)</c:formatCode>
                <c:ptCount val="6"/>
                <c:pt idx="0">
                  <c:v>-98820</c:v>
                </c:pt>
                <c:pt idx="1">
                  <c:v>14535</c:v>
                </c:pt>
                <c:pt idx="2">
                  <c:v>389610</c:v>
                </c:pt>
                <c:pt idx="3">
                  <c:v>806760</c:v>
                </c:pt>
                <c:pt idx="4">
                  <c:v>1265625</c:v>
                </c:pt>
                <c:pt idx="5">
                  <c:v>1765809</c:v>
                </c:pt>
              </c:numCache>
            </c:numRef>
          </c:val>
          <c:extLst>
            <c:ext xmlns:c16="http://schemas.microsoft.com/office/drawing/2014/chart" uri="{C3380CC4-5D6E-409C-BE32-E72D297353CC}">
              <c16:uniqueId val="{00000001-C44C-45AD-96CB-22604AC80470}"/>
            </c:ext>
          </c:extLst>
        </c:ser>
        <c:dLbls>
          <c:showLegendKey val="0"/>
          <c:showVal val="0"/>
          <c:showCatName val="0"/>
          <c:showSerName val="0"/>
          <c:showPercent val="0"/>
          <c:showBubbleSize val="0"/>
        </c:dLbls>
        <c:gapWidth val="150"/>
        <c:axId val="938273663"/>
        <c:axId val="1"/>
      </c:barChart>
      <c:catAx>
        <c:axId val="938273663"/>
        <c:scaling>
          <c:orientation val="minMax"/>
        </c:scaling>
        <c:delete val="1"/>
        <c:axPos val="b"/>
        <c:majorTickMark val="out"/>
        <c:minorTickMark val="none"/>
        <c:tickLblPos val="nextTo"/>
        <c:crossAx val="1"/>
        <c:crosses val="autoZero"/>
        <c:auto val="1"/>
        <c:lblAlgn val="ctr"/>
        <c:lblOffset val="100"/>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38273663"/>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9" l="0.78740157499999996" r="0.78740157499999996" t="0.984251969" header="0.49212598499999999" footer="0.49212598499999999"/>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25</xdr:row>
      <xdr:rowOff>38100</xdr:rowOff>
    </xdr:from>
    <xdr:to>
      <xdr:col>10</xdr:col>
      <xdr:colOff>9525</xdr:colOff>
      <xdr:row>38</xdr:row>
      <xdr:rowOff>0</xdr:rowOff>
    </xdr:to>
    <xdr:graphicFrame macro="">
      <xdr:nvGraphicFramePr>
        <xdr:cNvPr id="1203" name="Chart 1">
          <a:extLst>
            <a:ext uri="{FF2B5EF4-FFF2-40B4-BE49-F238E27FC236}">
              <a16:creationId xmlns:a16="http://schemas.microsoft.com/office/drawing/2014/main" id="{058F94FF-585E-48AD-9B42-353D80E26A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N30"/>
  <sheetViews>
    <sheetView showGridLines="0" topLeftCell="B1" workbookViewId="0" xr3:uid="{AEA406A1-0E4B-5B11-9CD5-51D6E497D94C}">
      <selection activeCell="D8" sqref="D8:N30"/>
    </sheetView>
  </sheetViews>
  <sheetFormatPr defaultRowHeight="12.75"/>
  <cols>
    <col min="4" max="4" width="24" customWidth="1"/>
    <col min="9" max="9" width="4.42578125" customWidth="1"/>
  </cols>
  <sheetData>
    <row r="1" spans="2:14" ht="13.5" thickBot="1"/>
    <row r="2" spans="2:14" ht="13.5" thickBot="1">
      <c r="B2" s="81" t="s">
        <v>0</v>
      </c>
      <c r="C2" s="82"/>
      <c r="D2" s="82"/>
      <c r="E2" s="82"/>
      <c r="F2" s="82"/>
      <c r="G2" s="82"/>
      <c r="H2" s="82"/>
      <c r="I2" s="82"/>
      <c r="J2" s="82"/>
      <c r="K2" s="82"/>
      <c r="L2" s="82"/>
      <c r="M2" s="82"/>
      <c r="N2" s="83"/>
    </row>
    <row r="4" spans="2:14">
      <c r="B4" s="3" t="s">
        <v>1</v>
      </c>
      <c r="C4" s="1">
        <v>1</v>
      </c>
    </row>
    <row r="6" spans="2:14">
      <c r="B6" s="95" t="s">
        <v>2</v>
      </c>
      <c r="C6" s="96"/>
      <c r="D6" s="84" t="s">
        <v>3</v>
      </c>
      <c r="E6" s="84"/>
      <c r="F6" s="84"/>
      <c r="G6" s="84"/>
      <c r="H6" s="84"/>
      <c r="I6" s="84"/>
      <c r="J6" s="84"/>
      <c r="K6" s="84"/>
      <c r="L6" s="84"/>
      <c r="M6" s="84"/>
      <c r="N6" s="84"/>
    </row>
    <row r="8" spans="2:14">
      <c r="B8" s="94" t="s">
        <v>4</v>
      </c>
      <c r="C8" s="94"/>
      <c r="D8" s="85" t="s">
        <v>5</v>
      </c>
      <c r="E8" s="86"/>
      <c r="F8" s="86"/>
      <c r="G8" s="86"/>
      <c r="H8" s="86"/>
      <c r="I8" s="86"/>
      <c r="J8" s="86"/>
      <c r="K8" s="86"/>
      <c r="L8" s="86"/>
      <c r="M8" s="86"/>
      <c r="N8" s="87"/>
    </row>
    <row r="9" spans="2:14">
      <c r="D9" s="88"/>
      <c r="E9" s="89"/>
      <c r="F9" s="89"/>
      <c r="G9" s="89"/>
      <c r="H9" s="89"/>
      <c r="I9" s="89"/>
      <c r="J9" s="89"/>
      <c r="K9" s="89"/>
      <c r="L9" s="89"/>
      <c r="M9" s="89"/>
      <c r="N9" s="90"/>
    </row>
    <row r="10" spans="2:14">
      <c r="D10" s="88"/>
      <c r="E10" s="89"/>
      <c r="F10" s="89"/>
      <c r="G10" s="89"/>
      <c r="H10" s="89"/>
      <c r="I10" s="89"/>
      <c r="J10" s="89"/>
      <c r="K10" s="89"/>
      <c r="L10" s="89"/>
      <c r="M10" s="89"/>
      <c r="N10" s="90"/>
    </row>
    <row r="11" spans="2:14">
      <c r="D11" s="88"/>
      <c r="E11" s="89"/>
      <c r="F11" s="89"/>
      <c r="G11" s="89"/>
      <c r="H11" s="89"/>
      <c r="I11" s="89"/>
      <c r="J11" s="89"/>
      <c r="K11" s="89"/>
      <c r="L11" s="89"/>
      <c r="M11" s="89"/>
      <c r="N11" s="90"/>
    </row>
    <row r="12" spans="2:14">
      <c r="D12" s="88"/>
      <c r="E12" s="89"/>
      <c r="F12" s="89"/>
      <c r="G12" s="89"/>
      <c r="H12" s="89"/>
      <c r="I12" s="89"/>
      <c r="J12" s="89"/>
      <c r="K12" s="89"/>
      <c r="L12" s="89"/>
      <c r="M12" s="89"/>
      <c r="N12" s="90"/>
    </row>
    <row r="13" spans="2:14">
      <c r="D13" s="88"/>
      <c r="E13" s="89"/>
      <c r="F13" s="89"/>
      <c r="G13" s="89"/>
      <c r="H13" s="89"/>
      <c r="I13" s="89"/>
      <c r="J13" s="89"/>
      <c r="K13" s="89"/>
      <c r="L13" s="89"/>
      <c r="M13" s="89"/>
      <c r="N13" s="90"/>
    </row>
    <row r="14" spans="2:14">
      <c r="D14" s="88"/>
      <c r="E14" s="89"/>
      <c r="F14" s="89"/>
      <c r="G14" s="89"/>
      <c r="H14" s="89"/>
      <c r="I14" s="89"/>
      <c r="J14" s="89"/>
      <c r="K14" s="89"/>
      <c r="L14" s="89"/>
      <c r="M14" s="89"/>
      <c r="N14" s="90"/>
    </row>
    <row r="15" spans="2:14">
      <c r="D15" s="88"/>
      <c r="E15" s="89"/>
      <c r="F15" s="89"/>
      <c r="G15" s="89"/>
      <c r="H15" s="89"/>
      <c r="I15" s="89"/>
      <c r="J15" s="89"/>
      <c r="K15" s="89"/>
      <c r="L15" s="89"/>
      <c r="M15" s="89"/>
      <c r="N15" s="90"/>
    </row>
    <row r="16" spans="2:14">
      <c r="D16" s="88"/>
      <c r="E16" s="89"/>
      <c r="F16" s="89"/>
      <c r="G16" s="89"/>
      <c r="H16" s="89"/>
      <c r="I16" s="89"/>
      <c r="J16" s="89"/>
      <c r="K16" s="89"/>
      <c r="L16" s="89"/>
      <c r="M16" s="89"/>
      <c r="N16" s="90"/>
    </row>
    <row r="17" spans="4:14">
      <c r="D17" s="88"/>
      <c r="E17" s="89"/>
      <c r="F17" s="89"/>
      <c r="G17" s="89"/>
      <c r="H17" s="89"/>
      <c r="I17" s="89"/>
      <c r="J17" s="89"/>
      <c r="K17" s="89"/>
      <c r="L17" s="89"/>
      <c r="M17" s="89"/>
      <c r="N17" s="90"/>
    </row>
    <row r="18" spans="4:14">
      <c r="D18" s="88"/>
      <c r="E18" s="89"/>
      <c r="F18" s="89"/>
      <c r="G18" s="89"/>
      <c r="H18" s="89"/>
      <c r="I18" s="89"/>
      <c r="J18" s="89"/>
      <c r="K18" s="89"/>
      <c r="L18" s="89"/>
      <c r="M18" s="89"/>
      <c r="N18" s="90"/>
    </row>
    <row r="19" spans="4:14">
      <c r="D19" s="88"/>
      <c r="E19" s="89"/>
      <c r="F19" s="89"/>
      <c r="G19" s="89"/>
      <c r="H19" s="89"/>
      <c r="I19" s="89"/>
      <c r="J19" s="89"/>
      <c r="K19" s="89"/>
      <c r="L19" s="89"/>
      <c r="M19" s="89"/>
      <c r="N19" s="90"/>
    </row>
    <row r="20" spans="4:14">
      <c r="D20" s="88"/>
      <c r="E20" s="89"/>
      <c r="F20" s="89"/>
      <c r="G20" s="89"/>
      <c r="H20" s="89"/>
      <c r="I20" s="89"/>
      <c r="J20" s="89"/>
      <c r="K20" s="89"/>
      <c r="L20" s="89"/>
      <c r="M20" s="89"/>
      <c r="N20" s="90"/>
    </row>
    <row r="21" spans="4:14">
      <c r="D21" s="88"/>
      <c r="E21" s="89"/>
      <c r="F21" s="89"/>
      <c r="G21" s="89"/>
      <c r="H21" s="89"/>
      <c r="I21" s="89"/>
      <c r="J21" s="89"/>
      <c r="K21" s="89"/>
      <c r="L21" s="89"/>
      <c r="M21" s="89"/>
      <c r="N21" s="90"/>
    </row>
    <row r="22" spans="4:14">
      <c r="D22" s="88"/>
      <c r="E22" s="89"/>
      <c r="F22" s="89"/>
      <c r="G22" s="89"/>
      <c r="H22" s="89"/>
      <c r="I22" s="89"/>
      <c r="J22" s="89"/>
      <c r="K22" s="89"/>
      <c r="L22" s="89"/>
      <c r="M22" s="89"/>
      <c r="N22" s="90"/>
    </row>
    <row r="23" spans="4:14">
      <c r="D23" s="88"/>
      <c r="E23" s="89"/>
      <c r="F23" s="89"/>
      <c r="G23" s="89"/>
      <c r="H23" s="89"/>
      <c r="I23" s="89"/>
      <c r="J23" s="89"/>
      <c r="K23" s="89"/>
      <c r="L23" s="89"/>
      <c r="M23" s="89"/>
      <c r="N23" s="90"/>
    </row>
    <row r="24" spans="4:14">
      <c r="D24" s="88"/>
      <c r="E24" s="89"/>
      <c r="F24" s="89"/>
      <c r="G24" s="89"/>
      <c r="H24" s="89"/>
      <c r="I24" s="89"/>
      <c r="J24" s="89"/>
      <c r="K24" s="89"/>
      <c r="L24" s="89"/>
      <c r="M24" s="89"/>
      <c r="N24" s="90"/>
    </row>
    <row r="25" spans="4:14">
      <c r="D25" s="88"/>
      <c r="E25" s="89"/>
      <c r="F25" s="89"/>
      <c r="G25" s="89"/>
      <c r="H25" s="89"/>
      <c r="I25" s="89"/>
      <c r="J25" s="89"/>
      <c r="K25" s="89"/>
      <c r="L25" s="89"/>
      <c r="M25" s="89"/>
      <c r="N25" s="90"/>
    </row>
    <row r="26" spans="4:14">
      <c r="D26" s="88"/>
      <c r="E26" s="89"/>
      <c r="F26" s="89"/>
      <c r="G26" s="89"/>
      <c r="H26" s="89"/>
      <c r="I26" s="89"/>
      <c r="J26" s="89"/>
      <c r="K26" s="89"/>
      <c r="L26" s="89"/>
      <c r="M26" s="89"/>
      <c r="N26" s="90"/>
    </row>
    <row r="27" spans="4:14">
      <c r="D27" s="88"/>
      <c r="E27" s="89"/>
      <c r="F27" s="89"/>
      <c r="G27" s="89"/>
      <c r="H27" s="89"/>
      <c r="I27" s="89"/>
      <c r="J27" s="89"/>
      <c r="K27" s="89"/>
      <c r="L27" s="89"/>
      <c r="M27" s="89"/>
      <c r="N27" s="90"/>
    </row>
    <row r="28" spans="4:14">
      <c r="D28" s="88"/>
      <c r="E28" s="89"/>
      <c r="F28" s="89"/>
      <c r="G28" s="89"/>
      <c r="H28" s="89"/>
      <c r="I28" s="89"/>
      <c r="J28" s="89"/>
      <c r="K28" s="89"/>
      <c r="L28" s="89"/>
      <c r="M28" s="89"/>
      <c r="N28" s="90"/>
    </row>
    <row r="29" spans="4:14">
      <c r="D29" s="88"/>
      <c r="E29" s="89"/>
      <c r="F29" s="89"/>
      <c r="G29" s="89"/>
      <c r="H29" s="89"/>
      <c r="I29" s="89"/>
      <c r="J29" s="89"/>
      <c r="K29" s="89"/>
      <c r="L29" s="89"/>
      <c r="M29" s="89"/>
      <c r="N29" s="90"/>
    </row>
    <row r="30" spans="4:14">
      <c r="D30" s="91"/>
      <c r="E30" s="92"/>
      <c r="F30" s="92"/>
      <c r="G30" s="92"/>
      <c r="H30" s="92"/>
      <c r="I30" s="92"/>
      <c r="J30" s="92"/>
      <c r="K30" s="92"/>
      <c r="L30" s="92"/>
      <c r="M30" s="92"/>
      <c r="N30" s="93"/>
    </row>
  </sheetData>
  <mergeCells count="5">
    <mergeCell ref="B2:N2"/>
    <mergeCell ref="D6:N6"/>
    <mergeCell ref="D8:N30"/>
    <mergeCell ref="B8:C8"/>
    <mergeCell ref="B6:C6"/>
  </mergeCells>
  <phoneticPr fontId="2" type="noConversion"/>
  <pageMargins left="0.78740157499999996" right="0.78740157499999996" top="0.984251969" bottom="0.984251969" header="0.49212598499999999" footer="0.49212598499999999"/>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0"/>
  <sheetViews>
    <sheetView showGridLines="0" tabSelected="1" zoomScale="130" zoomScaleNormal="130" workbookViewId="0" xr3:uid="{958C4451-9541-5A59-BF78-D2F731DF1C81}">
      <selection activeCell="D17" sqref="D17"/>
    </sheetView>
  </sheetViews>
  <sheetFormatPr defaultRowHeight="12.75"/>
  <cols>
    <col min="1" max="1" width="9.5703125" style="34" customWidth="1"/>
    <col min="2" max="2" width="52.5703125" bestFit="1" customWidth="1"/>
    <col min="3" max="3" width="51" bestFit="1" customWidth="1"/>
    <col min="4" max="4" width="20" bestFit="1" customWidth="1"/>
    <col min="5" max="5" width="43.85546875" bestFit="1" customWidth="1"/>
  </cols>
  <sheetData>
    <row r="1" spans="1:14" ht="13.5" thickBot="1"/>
    <row r="2" spans="1:14" ht="13.5" thickBot="1">
      <c r="B2" s="81" t="str">
        <f>Identificação!B2</f>
        <v>ANÁLISE INICIAL DO PROJETO</v>
      </c>
      <c r="C2" s="82"/>
      <c r="D2" s="82"/>
      <c r="E2" s="83"/>
    </row>
    <row r="4" spans="1:14">
      <c r="B4" s="3" t="s">
        <v>1</v>
      </c>
      <c r="C4" s="1">
        <f>Identificação!C4</f>
        <v>1</v>
      </c>
    </row>
    <row r="6" spans="1:14">
      <c r="B6" s="6" t="s">
        <v>2</v>
      </c>
      <c r="C6" s="84" t="str">
        <f>Identificação!D6</f>
        <v>Health Manager</v>
      </c>
      <c r="D6" s="84"/>
      <c r="E6" s="84"/>
      <c r="F6" s="4"/>
    </row>
    <row r="7" spans="1:14">
      <c r="B7" s="4"/>
      <c r="C7" s="4"/>
      <c r="D7" s="4"/>
      <c r="E7" s="4"/>
      <c r="G7" s="4"/>
      <c r="H7" s="4"/>
      <c r="I7" s="4"/>
      <c r="J7" s="4"/>
      <c r="K7" s="4"/>
      <c r="L7" s="4"/>
      <c r="M7" s="4"/>
      <c r="N7" s="4"/>
    </row>
    <row r="8" spans="1:14">
      <c r="B8" s="4"/>
      <c r="C8" s="4"/>
      <c r="D8" s="4"/>
      <c r="E8" s="4"/>
      <c r="F8" s="4"/>
      <c r="G8" s="4"/>
      <c r="H8" s="4"/>
      <c r="I8" s="4"/>
      <c r="J8" s="4"/>
      <c r="K8" s="4"/>
      <c r="L8" s="4"/>
      <c r="M8" s="4"/>
      <c r="N8" s="4"/>
    </row>
    <row r="9" spans="1:14">
      <c r="B9" s="6" t="s">
        <v>6</v>
      </c>
    </row>
    <row r="11" spans="1:14">
      <c r="A11" s="7" t="s">
        <v>7</v>
      </c>
      <c r="B11" s="7" t="s">
        <v>8</v>
      </c>
      <c r="C11" s="7" t="s">
        <v>9</v>
      </c>
      <c r="D11" s="7" t="s">
        <v>10</v>
      </c>
      <c r="E11" s="7" t="s">
        <v>11</v>
      </c>
      <c r="F11" s="2"/>
    </row>
    <row r="12" spans="1:14">
      <c r="A12" s="1">
        <v>1</v>
      </c>
      <c r="B12" s="1" t="s">
        <v>12</v>
      </c>
      <c r="C12" s="1"/>
      <c r="D12" s="78"/>
      <c r="E12" s="1"/>
    </row>
    <row r="13" spans="1:14">
      <c r="A13" s="35">
        <v>2</v>
      </c>
      <c r="B13" s="1" t="s">
        <v>13</v>
      </c>
      <c r="C13" s="1"/>
      <c r="D13" s="78"/>
      <c r="E13" s="1"/>
    </row>
    <row r="14" spans="1:14">
      <c r="A14" s="38" t="s">
        <v>14</v>
      </c>
      <c r="B14" s="36" t="s">
        <v>15</v>
      </c>
      <c r="C14" s="36" t="s">
        <v>15</v>
      </c>
      <c r="D14" s="78">
        <f>35*40*26*3</f>
        <v>109200</v>
      </c>
      <c r="E14" s="39" t="s">
        <v>16</v>
      </c>
    </row>
    <row r="15" spans="1:14">
      <c r="A15" s="38" t="s">
        <v>17</v>
      </c>
      <c r="B15" s="36" t="s">
        <v>15</v>
      </c>
      <c r="C15" s="36" t="s">
        <v>15</v>
      </c>
      <c r="D15" s="78">
        <f>35*20*26*3</f>
        <v>54600</v>
      </c>
      <c r="E15" s="39" t="s">
        <v>18</v>
      </c>
    </row>
    <row r="16" spans="1:14">
      <c r="A16" s="1">
        <v>3</v>
      </c>
      <c r="B16" s="1" t="s">
        <v>19</v>
      </c>
      <c r="C16" s="1"/>
      <c r="D16" s="78"/>
      <c r="E16" s="1"/>
    </row>
    <row r="17" spans="1:5">
      <c r="A17" s="38" t="s">
        <v>20</v>
      </c>
      <c r="B17" s="36" t="s">
        <v>21</v>
      </c>
      <c r="C17" s="1" t="s">
        <v>22</v>
      </c>
      <c r="D17" s="78">
        <f>6*500</f>
        <v>3000</v>
      </c>
      <c r="E17" s="39" t="s">
        <v>23</v>
      </c>
    </row>
    <row r="18" spans="1:5">
      <c r="A18" s="38" t="s">
        <v>24</v>
      </c>
      <c r="B18" s="36" t="s">
        <v>25</v>
      </c>
      <c r="C18" s="1" t="s">
        <v>26</v>
      </c>
      <c r="D18" s="78">
        <f>6*(150+600+100)</f>
        <v>5100</v>
      </c>
      <c r="E18" s="39" t="s">
        <v>27</v>
      </c>
    </row>
    <row r="19" spans="1:5" ht="13.5" thickBot="1">
      <c r="A19" s="73"/>
      <c r="B19" s="74"/>
      <c r="C19" s="75"/>
      <c r="D19" s="70"/>
      <c r="E19" s="76"/>
    </row>
    <row r="20" spans="1:5" ht="13.5" thickBot="1">
      <c r="A20" s="41"/>
      <c r="B20" s="41"/>
      <c r="C20" s="41"/>
      <c r="D20" s="44">
        <f>SUM(D12:D18)</f>
        <v>171900</v>
      </c>
      <c r="E20" s="41"/>
    </row>
    <row r="21" spans="1:5" ht="16.5" thickBot="1">
      <c r="A21" s="97" t="s">
        <v>28</v>
      </c>
      <c r="B21" s="98"/>
      <c r="C21" s="41"/>
      <c r="D21" s="70"/>
      <c r="E21" s="41"/>
    </row>
    <row r="22" spans="1:5">
      <c r="A22" s="48"/>
      <c r="B22" s="49" t="s">
        <v>29</v>
      </c>
      <c r="C22" s="39" t="s">
        <v>30</v>
      </c>
      <c r="D22" s="37">
        <v>1000</v>
      </c>
      <c r="E22" s="39"/>
    </row>
    <row r="23" spans="1:5">
      <c r="A23" s="38"/>
      <c r="B23" s="40" t="s">
        <v>31</v>
      </c>
      <c r="C23" s="39" t="s">
        <v>30</v>
      </c>
      <c r="D23" s="37">
        <v>3000</v>
      </c>
      <c r="E23" s="39"/>
    </row>
    <row r="24" spans="1:5">
      <c r="A24" s="38"/>
      <c r="B24" s="40" t="s">
        <v>32</v>
      </c>
      <c r="C24" s="39" t="s">
        <v>30</v>
      </c>
      <c r="D24" s="37">
        <v>2500</v>
      </c>
      <c r="E24" s="1"/>
    </row>
    <row r="25" spans="1:5">
      <c r="A25" s="1"/>
      <c r="B25" s="39" t="s">
        <v>33</v>
      </c>
      <c r="C25" s="39" t="s">
        <v>34</v>
      </c>
      <c r="D25" s="37">
        <f>4*750*3</f>
        <v>9000</v>
      </c>
      <c r="E25" s="1" t="s">
        <v>35</v>
      </c>
    </row>
    <row r="26" spans="1:5">
      <c r="A26" s="1"/>
      <c r="B26" s="39" t="s">
        <v>36</v>
      </c>
      <c r="C26" s="71" t="s">
        <v>37</v>
      </c>
      <c r="D26" s="37">
        <v>3000</v>
      </c>
      <c r="E26" s="39" t="s">
        <v>35</v>
      </c>
    </row>
    <row r="27" spans="1:5">
      <c r="A27" s="1"/>
      <c r="B27" s="39" t="s">
        <v>38</v>
      </c>
      <c r="C27" s="39" t="s">
        <v>39</v>
      </c>
      <c r="D27" s="37">
        <f>4*1000*2</f>
        <v>8000</v>
      </c>
      <c r="E27" s="1" t="s">
        <v>35</v>
      </c>
    </row>
    <row r="28" spans="1:5">
      <c r="A28" s="50"/>
      <c r="B28" s="50" t="s">
        <v>40</v>
      </c>
      <c r="C28" s="50" t="s">
        <v>30</v>
      </c>
      <c r="D28" s="51">
        <v>500</v>
      </c>
      <c r="E28" s="1" t="s">
        <v>35</v>
      </c>
    </row>
    <row r="29" spans="1:5" ht="13.5" thickBot="1">
      <c r="A29" s="42"/>
      <c r="B29" s="43" t="s">
        <v>41</v>
      </c>
      <c r="C29" s="43" t="s">
        <v>42</v>
      </c>
      <c r="D29" s="52">
        <f>4*750</f>
        <v>3000</v>
      </c>
      <c r="E29" s="43" t="s">
        <v>35</v>
      </c>
    </row>
    <row r="30" spans="1:5" ht="13.5" thickBot="1">
      <c r="A30" s="41"/>
      <c r="B30" s="41"/>
      <c r="C30" s="41"/>
      <c r="D30" s="44">
        <f>SUM(D22:D29)</f>
        <v>30000</v>
      </c>
      <c r="E30" s="41"/>
    </row>
    <row r="31" spans="1:5" ht="16.5" thickBot="1">
      <c r="A31" s="97" t="s">
        <v>43</v>
      </c>
      <c r="B31" s="98"/>
      <c r="C31" s="41"/>
      <c r="D31" s="70"/>
      <c r="E31" s="41"/>
    </row>
    <row r="32" spans="1:5">
      <c r="A32" s="48"/>
      <c r="B32" s="49" t="s">
        <v>29</v>
      </c>
      <c r="C32" s="39" t="s">
        <v>30</v>
      </c>
      <c r="D32" s="37">
        <v>1000</v>
      </c>
      <c r="E32" s="39"/>
    </row>
    <row r="33" spans="1:5">
      <c r="A33" s="38"/>
      <c r="B33" s="40" t="s">
        <v>31</v>
      </c>
      <c r="C33" s="39" t="s">
        <v>30</v>
      </c>
      <c r="D33" s="37">
        <v>3000</v>
      </c>
      <c r="E33" s="39"/>
    </row>
    <row r="34" spans="1:5">
      <c r="A34" s="38"/>
      <c r="B34" s="40" t="s">
        <v>32</v>
      </c>
      <c r="C34" s="39" t="s">
        <v>30</v>
      </c>
      <c r="D34" s="37">
        <v>2500</v>
      </c>
      <c r="E34" s="1"/>
    </row>
    <row r="35" spans="1:5">
      <c r="A35" s="1"/>
      <c r="B35" s="39" t="s">
        <v>33</v>
      </c>
      <c r="C35" s="39" t="s">
        <v>34</v>
      </c>
      <c r="D35" s="37">
        <f>4*750*3</f>
        <v>9000</v>
      </c>
      <c r="E35" s="1" t="s">
        <v>35</v>
      </c>
    </row>
    <row r="36" spans="1:5">
      <c r="A36" s="1"/>
      <c r="B36" s="39" t="s">
        <v>36</v>
      </c>
      <c r="C36" s="71" t="s">
        <v>37</v>
      </c>
      <c r="D36" s="37">
        <v>3000</v>
      </c>
      <c r="E36" s="39" t="s">
        <v>35</v>
      </c>
    </row>
    <row r="37" spans="1:5">
      <c r="A37" s="1"/>
      <c r="B37" s="39" t="s">
        <v>38</v>
      </c>
      <c r="C37" s="39" t="s">
        <v>39</v>
      </c>
      <c r="D37" s="37">
        <f>4*1000*2</f>
        <v>8000</v>
      </c>
      <c r="E37" s="1" t="s">
        <v>35</v>
      </c>
    </row>
    <row r="38" spans="1:5">
      <c r="A38" s="50"/>
      <c r="B38" s="50" t="s">
        <v>40</v>
      </c>
      <c r="C38" s="50" t="s">
        <v>30</v>
      </c>
      <c r="D38" s="51">
        <v>500</v>
      </c>
      <c r="E38" s="1" t="s">
        <v>35</v>
      </c>
    </row>
    <row r="39" spans="1:5" ht="13.5" thickBot="1">
      <c r="A39" s="42"/>
      <c r="B39" s="43" t="s">
        <v>44</v>
      </c>
      <c r="C39" s="43" t="s">
        <v>39</v>
      </c>
      <c r="D39" s="52">
        <f>4*750*2</f>
        <v>6000</v>
      </c>
      <c r="E39" s="43" t="s">
        <v>35</v>
      </c>
    </row>
    <row r="40" spans="1:5" ht="13.5" thickBot="1">
      <c r="A40" s="41"/>
      <c r="B40" s="41"/>
      <c r="C40" s="41"/>
      <c r="D40" s="44">
        <f>SUM(D32:D39)</f>
        <v>33000</v>
      </c>
      <c r="E40" s="41"/>
    </row>
  </sheetData>
  <mergeCells count="4">
    <mergeCell ref="B2:E2"/>
    <mergeCell ref="C6:E6"/>
    <mergeCell ref="A21:B21"/>
    <mergeCell ref="A31:B31"/>
  </mergeCells>
  <phoneticPr fontId="2" type="noConversion"/>
  <pageMargins left="0.78740157499999996" right="0.78740157499999996" top="0.984251969" bottom="0.984251969" header="0.49212598499999999" footer="0.49212598499999999"/>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Q33"/>
  <sheetViews>
    <sheetView showGridLines="0" workbookViewId="0" xr3:uid="{842E5F09-E766-5B8D-85AF-A39847EA96FD}">
      <selection activeCell="H25" sqref="H25"/>
    </sheetView>
  </sheetViews>
  <sheetFormatPr defaultRowHeight="12.75"/>
  <cols>
    <col min="2" max="2" width="27.5703125" customWidth="1"/>
    <col min="3" max="3" width="42.28515625" customWidth="1"/>
    <col min="4" max="4" width="16" customWidth="1"/>
    <col min="5" max="5" width="40.5703125" customWidth="1"/>
  </cols>
  <sheetData>
    <row r="1" spans="2:17" ht="13.5" thickBot="1"/>
    <row r="2" spans="2:17" ht="13.5" thickBot="1">
      <c r="B2" s="81" t="s">
        <v>45</v>
      </c>
      <c r="C2" s="82"/>
      <c r="D2" s="82"/>
      <c r="E2" s="83"/>
    </row>
    <row r="4" spans="2:17">
      <c r="B4" s="3" t="s">
        <v>1</v>
      </c>
      <c r="C4" s="1">
        <f>Identificação!C4</f>
        <v>1</v>
      </c>
    </row>
    <row r="6" spans="2:17">
      <c r="B6" s="6" t="s">
        <v>2</v>
      </c>
      <c r="C6" s="84" t="s">
        <v>3</v>
      </c>
      <c r="D6" s="84"/>
      <c r="E6" s="84"/>
    </row>
    <row r="7" spans="2:17">
      <c r="B7" s="4"/>
      <c r="C7" s="4"/>
      <c r="D7" s="4"/>
      <c r="E7" s="4"/>
      <c r="F7" s="4"/>
      <c r="G7" s="4"/>
      <c r="H7" s="4"/>
      <c r="I7" s="4"/>
      <c r="J7" s="4"/>
      <c r="K7" s="4"/>
      <c r="L7" s="4"/>
      <c r="M7" s="4"/>
      <c r="N7" s="4"/>
    </row>
    <row r="8" spans="2:17">
      <c r="B8" s="4"/>
      <c r="C8" s="4"/>
      <c r="D8" s="4"/>
      <c r="E8" s="4"/>
      <c r="F8" s="4"/>
      <c r="G8" s="4"/>
      <c r="H8" s="4"/>
      <c r="I8" s="4"/>
      <c r="J8" s="4"/>
      <c r="K8" s="4"/>
      <c r="L8" s="4"/>
      <c r="M8" s="4"/>
      <c r="N8" s="4"/>
      <c r="O8" s="4"/>
      <c r="P8" s="4"/>
      <c r="Q8" s="4"/>
    </row>
    <row r="9" spans="2:17" ht="12.75" customHeight="1">
      <c r="B9" s="5" t="s">
        <v>46</v>
      </c>
      <c r="C9" s="99" t="s">
        <v>47</v>
      </c>
      <c r="D9" s="86"/>
      <c r="E9" s="87"/>
      <c r="F9" s="4"/>
      <c r="G9" s="4"/>
      <c r="H9" s="4"/>
      <c r="I9" s="4"/>
      <c r="J9" s="4"/>
      <c r="K9" s="4"/>
      <c r="L9" s="4"/>
      <c r="M9" s="4"/>
      <c r="N9" s="4"/>
      <c r="O9" s="4"/>
      <c r="P9" s="4"/>
      <c r="Q9" s="4"/>
    </row>
    <row r="10" spans="2:17">
      <c r="C10" s="88"/>
      <c r="D10" s="89"/>
      <c r="E10" s="90"/>
      <c r="F10" s="4"/>
      <c r="G10" s="4"/>
      <c r="H10" s="4"/>
      <c r="I10" s="4"/>
      <c r="J10" s="4"/>
      <c r="K10" s="4"/>
      <c r="L10" s="4"/>
      <c r="M10" s="4"/>
      <c r="N10" s="4"/>
      <c r="O10" s="4"/>
      <c r="P10" s="4"/>
      <c r="Q10" s="4"/>
    </row>
    <row r="11" spans="2:17">
      <c r="C11" s="88"/>
      <c r="D11" s="89"/>
      <c r="E11" s="90"/>
      <c r="F11" s="4"/>
      <c r="G11" s="4"/>
      <c r="H11" s="4"/>
      <c r="I11" s="4"/>
      <c r="J11" s="4"/>
      <c r="K11" s="4"/>
      <c r="L11" s="4"/>
      <c r="M11" s="4"/>
      <c r="N11" s="4"/>
      <c r="O11" s="4"/>
      <c r="P11" s="4"/>
      <c r="Q11" s="4"/>
    </row>
    <row r="12" spans="2:17">
      <c r="C12" s="88"/>
      <c r="D12" s="89"/>
      <c r="E12" s="90"/>
      <c r="F12" s="4"/>
      <c r="G12" s="4"/>
      <c r="H12" s="4"/>
      <c r="I12" s="4"/>
      <c r="J12" s="4"/>
      <c r="K12" s="4"/>
      <c r="L12" s="4"/>
      <c r="M12" s="4"/>
      <c r="N12" s="4"/>
      <c r="O12" s="4"/>
      <c r="P12" s="4"/>
      <c r="Q12" s="4"/>
    </row>
    <row r="13" spans="2:17">
      <c r="C13" s="88"/>
      <c r="D13" s="89"/>
      <c r="E13" s="90"/>
      <c r="F13" s="4"/>
      <c r="G13" s="4"/>
      <c r="H13" s="4"/>
      <c r="I13" s="4"/>
      <c r="J13" s="4"/>
      <c r="K13" s="4"/>
      <c r="L13" s="4"/>
      <c r="M13" s="4"/>
      <c r="N13" s="4"/>
      <c r="O13" s="4"/>
      <c r="P13" s="4"/>
      <c r="Q13" s="4"/>
    </row>
    <row r="14" spans="2:17">
      <c r="C14" s="88"/>
      <c r="D14" s="89"/>
      <c r="E14" s="90"/>
      <c r="F14" s="4"/>
      <c r="G14" s="4"/>
      <c r="H14" s="4"/>
      <c r="I14" s="4"/>
      <c r="J14" s="4"/>
      <c r="K14" s="4"/>
      <c r="L14" s="4"/>
      <c r="M14" s="4"/>
      <c r="N14" s="4"/>
      <c r="O14" s="4"/>
      <c r="P14" s="4"/>
      <c r="Q14" s="4"/>
    </row>
    <row r="15" spans="2:17">
      <c r="C15" s="88"/>
      <c r="D15" s="89"/>
      <c r="E15" s="90"/>
      <c r="F15" s="4"/>
      <c r="G15" s="4"/>
      <c r="H15" s="4"/>
      <c r="I15" s="4"/>
      <c r="J15" s="4"/>
      <c r="K15" s="4"/>
      <c r="L15" s="4"/>
      <c r="M15" s="4"/>
      <c r="N15" s="4"/>
      <c r="O15" s="4"/>
      <c r="P15" s="4"/>
      <c r="Q15" s="4"/>
    </row>
    <row r="16" spans="2:17">
      <c r="C16" s="88"/>
      <c r="D16" s="89"/>
      <c r="E16" s="90"/>
      <c r="F16" s="4"/>
      <c r="G16" s="4"/>
      <c r="H16" s="4"/>
      <c r="I16" s="4"/>
      <c r="J16" s="4"/>
      <c r="K16" s="4"/>
      <c r="L16" s="4"/>
      <c r="M16" s="4"/>
      <c r="N16" s="4"/>
      <c r="O16" s="4"/>
      <c r="P16" s="4"/>
      <c r="Q16" s="4"/>
    </row>
    <row r="17" spans="3:17">
      <c r="C17" s="88"/>
      <c r="D17" s="89"/>
      <c r="E17" s="90"/>
      <c r="F17" s="4"/>
      <c r="G17" s="4"/>
      <c r="H17" s="4"/>
      <c r="I17" s="4"/>
      <c r="J17" s="4"/>
      <c r="K17" s="4"/>
      <c r="L17" s="4"/>
      <c r="M17" s="4"/>
      <c r="N17" s="4"/>
      <c r="O17" s="4"/>
      <c r="P17" s="4"/>
      <c r="Q17" s="4"/>
    </row>
    <row r="18" spans="3:17">
      <c r="C18" s="88"/>
      <c r="D18" s="89"/>
      <c r="E18" s="90"/>
      <c r="F18" s="4"/>
      <c r="G18" s="4"/>
      <c r="H18" s="4"/>
      <c r="I18" s="4"/>
      <c r="J18" s="4"/>
      <c r="K18" s="4"/>
      <c r="L18" s="4"/>
      <c r="M18" s="4"/>
      <c r="N18" s="4"/>
      <c r="O18" s="4"/>
      <c r="P18" s="4"/>
      <c r="Q18" s="4"/>
    </row>
    <row r="19" spans="3:17">
      <c r="C19" s="88"/>
      <c r="D19" s="89"/>
      <c r="E19" s="90"/>
      <c r="F19" s="4"/>
      <c r="G19" s="4"/>
      <c r="H19" s="4"/>
      <c r="I19" s="4"/>
      <c r="J19" s="4"/>
      <c r="K19" s="4"/>
      <c r="L19" s="4"/>
      <c r="M19" s="4"/>
      <c r="N19" s="4"/>
      <c r="O19" s="4"/>
      <c r="P19" s="4"/>
      <c r="Q19" s="4"/>
    </row>
    <row r="20" spans="3:17">
      <c r="C20" s="88"/>
      <c r="D20" s="89"/>
      <c r="E20" s="90"/>
      <c r="F20" s="4"/>
      <c r="G20" s="4"/>
      <c r="H20" s="4"/>
      <c r="I20" s="4"/>
      <c r="J20" s="4"/>
      <c r="K20" s="4"/>
      <c r="L20" s="4"/>
      <c r="M20" s="4"/>
      <c r="N20" s="4"/>
      <c r="O20" s="4"/>
      <c r="P20" s="4"/>
      <c r="Q20" s="4"/>
    </row>
    <row r="21" spans="3:17">
      <c r="C21" s="88"/>
      <c r="D21" s="89"/>
      <c r="E21" s="90"/>
      <c r="F21" s="4"/>
      <c r="G21" s="4"/>
      <c r="H21" s="4"/>
      <c r="I21" s="4"/>
      <c r="J21" s="4"/>
      <c r="K21" s="4"/>
      <c r="L21" s="4"/>
      <c r="M21" s="4"/>
      <c r="N21" s="4"/>
      <c r="O21" s="4"/>
      <c r="P21" s="4"/>
      <c r="Q21" s="4"/>
    </row>
    <row r="22" spans="3:17">
      <c r="C22" s="88"/>
      <c r="D22" s="89"/>
      <c r="E22" s="90"/>
      <c r="F22" s="4"/>
      <c r="G22" s="4"/>
      <c r="H22" s="4"/>
      <c r="I22" s="4"/>
      <c r="J22" s="4"/>
      <c r="K22" s="4"/>
      <c r="L22" s="4"/>
      <c r="M22" s="4"/>
      <c r="N22" s="4"/>
      <c r="O22" s="4"/>
      <c r="P22" s="4"/>
      <c r="Q22" s="4"/>
    </row>
    <row r="23" spans="3:17">
      <c r="C23" s="88"/>
      <c r="D23" s="89"/>
      <c r="E23" s="90"/>
      <c r="F23" s="4"/>
      <c r="G23" s="4"/>
      <c r="H23" s="4"/>
      <c r="I23" s="4"/>
      <c r="J23" s="4"/>
      <c r="K23" s="4"/>
      <c r="L23" s="4"/>
      <c r="M23" s="4"/>
      <c r="N23" s="4"/>
      <c r="O23" s="4"/>
      <c r="P23" s="4"/>
      <c r="Q23" s="4"/>
    </row>
    <row r="24" spans="3:17">
      <c r="C24" s="88"/>
      <c r="D24" s="89"/>
      <c r="E24" s="90"/>
      <c r="F24" s="4"/>
      <c r="G24" s="4"/>
      <c r="H24" s="4"/>
      <c r="I24" s="4"/>
      <c r="J24" s="4"/>
      <c r="K24" s="4"/>
      <c r="L24" s="4"/>
      <c r="M24" s="4"/>
      <c r="N24" s="4"/>
      <c r="O24" s="4"/>
      <c r="P24" s="4"/>
      <c r="Q24" s="4"/>
    </row>
    <row r="25" spans="3:17">
      <c r="C25" s="88"/>
      <c r="D25" s="89"/>
      <c r="E25" s="90"/>
      <c r="F25" s="4"/>
      <c r="G25" s="4"/>
      <c r="H25" s="4"/>
      <c r="I25" s="4"/>
      <c r="J25" s="4"/>
      <c r="K25" s="4"/>
      <c r="L25" s="4"/>
      <c r="M25" s="4"/>
      <c r="N25" s="4"/>
      <c r="O25" s="4"/>
      <c r="P25" s="4"/>
      <c r="Q25" s="4"/>
    </row>
    <row r="26" spans="3:17">
      <c r="C26" s="88"/>
      <c r="D26" s="89"/>
      <c r="E26" s="90"/>
      <c r="F26" s="4"/>
      <c r="G26" s="4"/>
      <c r="H26" s="4"/>
      <c r="I26" s="4"/>
      <c r="J26" s="4"/>
      <c r="K26" s="4"/>
      <c r="L26" s="4"/>
      <c r="M26" s="4"/>
      <c r="N26" s="4"/>
      <c r="O26" s="4"/>
      <c r="P26" s="4"/>
      <c r="Q26" s="4"/>
    </row>
    <row r="27" spans="3:17">
      <c r="C27" s="88"/>
      <c r="D27" s="89"/>
      <c r="E27" s="90"/>
      <c r="F27" s="4"/>
      <c r="G27" s="4"/>
      <c r="H27" s="4"/>
      <c r="I27" s="4"/>
      <c r="J27" s="4"/>
      <c r="K27" s="4"/>
      <c r="L27" s="4"/>
      <c r="M27" s="4"/>
      <c r="N27" s="4"/>
      <c r="O27" s="4"/>
      <c r="P27" s="4"/>
      <c r="Q27" s="4"/>
    </row>
    <row r="28" spans="3:17">
      <c r="C28" s="88"/>
      <c r="D28" s="89"/>
      <c r="E28" s="90"/>
      <c r="F28" s="4"/>
      <c r="G28" s="4"/>
      <c r="H28" s="4"/>
      <c r="I28" s="4"/>
      <c r="J28" s="4"/>
      <c r="K28" s="4"/>
      <c r="L28" s="4"/>
      <c r="M28" s="4"/>
      <c r="N28" s="4"/>
      <c r="O28" s="4"/>
      <c r="P28" s="4"/>
      <c r="Q28" s="4"/>
    </row>
    <row r="29" spans="3:17">
      <c r="C29" s="88"/>
      <c r="D29" s="89"/>
      <c r="E29" s="90"/>
      <c r="F29" s="4"/>
      <c r="G29" s="4"/>
      <c r="H29" s="4"/>
      <c r="I29" s="4"/>
      <c r="J29" s="4"/>
      <c r="K29" s="4"/>
      <c r="L29" s="4"/>
      <c r="M29" s="4"/>
      <c r="N29" s="4"/>
      <c r="O29" s="4"/>
      <c r="P29" s="4"/>
      <c r="Q29" s="4"/>
    </row>
    <row r="30" spans="3:17">
      <c r="C30" s="88"/>
      <c r="D30" s="89"/>
      <c r="E30" s="90"/>
      <c r="F30" s="4"/>
      <c r="G30" s="4"/>
      <c r="H30" s="4"/>
      <c r="I30" s="4"/>
      <c r="J30" s="4"/>
      <c r="K30" s="4"/>
      <c r="L30" s="4"/>
      <c r="M30" s="4"/>
      <c r="N30" s="4"/>
      <c r="O30" s="4"/>
      <c r="P30" s="4"/>
      <c r="Q30" s="4"/>
    </row>
    <row r="31" spans="3:17">
      <c r="C31" s="91"/>
      <c r="D31" s="92"/>
      <c r="E31" s="93"/>
      <c r="F31" s="4"/>
      <c r="G31" s="4"/>
      <c r="H31" s="4"/>
      <c r="I31" s="4"/>
      <c r="J31" s="4"/>
      <c r="K31" s="4"/>
      <c r="L31" s="4"/>
      <c r="M31" s="4"/>
      <c r="N31" s="4"/>
      <c r="O31" s="4"/>
      <c r="P31" s="4"/>
      <c r="Q31" s="4"/>
    </row>
    <row r="32" spans="3:17">
      <c r="F32" s="4"/>
      <c r="G32" s="4"/>
      <c r="H32" s="4"/>
      <c r="I32" s="4"/>
      <c r="J32" s="4"/>
      <c r="K32" s="4"/>
      <c r="L32" s="4"/>
      <c r="M32" s="4"/>
      <c r="N32" s="4"/>
      <c r="O32" s="4"/>
      <c r="P32" s="4"/>
      <c r="Q32" s="4"/>
    </row>
    <row r="33" spans="6:17">
      <c r="F33" s="4"/>
      <c r="G33" s="4"/>
      <c r="H33" s="4"/>
      <c r="I33" s="4"/>
      <c r="J33" s="4"/>
      <c r="K33" s="4"/>
      <c r="L33" s="4"/>
      <c r="M33" s="4"/>
      <c r="N33" s="4"/>
      <c r="O33" s="4"/>
      <c r="P33" s="4"/>
      <c r="Q33" s="4"/>
    </row>
  </sheetData>
  <mergeCells count="3">
    <mergeCell ref="B2:E2"/>
    <mergeCell ref="C6:E6"/>
    <mergeCell ref="C9:E31"/>
  </mergeCells>
  <phoneticPr fontId="2" type="noConversion"/>
  <pageMargins left="0.78740157499999996" right="0.78740157499999996" top="0.984251969" bottom="0.984251969" header="0.49212598499999999" footer="0.49212598499999999"/>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24"/>
  <sheetViews>
    <sheetView zoomScale="76" workbookViewId="0" xr3:uid="{51F8DEE0-4D01-5F28-A812-FC0BD7CAC4A5}">
      <selection activeCell="F11" sqref="F11"/>
    </sheetView>
  </sheetViews>
  <sheetFormatPr defaultRowHeight="12.75"/>
  <cols>
    <col min="1" max="1" width="10.42578125" customWidth="1"/>
    <col min="2" max="2" width="7.140625" customWidth="1"/>
    <col min="3" max="3" width="19.5703125" bestFit="1" customWidth="1"/>
    <col min="4" max="4" width="20.28515625" bestFit="1" customWidth="1"/>
    <col min="5" max="5" width="19.85546875" bestFit="1" customWidth="1"/>
    <col min="6" max="6" width="18.140625" bestFit="1" customWidth="1"/>
    <col min="7" max="7" width="18.42578125" bestFit="1" customWidth="1"/>
    <col min="8" max="8" width="18.140625" bestFit="1" customWidth="1"/>
    <col min="9" max="9" width="15.85546875" bestFit="1" customWidth="1"/>
    <col min="10" max="10" width="11.42578125" bestFit="1" customWidth="1"/>
  </cols>
  <sheetData>
    <row r="1" spans="1:10" ht="13.5" thickBot="1"/>
    <row r="2" spans="1:10" ht="13.5" thickBot="1">
      <c r="A2" s="81" t="s">
        <v>45</v>
      </c>
      <c r="B2" s="82"/>
      <c r="C2" s="82"/>
      <c r="D2" s="82"/>
      <c r="E2" s="82"/>
      <c r="F2" s="82"/>
      <c r="G2" s="82"/>
      <c r="H2" s="82"/>
      <c r="I2" s="82"/>
      <c r="J2" s="83"/>
    </row>
    <row r="4" spans="1:10">
      <c r="B4" s="3" t="s">
        <v>1</v>
      </c>
      <c r="C4" s="1">
        <f>Identificação!C4</f>
        <v>1</v>
      </c>
    </row>
    <row r="6" spans="1:10">
      <c r="B6" s="6" t="s">
        <v>2</v>
      </c>
      <c r="C6" s="84" t="str">
        <f>Identificação!D6</f>
        <v>Health Manager</v>
      </c>
      <c r="D6" s="84"/>
      <c r="E6" s="84"/>
    </row>
    <row r="8" spans="1:10">
      <c r="A8" s="8"/>
      <c r="B8" s="8"/>
      <c r="G8" s="9"/>
    </row>
    <row r="9" spans="1:10">
      <c r="F9" s="100" t="s">
        <v>48</v>
      </c>
      <c r="G9" s="100"/>
      <c r="H9" s="94" t="s">
        <v>49</v>
      </c>
      <c r="I9" s="94"/>
      <c r="J9" s="94"/>
    </row>
    <row r="10" spans="1:10">
      <c r="A10" s="10" t="s">
        <v>50</v>
      </c>
      <c r="B10" s="10" t="s">
        <v>51</v>
      </c>
      <c r="C10" s="10" t="s">
        <v>52</v>
      </c>
      <c r="D10" s="11" t="s">
        <v>53</v>
      </c>
      <c r="E10" s="11" t="s">
        <v>54</v>
      </c>
      <c r="F10" s="80" t="s">
        <v>55</v>
      </c>
      <c r="G10" s="80" t="s">
        <v>56</v>
      </c>
      <c r="H10" s="79" t="s">
        <v>57</v>
      </c>
      <c r="I10" s="79" t="s">
        <v>55</v>
      </c>
      <c r="J10" s="79" t="s">
        <v>56</v>
      </c>
    </row>
    <row r="11" spans="1:10">
      <c r="A11" s="10">
        <v>0</v>
      </c>
      <c r="B11" s="10">
        <v>2014</v>
      </c>
      <c r="C11" s="12">
        <f>-'Investimentos - Operação'!D20</f>
        <v>-171900</v>
      </c>
      <c r="D11" s="13">
        <f>'Fluxo de Caixa - Simples'!C11</f>
        <v>73080</v>
      </c>
      <c r="E11" s="13">
        <f t="shared" ref="E11:E16" si="0">C11+D11</f>
        <v>-98820</v>
      </c>
      <c r="F11" s="14">
        <f>E11</f>
        <v>-98820</v>
      </c>
      <c r="G11" s="15" t="str">
        <f t="shared" ref="G11:G16" si="1">IF(F11&lt;0, "", IF(F10&gt;0, "", A11-1 + ABS(F10/E11)))</f>
        <v/>
      </c>
      <c r="H11" s="16"/>
      <c r="I11" s="17">
        <f>E11</f>
        <v>-98820</v>
      </c>
      <c r="J11" s="18" t="str">
        <f t="shared" ref="J11:J16" si="2">IF(I11&lt;0, "", IF(I10&gt;0, "", A11-1 + ABS(I10/H11)))</f>
        <v/>
      </c>
    </row>
    <row r="12" spans="1:10">
      <c r="A12" s="10">
        <v>1</v>
      </c>
      <c r="B12" s="10">
        <f>B11+1</f>
        <v>2015</v>
      </c>
      <c r="C12" s="12">
        <f>'Investimentos - Operação'!D30*12*-1</f>
        <v>-360000</v>
      </c>
      <c r="D12" s="13">
        <f>'Fluxo de Caixa - Simples'!D11</f>
        <v>374535</v>
      </c>
      <c r="E12" s="13">
        <f t="shared" si="0"/>
        <v>14535</v>
      </c>
      <c r="F12" s="14">
        <f>IF(E12&lt;&gt;0,F11+E12, "")</f>
        <v>-84285</v>
      </c>
      <c r="G12" s="15" t="str">
        <f t="shared" si="1"/>
        <v/>
      </c>
      <c r="H12" s="19">
        <f>PV($C$19,A12,,-E12)</f>
        <v>11628</v>
      </c>
      <c r="I12" s="17">
        <f>IF(E12&lt;&gt;0,I11+H12, "")</f>
        <v>-87192</v>
      </c>
      <c r="J12" s="18" t="str">
        <f t="shared" si="2"/>
        <v/>
      </c>
    </row>
    <row r="13" spans="1:10">
      <c r="A13" s="10">
        <v>2</v>
      </c>
      <c r="B13" s="10">
        <f>B12+1</f>
        <v>2016</v>
      </c>
      <c r="C13" s="12">
        <f>'Investimentos - Operação'!D40*12*-1</f>
        <v>-396000</v>
      </c>
      <c r="D13" s="13">
        <f>'Fluxo de Caixa - Simples'!E11</f>
        <v>785610</v>
      </c>
      <c r="E13" s="13">
        <f t="shared" si="0"/>
        <v>389610</v>
      </c>
      <c r="F13" s="14">
        <f>IF(E13&lt;&gt;0,F12+E13, "")</f>
        <v>305325</v>
      </c>
      <c r="G13" s="15">
        <f t="shared" si="1"/>
        <v>1.2163317163317164</v>
      </c>
      <c r="H13" s="19">
        <f>PV($C$19,A13,,-E13)</f>
        <v>249350.39999999999</v>
      </c>
      <c r="I13" s="17">
        <f>IF(E13&lt;&gt;0,I12+H13, "")</f>
        <v>162158.39999999999</v>
      </c>
      <c r="J13" s="18">
        <f t="shared" si="2"/>
        <v>1.3496765996765996</v>
      </c>
    </row>
    <row r="14" spans="1:10">
      <c r="A14" s="10">
        <v>3</v>
      </c>
      <c r="B14" s="10">
        <f>B13+1</f>
        <v>2017</v>
      </c>
      <c r="C14" s="12">
        <f>C13*1.1</f>
        <v>-435600.00000000006</v>
      </c>
      <c r="D14" s="13">
        <f>'Fluxo de Caixa - Simples'!F11</f>
        <v>1242360</v>
      </c>
      <c r="E14" s="13">
        <f t="shared" si="0"/>
        <v>806760</v>
      </c>
      <c r="F14" s="14">
        <f>IF(E14&lt;&gt;0,F13+E14, "")</f>
        <v>1112085</v>
      </c>
      <c r="G14" s="15" t="str">
        <f t="shared" si="1"/>
        <v/>
      </c>
      <c r="H14" s="19">
        <f>PV($C$19,A14,,-E14)</f>
        <v>413061.12</v>
      </c>
      <c r="I14" s="17">
        <f>IF(E14&lt;&gt;0,I13+H14, "")</f>
        <v>575219.52</v>
      </c>
      <c r="J14" s="18" t="str">
        <f t="shared" si="2"/>
        <v/>
      </c>
    </row>
    <row r="15" spans="1:10">
      <c r="A15" s="10">
        <v>4</v>
      </c>
      <c r="B15" s="10">
        <f>B14+1</f>
        <v>2018</v>
      </c>
      <c r="C15" s="12">
        <f>C14*1.1</f>
        <v>-479160.00000000012</v>
      </c>
      <c r="D15" s="13">
        <f>'Fluxo de Caixa - Simples'!G11</f>
        <v>1744785</v>
      </c>
      <c r="E15" s="13">
        <f t="shared" si="0"/>
        <v>1265625</v>
      </c>
      <c r="F15" s="14">
        <f>IF(E15&lt;&gt;0,F14+E15, "")</f>
        <v>2377710</v>
      </c>
      <c r="G15" s="15" t="str">
        <f t="shared" si="1"/>
        <v/>
      </c>
      <c r="H15" s="19">
        <f>PV($C$19,A15,,-E15)</f>
        <v>518400</v>
      </c>
      <c r="I15" s="17">
        <f>IF(E15&lt;&gt;0,I14+H15, "")</f>
        <v>1093619.52</v>
      </c>
      <c r="J15" s="18" t="str">
        <f t="shared" si="2"/>
        <v/>
      </c>
    </row>
    <row r="16" spans="1:10">
      <c r="A16" s="10">
        <v>5</v>
      </c>
      <c r="B16" s="10">
        <f>B15+1</f>
        <v>2019</v>
      </c>
      <c r="C16" s="12">
        <f>C15*1.1</f>
        <v>-527076.00000000012</v>
      </c>
      <c r="D16" s="13">
        <f>'Fluxo de Caixa - Simples'!H11</f>
        <v>2292885</v>
      </c>
      <c r="E16" s="13">
        <f t="shared" si="0"/>
        <v>1765809</v>
      </c>
      <c r="F16" s="14">
        <f>IF(E16&lt;&gt;0,F15+E16, "")</f>
        <v>4143519</v>
      </c>
      <c r="G16" s="15" t="str">
        <f t="shared" si="1"/>
        <v/>
      </c>
      <c r="H16" s="19">
        <f>PV($C$19,A16,,-E16)</f>
        <v>578620.29312000005</v>
      </c>
      <c r="I16" s="17">
        <f>IF(E16&lt;&gt;0,I15+H16, "")</f>
        <v>1672239.8131200001</v>
      </c>
      <c r="J16" s="18" t="str">
        <f t="shared" si="2"/>
        <v/>
      </c>
    </row>
    <row r="17" spans="1:13">
      <c r="A17" s="10" t="s">
        <v>58</v>
      </c>
      <c r="B17" s="10"/>
      <c r="C17" s="20">
        <f>SUM(C11:C16)</f>
        <v>-2369736</v>
      </c>
      <c r="D17" s="20">
        <f>SUM(D11:D16)</f>
        <v>6513255</v>
      </c>
      <c r="E17" s="20">
        <f>SUM(E11:E16)</f>
        <v>4143519</v>
      </c>
      <c r="F17" s="14"/>
      <c r="G17" s="15">
        <f>SUM(G11:G16)</f>
        <v>1.2163317163317164</v>
      </c>
      <c r="H17" s="16"/>
      <c r="I17" s="17"/>
      <c r="J17" s="18">
        <f>SUM(J11:J16)</f>
        <v>1.3496765996765996</v>
      </c>
    </row>
    <row r="18" spans="1:13">
      <c r="I18" s="21"/>
    </row>
    <row r="19" spans="1:13">
      <c r="A19" s="22" t="s">
        <v>59</v>
      </c>
      <c r="B19" s="22"/>
      <c r="C19" s="23">
        <v>0.25</v>
      </c>
      <c r="D19" s="23"/>
      <c r="E19" s="27"/>
      <c r="F19" s="24" t="s">
        <v>48</v>
      </c>
      <c r="G19" s="25">
        <f>INT(G17)</f>
        <v>1</v>
      </c>
      <c r="H19" s="26" t="str">
        <f>C20</f>
        <v>Anos</v>
      </c>
      <c r="I19" s="25">
        <f>(G17-INT(G17))*D21</f>
        <v>0</v>
      </c>
      <c r="J19" s="26" t="str">
        <f>C21</f>
        <v>Meses</v>
      </c>
    </row>
    <row r="20" spans="1:13">
      <c r="A20" s="27" t="s">
        <v>60</v>
      </c>
      <c r="B20" s="27">
        <v>0</v>
      </c>
      <c r="C20" s="27" t="s">
        <v>61</v>
      </c>
      <c r="D20" s="72">
        <v>8</v>
      </c>
      <c r="E20" s="27" t="s">
        <v>62</v>
      </c>
      <c r="F20" s="24" t="s">
        <v>63</v>
      </c>
      <c r="G20" s="25">
        <f>INT(J17)</f>
        <v>1</v>
      </c>
      <c r="H20" s="26" t="str">
        <f>C20</f>
        <v>Anos</v>
      </c>
      <c r="I20" s="25">
        <f>(J17-INT(J17))*D21</f>
        <v>0</v>
      </c>
      <c r="J20" s="26" t="str">
        <f>C21</f>
        <v>Meses</v>
      </c>
    </row>
    <row r="21" spans="1:13">
      <c r="A21" s="27" t="s">
        <v>64</v>
      </c>
      <c r="B21" s="27">
        <v>1</v>
      </c>
      <c r="C21" s="27" t="s">
        <v>62</v>
      </c>
      <c r="D21" s="72">
        <v>0</v>
      </c>
      <c r="E21" s="28" t="s">
        <v>62</v>
      </c>
      <c r="F21" s="29" t="s">
        <v>65</v>
      </c>
      <c r="G21" s="30">
        <f>NPV(C19,E12:E16)+E11</f>
        <v>1672239.8131200001</v>
      </c>
      <c r="H21" s="31"/>
      <c r="I21" s="31"/>
      <c r="J21" s="31"/>
    </row>
    <row r="22" spans="1:13">
      <c r="F22" s="29" t="s">
        <v>66</v>
      </c>
      <c r="G22" s="69">
        <f>IRR(E11:E16)</f>
        <v>2.022716838054524</v>
      </c>
      <c r="H22" s="32">
        <f>G22</f>
        <v>2.022716838054524</v>
      </c>
      <c r="I22" s="31"/>
      <c r="J22" s="31"/>
      <c r="M22" s="64"/>
    </row>
    <row r="23" spans="1:13">
      <c r="A23" s="45"/>
    </row>
    <row r="24" spans="1:13">
      <c r="G24" s="33"/>
    </row>
  </sheetData>
  <mergeCells count="4">
    <mergeCell ref="A2:J2"/>
    <mergeCell ref="F9:G9"/>
    <mergeCell ref="H9:J9"/>
    <mergeCell ref="C6:E6"/>
  </mergeCells>
  <phoneticPr fontId="0" type="noConversion"/>
  <pageMargins left="0.78740157499999996" right="0.78740157499999996" top="0.984251969" bottom="0.984251969" header="0.49212598499999999" footer="0.49212598499999999"/>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3"/>
  <sheetViews>
    <sheetView zoomScaleNormal="100" workbookViewId="0" xr3:uid="{F9CF3CF3-643B-5BE6-8B46-32C596A47465}">
      <selection activeCell="C3" sqref="C3"/>
    </sheetView>
  </sheetViews>
  <sheetFormatPr defaultColWidth="4" defaultRowHeight="12.75"/>
  <cols>
    <col min="1" max="1" width="24.7109375" bestFit="1" customWidth="1"/>
    <col min="2" max="3" width="32.42578125" customWidth="1"/>
    <col min="4" max="5" width="21.5703125" bestFit="1" customWidth="1"/>
    <col min="6" max="6" width="22.85546875" bestFit="1" customWidth="1"/>
    <col min="7" max="7" width="22.5703125" bestFit="1" customWidth="1"/>
    <col min="8" max="8" width="23.28515625" bestFit="1" customWidth="1"/>
    <col min="9" max="9" width="27.85546875" customWidth="1"/>
  </cols>
  <sheetData>
    <row r="1" spans="1:9" ht="20.25">
      <c r="A1" s="53" t="s">
        <v>67</v>
      </c>
      <c r="B1" s="53" t="s">
        <v>68</v>
      </c>
      <c r="C1" s="56" t="s">
        <v>69</v>
      </c>
      <c r="D1" s="54" t="s">
        <v>70</v>
      </c>
      <c r="E1" s="54" t="s">
        <v>71</v>
      </c>
      <c r="F1" s="54" t="s">
        <v>72</v>
      </c>
      <c r="G1" s="54" t="s">
        <v>73</v>
      </c>
      <c r="H1" s="54" t="s">
        <v>74</v>
      </c>
    </row>
    <row r="2" spans="1:9" ht="15">
      <c r="A2" s="45" t="s">
        <v>75</v>
      </c>
      <c r="B2" s="45" t="s">
        <v>76</v>
      </c>
      <c r="C2" s="57">
        <f t="shared" ref="C2:H2" si="0">$B$14*C14</f>
        <v>20000</v>
      </c>
      <c r="D2" s="57">
        <f t="shared" si="0"/>
        <v>100000</v>
      </c>
      <c r="E2" s="57">
        <f t="shared" si="0"/>
        <v>200000</v>
      </c>
      <c r="F2" s="57">
        <f t="shared" si="0"/>
        <v>300000</v>
      </c>
      <c r="G2" s="57">
        <f t="shared" si="0"/>
        <v>400000</v>
      </c>
      <c r="H2" s="57">
        <f t="shared" si="0"/>
        <v>500000</v>
      </c>
    </row>
    <row r="3" spans="1:9" ht="15">
      <c r="A3" s="45" t="s">
        <v>77</v>
      </c>
      <c r="B3" s="45" t="s">
        <v>78</v>
      </c>
      <c r="C3" s="57">
        <f t="shared" ref="C3:H3" si="1">$B$15*C15</f>
        <v>50000</v>
      </c>
      <c r="D3" s="57">
        <f t="shared" si="1"/>
        <v>250000</v>
      </c>
      <c r="E3" s="57">
        <f t="shared" si="1"/>
        <v>500000</v>
      </c>
      <c r="F3" s="57">
        <f t="shared" si="1"/>
        <v>750000</v>
      </c>
      <c r="G3" s="57">
        <f t="shared" si="1"/>
        <v>1000000</v>
      </c>
      <c r="H3" s="57">
        <f t="shared" si="1"/>
        <v>1250000</v>
      </c>
    </row>
    <row r="4" spans="1:9" ht="15">
      <c r="A4" s="45" t="s">
        <v>79</v>
      </c>
      <c r="B4" s="45" t="s">
        <v>80</v>
      </c>
      <c r="C4" s="57">
        <f>C3*C16</f>
        <v>10000</v>
      </c>
      <c r="D4" s="57">
        <f>(C3+D3)*D16</f>
        <v>60000</v>
      </c>
      <c r="E4" s="57">
        <f>(C3+D3+E3)*E16</f>
        <v>160000</v>
      </c>
      <c r="F4" s="57">
        <f>(C3+D3+E3+F3)*F16</f>
        <v>310000</v>
      </c>
      <c r="G4" s="57">
        <f>(C3+D3+E3+F3+G3)*G16</f>
        <v>510000</v>
      </c>
      <c r="H4" s="57">
        <f>(C3+D3+E3+F3+G3+H3)*H16</f>
        <v>760000</v>
      </c>
    </row>
    <row r="5" spans="1:9">
      <c r="A5" s="58"/>
      <c r="B5" s="58"/>
      <c r="C5" s="65"/>
      <c r="D5" s="65"/>
      <c r="E5" s="65"/>
      <c r="F5" s="65"/>
      <c r="G5" s="65"/>
      <c r="H5" s="65"/>
    </row>
    <row r="6" spans="1:9">
      <c r="A6" s="59" t="s">
        <v>81</v>
      </c>
      <c r="B6" s="59" t="s">
        <v>82</v>
      </c>
      <c r="C6" s="66">
        <f t="shared" ref="C6:H6" si="2">SUM(C2:C4)</f>
        <v>80000</v>
      </c>
      <c r="D6" s="66">
        <f t="shared" si="2"/>
        <v>410000</v>
      </c>
      <c r="E6" s="66">
        <f t="shared" si="2"/>
        <v>860000</v>
      </c>
      <c r="F6" s="66">
        <f t="shared" si="2"/>
        <v>1360000</v>
      </c>
      <c r="G6" s="66">
        <f t="shared" si="2"/>
        <v>1910000</v>
      </c>
      <c r="H6" s="66">
        <f t="shared" si="2"/>
        <v>2510000</v>
      </c>
      <c r="I6" s="45"/>
    </row>
    <row r="7" spans="1:9">
      <c r="A7" s="62" t="s">
        <v>83</v>
      </c>
      <c r="B7" s="67" t="s">
        <v>84</v>
      </c>
      <c r="C7" s="63">
        <f t="shared" ref="C7:H7" si="3">SUM(C8:C10)</f>
        <v>6920</v>
      </c>
      <c r="D7" s="63">
        <f t="shared" si="3"/>
        <v>35465</v>
      </c>
      <c r="E7" s="63">
        <f t="shared" si="3"/>
        <v>74390</v>
      </c>
      <c r="F7" s="63">
        <f t="shared" si="3"/>
        <v>117639.99999999999</v>
      </c>
      <c r="G7" s="63">
        <f t="shared" si="3"/>
        <v>165215</v>
      </c>
      <c r="H7" s="63">
        <f t="shared" si="3"/>
        <v>217115</v>
      </c>
      <c r="I7" s="45"/>
    </row>
    <row r="8" spans="1:9">
      <c r="A8" s="60" t="s">
        <v>75</v>
      </c>
      <c r="B8" s="61">
        <v>8.6499999999999994E-2</v>
      </c>
      <c r="C8" s="77">
        <f t="shared" ref="C8:H8" si="4">C2*$B$8</f>
        <v>1729.9999999999998</v>
      </c>
      <c r="D8" s="77">
        <f t="shared" si="4"/>
        <v>8650</v>
      </c>
      <c r="E8" s="77">
        <f t="shared" si="4"/>
        <v>17300</v>
      </c>
      <c r="F8" s="77">
        <f t="shared" si="4"/>
        <v>25949.999999999996</v>
      </c>
      <c r="G8" s="77">
        <f t="shared" si="4"/>
        <v>34600</v>
      </c>
      <c r="H8" s="77">
        <f t="shared" si="4"/>
        <v>43250</v>
      </c>
      <c r="I8" s="45"/>
    </row>
    <row r="9" spans="1:9">
      <c r="A9" s="60" t="s">
        <v>77</v>
      </c>
      <c r="B9" s="61">
        <v>8.6499999999999994E-2</v>
      </c>
      <c r="C9" s="77">
        <f t="shared" ref="C9:H9" si="5">C3*$B$9</f>
        <v>4325</v>
      </c>
      <c r="D9" s="77">
        <f t="shared" si="5"/>
        <v>21625</v>
      </c>
      <c r="E9" s="77">
        <f t="shared" si="5"/>
        <v>43250</v>
      </c>
      <c r="F9" s="77">
        <f t="shared" si="5"/>
        <v>64874.999999999993</v>
      </c>
      <c r="G9" s="77">
        <f t="shared" si="5"/>
        <v>86500</v>
      </c>
      <c r="H9" s="77">
        <f t="shared" si="5"/>
        <v>108124.99999999999</v>
      </c>
      <c r="I9" s="45"/>
    </row>
    <row r="10" spans="1:9" ht="13.5" thickBot="1">
      <c r="A10" s="60" t="s">
        <v>79</v>
      </c>
      <c r="B10" s="61">
        <v>8.6499999999999994E-2</v>
      </c>
      <c r="C10" s="77">
        <f t="shared" ref="C10:H10" si="6">C4*$B$10</f>
        <v>864.99999999999989</v>
      </c>
      <c r="D10" s="77">
        <f t="shared" si="6"/>
        <v>5190</v>
      </c>
      <c r="E10" s="77">
        <f t="shared" si="6"/>
        <v>13839.999999999998</v>
      </c>
      <c r="F10" s="77">
        <f t="shared" si="6"/>
        <v>26814.999999999996</v>
      </c>
      <c r="G10" s="77">
        <f t="shared" si="6"/>
        <v>44115</v>
      </c>
      <c r="H10" s="77">
        <f t="shared" si="6"/>
        <v>65740</v>
      </c>
      <c r="I10" s="45"/>
    </row>
    <row r="11" spans="1:9" ht="13.5" thickBot="1">
      <c r="A11" s="101" t="s">
        <v>85</v>
      </c>
      <c r="B11" s="102"/>
      <c r="C11" s="68">
        <f t="shared" ref="C11:H11" si="7">C6-C7</f>
        <v>73080</v>
      </c>
      <c r="D11" s="68">
        <f t="shared" si="7"/>
        <v>374535</v>
      </c>
      <c r="E11" s="68">
        <f t="shared" si="7"/>
        <v>785610</v>
      </c>
      <c r="F11" s="68">
        <f t="shared" si="7"/>
        <v>1242360</v>
      </c>
      <c r="G11" s="68">
        <f t="shared" si="7"/>
        <v>1744785</v>
      </c>
      <c r="H11" s="68">
        <f t="shared" si="7"/>
        <v>2292885</v>
      </c>
    </row>
    <row r="13" spans="1:9">
      <c r="A13" s="2" t="s">
        <v>86</v>
      </c>
      <c r="D13" s="47"/>
    </row>
    <row r="14" spans="1:9">
      <c r="A14" t="s">
        <v>87</v>
      </c>
      <c r="B14">
        <v>10000</v>
      </c>
      <c r="C14">
        <v>2</v>
      </c>
      <c r="D14">
        <v>10</v>
      </c>
      <c r="E14">
        <v>20</v>
      </c>
      <c r="F14">
        <v>30</v>
      </c>
      <c r="G14">
        <v>40</v>
      </c>
      <c r="H14">
        <v>50</v>
      </c>
    </row>
    <row r="15" spans="1:9">
      <c r="A15" t="s">
        <v>88</v>
      </c>
      <c r="B15">
        <v>5000</v>
      </c>
      <c r="C15">
        <v>10</v>
      </c>
      <c r="D15">
        <v>50</v>
      </c>
      <c r="E15">
        <v>100</v>
      </c>
      <c r="F15">
        <v>150</v>
      </c>
      <c r="G15">
        <v>200</v>
      </c>
      <c r="H15">
        <v>250</v>
      </c>
    </row>
    <row r="16" spans="1:9">
      <c r="A16" s="45" t="s">
        <v>89</v>
      </c>
      <c r="B16" s="55">
        <v>0.2</v>
      </c>
      <c r="C16" s="55">
        <f>B16</f>
        <v>0.2</v>
      </c>
      <c r="D16" s="55">
        <f>$B$16</f>
        <v>0.2</v>
      </c>
      <c r="E16" s="55">
        <f>$B$16</f>
        <v>0.2</v>
      </c>
      <c r="F16" s="55">
        <f>$B$16</f>
        <v>0.2</v>
      </c>
      <c r="G16" s="55">
        <f>$B$16</f>
        <v>0.2</v>
      </c>
      <c r="H16" s="55">
        <f>$B$16</f>
        <v>0.2</v>
      </c>
    </row>
    <row r="19" spans="5:6">
      <c r="F19" s="45"/>
    </row>
    <row r="20" spans="5:6">
      <c r="F20" s="46"/>
    </row>
    <row r="23" spans="5:6">
      <c r="E23" s="45"/>
    </row>
  </sheetData>
  <mergeCells count="1">
    <mergeCell ref="A11:B11"/>
  </mergeCells>
  <phoneticPr fontId="2" type="noConversion"/>
  <pageMargins left="0.511811024" right="0.511811024" top="0.78740157499999996" bottom="0.78740157499999996" header="0.31496062000000002" footer="0.31496062000000002"/>
  <pageSetup paperSize="9" scale="55" orientation="landscape" r:id="rId1"/>
</worksheet>
</file>

<file path=docProps/app.xml><?xml version="1.0" encoding="utf-8"?>
<Properties xmlns="http://schemas.openxmlformats.org/officeDocument/2006/extended-properties" xmlns:vt="http://schemas.openxmlformats.org/officeDocument/2006/docPropsVTypes">
  <Application>Microsoft Excel Online</Application>
  <Manager>Ricardo</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Ricardo</dc:creator>
  <cp:keywords/>
  <dc:description/>
  <cp:lastModifiedBy>Jorge Tadeu</cp:lastModifiedBy>
  <cp:revision/>
  <dcterms:created xsi:type="dcterms:W3CDTF">2007-08-03T10:37:19Z</dcterms:created>
  <dcterms:modified xsi:type="dcterms:W3CDTF">2016-09-27T21:57:58Z</dcterms:modified>
  <cp:category/>
  <cp:contentStatus/>
</cp:coreProperties>
</file>