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comments1.xml" ContentType="application/vnd.openxmlformats-officedocument.spreadsheetml.comments+xml"/>
  <Override PartName="/xl/drawings/drawing17.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drawings/drawing18.xml" ContentType="application/vnd.openxmlformats-officedocument.drawingml.chartshapes+xml"/>
  <Override PartName="/xl/charts/chart28.xml" ContentType="application/vnd.openxmlformats-officedocument.drawingml.chart+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charts/chart34.xml" ContentType="application/vnd.openxmlformats-officedocument.drawingml.chart+xml"/>
  <Override PartName="/xl/charts/chart35.xml" ContentType="application/vnd.openxmlformats-officedocument.drawingml.chart+xml"/>
  <Override PartName="/xl/charts/chart36.xml" ContentType="application/vnd.openxmlformats-officedocument.drawingml.chart+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drawings/drawing1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Mili\Google Drive\ÁREA DE GANADERÍA\Proyectos CG-MTG\Planillas ganaderas CREA\16-17\Planilla en excel\"/>
    </mc:Choice>
  </mc:AlternateContent>
  <bookViews>
    <workbookView xWindow="120" yWindow="480" windowWidth="10860" windowHeight="7670" activeTab="1"/>
  </bookViews>
  <sheets>
    <sheet name="INICIO" sheetId="13" r:id="rId1"/>
    <sheet name="1" sheetId="1" r:id="rId2"/>
    <sheet name="2" sheetId="42" r:id="rId3"/>
    <sheet name="3" sheetId="43" r:id="rId4"/>
    <sheet name="4" sheetId="44" r:id="rId5"/>
    <sheet name="5" sheetId="45" r:id="rId6"/>
    <sheet name="6" sheetId="46" r:id="rId7"/>
    <sheet name="7" sheetId="47" r:id="rId8"/>
    <sheet name="8" sheetId="48" r:id="rId9"/>
    <sheet name="9" sheetId="49" r:id="rId10"/>
    <sheet name="10" sheetId="50" r:id="rId11"/>
    <sheet name="11" sheetId="51" r:id="rId12"/>
    <sheet name="12" sheetId="52" r:id="rId13"/>
    <sheet name="13" sheetId="53" r:id="rId14"/>
    <sheet name="14" sheetId="54" r:id="rId15"/>
    <sheet name="15" sheetId="55" r:id="rId16"/>
    <sheet name="Consolidado" sheetId="4" r:id="rId17"/>
    <sheet name="Gráficos" sheetId="11" state="hidden" r:id="rId18"/>
    <sheet name="Validaciones" sheetId="2" state="hidden" r:id="rId19"/>
    <sheet name="Normas" sheetId="26" state="hidden" r:id="rId20"/>
  </sheets>
  <definedNames>
    <definedName name="ADPV_RC">INDIRECT(Gráficos!$M$412)</definedName>
    <definedName name="ADPV_RP">INDIRECT(Gráficos!$L$325)</definedName>
    <definedName name="CC">Validaciones!$B$82:$B$85</definedName>
    <definedName name="CORRAL">Gráficos!$A$405:$A$406</definedName>
    <definedName name="Crea">Validaciones!$B$14:$B$30</definedName>
    <definedName name="cruz">Validaciones!$I$4</definedName>
    <definedName name="Destete">Validaciones!$O$18:$O$22</definedName>
    <definedName name="Dieta">Validaciones!$C$82:$C$86</definedName>
    <definedName name="duracion">Validaciones!$V$4:$V$8</definedName>
    <definedName name="Duración_RC">INDIRECT(Gráficos!$M$411)</definedName>
    <definedName name="Duración_RP">INDIRECT(Gráficos!$L$324)</definedName>
    <definedName name="edadservicio">Validaciones!$G$13:$G$17</definedName>
    <definedName name="Eficiencia_RC">INDIRECT(Gráficos!$H$412)</definedName>
    <definedName name="Eficiencia_RP">INDIRECT(Gráficos!$H$325)</definedName>
    <definedName name="fechaservicio">Validaciones!$S$4:$S$15</definedName>
    <definedName name="MH">Validaciones!$B$74:$B$76</definedName>
    <definedName name="modeloproductivo" localSheetId="16">Validaciones!$B$38:$B$51</definedName>
    <definedName name="modeloproductivo">Validaciones!$B$38:$B$51</definedName>
    <definedName name="MP">Validaciones!$B$38:$B$46</definedName>
    <definedName name="paragrafico">INDIRECT(Gráficos!$A$385)</definedName>
    <definedName name="Pasto">Gráficos!$A$294:$A$317</definedName>
    <definedName name="PER">Validaciones!$D$74:$D$78</definedName>
    <definedName name="periodo">Validaciones!$B$5:$B$10</definedName>
    <definedName name="Peso_finalRC">INDIRECT(Gráficos!$A$412)</definedName>
    <definedName name="Peso_finalRP">INDIRECT(Gráficos!$A$325)</definedName>
    <definedName name="Peso_inicialRC">INDIRECT(Gráficos!$A$411)</definedName>
    <definedName name="Peso_inicialRP">INDIRECT(Gráficos!$A$324)</definedName>
    <definedName name="PET">Validaciones!$G$74:$G$80</definedName>
    <definedName name="Producción_RC">INDIRECT(Gráficos!$H$411)</definedName>
    <definedName name="Producción_RP">INDIRECT(Gráficos!$H$324)</definedName>
    <definedName name="PSR">Validaciones!$E$74:$E$77</definedName>
    <definedName name="PST">Validaciones!$H$74:$H$78</definedName>
    <definedName name="region2">Validaciones!$C$14:$C$30</definedName>
    <definedName name="RRFF">Validaciones!$O$4:$O$9</definedName>
    <definedName name="sino">Validaciones!$B$61:$B$62</definedName>
    <definedName name="sino1">Validaciones!$B$61:$B$62</definedName>
    <definedName name="supl">Validaciones!$I$74:$I$78</definedName>
    <definedName name="Suplementacion">Validaciones!$G$4:$G$8</definedName>
  </definedNames>
  <calcPr calcId="152511"/>
</workbook>
</file>

<file path=xl/calcChain.xml><?xml version="1.0" encoding="utf-8"?>
<calcChain xmlns="http://schemas.openxmlformats.org/spreadsheetml/2006/main">
  <c r="BP10" i="4" l="1"/>
  <c r="BO10" i="4"/>
  <c r="BP25" i="4"/>
  <c r="BP21" i="4"/>
  <c r="BP17" i="4"/>
  <c r="BP13" i="4"/>
  <c r="BP24" i="4"/>
  <c r="BP20" i="4"/>
  <c r="BP16" i="4"/>
  <c r="BP12" i="4"/>
  <c r="BP8" i="4"/>
  <c r="BP23" i="4"/>
  <c r="BP19" i="4"/>
  <c r="BP15" i="4"/>
  <c r="BP11" i="4"/>
  <c r="BP22" i="4"/>
  <c r="BP18" i="4"/>
  <c r="BP14" i="4"/>
  <c r="BO25" i="4"/>
  <c r="BO21" i="4"/>
  <c r="BO17" i="4"/>
  <c r="BO13" i="4"/>
  <c r="BO24" i="4"/>
  <c r="BO20" i="4"/>
  <c r="BO16" i="4"/>
  <c r="BO12" i="4"/>
  <c r="BO8" i="4"/>
  <c r="BO23" i="4"/>
  <c r="BO19" i="4"/>
  <c r="BO15" i="4"/>
  <c r="BO11" i="4"/>
  <c r="BO22" i="4"/>
  <c r="BO18" i="4"/>
  <c r="BO14" i="4"/>
  <c r="BP2" i="4" l="1"/>
  <c r="BP9" i="4"/>
  <c r="BO2" i="4"/>
  <c r="BO9" i="4"/>
  <c r="C25" i="4"/>
  <c r="C24" i="4"/>
  <c r="C23" i="4"/>
  <c r="C22" i="4"/>
  <c r="C21" i="4"/>
  <c r="C20" i="4"/>
  <c r="C19" i="4"/>
  <c r="C18" i="4"/>
  <c r="C17" i="4"/>
  <c r="C16" i="4"/>
  <c r="L135" i="55"/>
  <c r="H135" i="55"/>
  <c r="D135" i="55"/>
  <c r="O134" i="55"/>
  <c r="O135" i="55" s="1"/>
  <c r="N134" i="55"/>
  <c r="N135" i="55" s="1"/>
  <c r="M134" i="55"/>
  <c r="M135" i="55" s="1"/>
  <c r="L134" i="55"/>
  <c r="K134" i="55"/>
  <c r="K135" i="55" s="1"/>
  <c r="J134" i="55"/>
  <c r="J135" i="55" s="1"/>
  <c r="I134" i="55"/>
  <c r="I135" i="55" s="1"/>
  <c r="H134" i="55"/>
  <c r="G134" i="55"/>
  <c r="G135" i="55" s="1"/>
  <c r="F134" i="55"/>
  <c r="F135" i="55" s="1"/>
  <c r="E134" i="55"/>
  <c r="E135" i="55" s="1"/>
  <c r="D134" i="55"/>
  <c r="C134" i="55"/>
  <c r="C135" i="55" s="1"/>
  <c r="B134" i="55"/>
  <c r="B135" i="55" s="1"/>
  <c r="E121" i="55"/>
  <c r="J120" i="55"/>
  <c r="J121" i="55" s="1"/>
  <c r="E120" i="55"/>
  <c r="J101" i="55"/>
  <c r="E101" i="55"/>
  <c r="J75" i="55"/>
  <c r="E75" i="55"/>
  <c r="J74" i="55"/>
  <c r="E74" i="55"/>
  <c r="J73" i="55"/>
  <c r="E73" i="55"/>
  <c r="G53" i="55"/>
  <c r="E49" i="55"/>
  <c r="H37" i="55"/>
  <c r="I37" i="55" s="1"/>
  <c r="J31" i="55"/>
  <c r="J30" i="55"/>
  <c r="J28" i="55"/>
  <c r="K16" i="55"/>
  <c r="I16" i="55"/>
  <c r="L15" i="55"/>
  <c r="K14" i="55"/>
  <c r="I14" i="55"/>
  <c r="L13" i="55"/>
  <c r="K12" i="55"/>
  <c r="I12" i="55"/>
  <c r="L11" i="55"/>
  <c r="J19" i="55" s="1"/>
  <c r="A3" i="55"/>
  <c r="A4" i="55" s="1"/>
  <c r="A5" i="55" s="1"/>
  <c r="A6" i="55" s="1"/>
  <c r="A7" i="55" s="1"/>
  <c r="A8" i="55" s="1"/>
  <c r="A9" i="55" s="1"/>
  <c r="A10" i="55" s="1"/>
  <c r="A11" i="55" s="1"/>
  <c r="A12" i="55" s="1"/>
  <c r="A13" i="55" s="1"/>
  <c r="A14" i="55" s="1"/>
  <c r="A15" i="55" s="1"/>
  <c r="A16" i="55" s="1"/>
  <c r="A17" i="55" s="1"/>
  <c r="A18" i="55" s="1"/>
  <c r="A19" i="55" s="1"/>
  <c r="A20" i="55" s="1"/>
  <c r="A21" i="55" s="1"/>
  <c r="A22" i="55" s="1"/>
  <c r="A23" i="55" s="1"/>
  <c r="A24" i="55" s="1"/>
  <c r="A25" i="55" s="1"/>
  <c r="A26" i="55" s="1"/>
  <c r="A27" i="55" s="1"/>
  <c r="A28" i="55" s="1"/>
  <c r="A29" i="55" s="1"/>
  <c r="A30" i="55" s="1"/>
  <c r="A31" i="55" s="1"/>
  <c r="A32" i="55" s="1"/>
  <c r="A33" i="55" s="1"/>
  <c r="A34" i="55" s="1"/>
  <c r="A35" i="55" s="1"/>
  <c r="A36" i="55" s="1"/>
  <c r="A37" i="55" s="1"/>
  <c r="A38" i="55" s="1"/>
  <c r="A39" i="55" s="1"/>
  <c r="A40" i="55" s="1"/>
  <c r="A41" i="55" s="1"/>
  <c r="A42" i="55" s="1"/>
  <c r="A43" i="55" s="1"/>
  <c r="A44" i="55" s="1"/>
  <c r="A45" i="55" s="1"/>
  <c r="A46" i="55" s="1"/>
  <c r="A47" i="55" s="1"/>
  <c r="A48" i="55" s="1"/>
  <c r="A49" i="55" s="1"/>
  <c r="A50" i="55" s="1"/>
  <c r="A51" i="55" s="1"/>
  <c r="A52" i="55" s="1"/>
  <c r="A53" i="55" s="1"/>
  <c r="A54" i="55" s="1"/>
  <c r="A55" i="55" s="1"/>
  <c r="A56" i="55" s="1"/>
  <c r="A57" i="55" s="1"/>
  <c r="A58" i="55" s="1"/>
  <c r="A59" i="55" s="1"/>
  <c r="A60" i="55" s="1"/>
  <c r="A61" i="55" s="1"/>
  <c r="A62" i="55" s="1"/>
  <c r="A63" i="55" s="1"/>
  <c r="A64" i="55" s="1"/>
  <c r="A65" i="55" s="1"/>
  <c r="A66" i="55" s="1"/>
  <c r="A67" i="55" s="1"/>
  <c r="A68" i="55" s="1"/>
  <c r="A69" i="55" s="1"/>
  <c r="A70" i="55" s="1"/>
  <c r="A71" i="55" s="1"/>
  <c r="A72" i="55" s="1"/>
  <c r="A73" i="55" s="1"/>
  <c r="A74" i="55" s="1"/>
  <c r="A75" i="55" s="1"/>
  <c r="A76" i="55" s="1"/>
  <c r="A77" i="55" s="1"/>
  <c r="A78" i="55" s="1"/>
  <c r="A79" i="55" s="1"/>
  <c r="A80" i="55" s="1"/>
  <c r="A81" i="55" s="1"/>
  <c r="A82" i="55" s="1"/>
  <c r="A83" i="55" s="1"/>
  <c r="A84" i="55" s="1"/>
  <c r="A85" i="55" s="1"/>
  <c r="A86" i="55" s="1"/>
  <c r="A87" i="55" s="1"/>
  <c r="A88" i="55" s="1"/>
  <c r="A89" i="55" s="1"/>
  <c r="A90" i="55" s="1"/>
  <c r="A91" i="55" s="1"/>
  <c r="A92" i="55" s="1"/>
  <c r="A93" i="55" s="1"/>
  <c r="A94" i="55" s="1"/>
  <c r="A95" i="55" s="1"/>
  <c r="A96" i="55" s="1"/>
  <c r="A97" i="55" s="1"/>
  <c r="A98" i="55" s="1"/>
  <c r="A99" i="55" s="1"/>
  <c r="A100" i="55" s="1"/>
  <c r="A101" i="55" s="1"/>
  <c r="A102" i="55" s="1"/>
  <c r="A103" i="55" s="1"/>
  <c r="A104" i="55" s="1"/>
  <c r="A105" i="55" s="1"/>
  <c r="A106" i="55" s="1"/>
  <c r="A107" i="55" s="1"/>
  <c r="A108" i="55" s="1"/>
  <c r="A109" i="55" s="1"/>
  <c r="A110" i="55" s="1"/>
  <c r="A111" i="55" s="1"/>
  <c r="A112" i="55" s="1"/>
  <c r="A113" i="55" s="1"/>
  <c r="A114" i="55" s="1"/>
  <c r="A115" i="55" s="1"/>
  <c r="A116" i="55" s="1"/>
  <c r="A117" i="55" s="1"/>
  <c r="A118" i="55" s="1"/>
  <c r="A119" i="55" s="1"/>
  <c r="A120" i="55" s="1"/>
  <c r="A121" i="55" s="1"/>
  <c r="A122" i="55" s="1"/>
  <c r="A123" i="55" s="1"/>
  <c r="A124" i="55" s="1"/>
  <c r="A125" i="55" s="1"/>
  <c r="A126" i="55" s="1"/>
  <c r="A127" i="55" s="1"/>
  <c r="A128" i="55" s="1"/>
  <c r="A129" i="55" s="1"/>
  <c r="A130" i="55" s="1"/>
  <c r="A131" i="55" s="1"/>
  <c r="A132" i="55" s="1"/>
  <c r="A133" i="55" s="1"/>
  <c r="A134" i="55" s="1"/>
  <c r="A135" i="55" s="1"/>
  <c r="A2" i="55"/>
  <c r="B1" i="55"/>
  <c r="C1" i="55" s="1"/>
  <c r="D1" i="55" s="1"/>
  <c r="E1" i="55" s="1"/>
  <c r="F1" i="55" s="1"/>
  <c r="G1" i="55" s="1"/>
  <c r="H1" i="55" s="1"/>
  <c r="I1" i="55" s="1"/>
  <c r="J1" i="55" s="1"/>
  <c r="K1" i="55" s="1"/>
  <c r="L1" i="55" s="1"/>
  <c r="M1" i="55" s="1"/>
  <c r="N1" i="55" s="1"/>
  <c r="O1" i="55" s="1"/>
  <c r="P1" i="55" s="1"/>
  <c r="O135" i="54"/>
  <c r="N135" i="54"/>
  <c r="M135" i="54"/>
  <c r="L135" i="54"/>
  <c r="K135" i="54"/>
  <c r="J135" i="54"/>
  <c r="I135" i="54"/>
  <c r="H135" i="54"/>
  <c r="G135" i="54"/>
  <c r="F135" i="54"/>
  <c r="E135" i="54"/>
  <c r="D135" i="54"/>
  <c r="C135" i="54"/>
  <c r="B135" i="54"/>
  <c r="O134" i="54"/>
  <c r="N134" i="54"/>
  <c r="M134" i="54"/>
  <c r="L134" i="54"/>
  <c r="K134" i="54"/>
  <c r="J134" i="54"/>
  <c r="I134" i="54"/>
  <c r="H134" i="54"/>
  <c r="G134" i="54"/>
  <c r="F134" i="54"/>
  <c r="E134" i="54"/>
  <c r="D134" i="54"/>
  <c r="C134" i="54"/>
  <c r="B134" i="54"/>
  <c r="J121" i="54"/>
  <c r="E121" i="54"/>
  <c r="J120" i="54"/>
  <c r="E120" i="54"/>
  <c r="J101" i="54"/>
  <c r="E101" i="54"/>
  <c r="J75" i="54"/>
  <c r="E75" i="54"/>
  <c r="J74" i="54"/>
  <c r="E74" i="54"/>
  <c r="J73" i="54"/>
  <c r="E73" i="54"/>
  <c r="G53" i="54"/>
  <c r="E49" i="54"/>
  <c r="I37" i="54"/>
  <c r="H37" i="54"/>
  <c r="J31" i="54"/>
  <c r="J30" i="54"/>
  <c r="J28" i="54"/>
  <c r="J19" i="54"/>
  <c r="J29" i="54" s="1"/>
  <c r="K16" i="54"/>
  <c r="I16" i="54"/>
  <c r="L15" i="54"/>
  <c r="K14" i="54"/>
  <c r="I14" i="54"/>
  <c r="L13" i="54"/>
  <c r="K12" i="54"/>
  <c r="I12" i="54"/>
  <c r="L11" i="54"/>
  <c r="A3" i="54"/>
  <c r="A4" i="54" s="1"/>
  <c r="A5" i="54" s="1"/>
  <c r="A6" i="54" s="1"/>
  <c r="A7" i="54" s="1"/>
  <c r="A8" i="54" s="1"/>
  <c r="A9" i="54" s="1"/>
  <c r="A10" i="54" s="1"/>
  <c r="A11" i="54" s="1"/>
  <c r="A12" i="54" s="1"/>
  <c r="A13" i="54" s="1"/>
  <c r="A14" i="54" s="1"/>
  <c r="A15" i="54" s="1"/>
  <c r="A16" i="54" s="1"/>
  <c r="A17" i="54" s="1"/>
  <c r="A18" i="54" s="1"/>
  <c r="A19" i="54" s="1"/>
  <c r="A20" i="54" s="1"/>
  <c r="A21" i="54" s="1"/>
  <c r="A22" i="54" s="1"/>
  <c r="A23" i="54" s="1"/>
  <c r="A24" i="54" s="1"/>
  <c r="A25" i="54" s="1"/>
  <c r="A26" i="54" s="1"/>
  <c r="A27" i="54" s="1"/>
  <c r="A28" i="54" s="1"/>
  <c r="A29" i="54" s="1"/>
  <c r="A30" i="54" s="1"/>
  <c r="A31" i="54" s="1"/>
  <c r="A32" i="54" s="1"/>
  <c r="A33" i="54" s="1"/>
  <c r="A34" i="54" s="1"/>
  <c r="A35" i="54" s="1"/>
  <c r="A36" i="54" s="1"/>
  <c r="A37" i="54" s="1"/>
  <c r="A38" i="54" s="1"/>
  <c r="A39" i="54" s="1"/>
  <c r="A40" i="54" s="1"/>
  <c r="A41" i="54" s="1"/>
  <c r="A42" i="54" s="1"/>
  <c r="A43" i="54" s="1"/>
  <c r="A44" i="54" s="1"/>
  <c r="A45" i="54" s="1"/>
  <c r="A46" i="54" s="1"/>
  <c r="A47" i="54" s="1"/>
  <c r="A48" i="54" s="1"/>
  <c r="A49" i="54" s="1"/>
  <c r="A50" i="54" s="1"/>
  <c r="A51" i="54" s="1"/>
  <c r="A52" i="54" s="1"/>
  <c r="A53" i="54" s="1"/>
  <c r="A54" i="54" s="1"/>
  <c r="A55" i="54" s="1"/>
  <c r="A56" i="54" s="1"/>
  <c r="A57" i="54" s="1"/>
  <c r="A58" i="54" s="1"/>
  <c r="A59" i="54" s="1"/>
  <c r="A60" i="54" s="1"/>
  <c r="A61" i="54" s="1"/>
  <c r="A62" i="54" s="1"/>
  <c r="A63" i="54" s="1"/>
  <c r="A64" i="54" s="1"/>
  <c r="A65" i="54" s="1"/>
  <c r="A66" i="54" s="1"/>
  <c r="A67" i="54" s="1"/>
  <c r="A68" i="54" s="1"/>
  <c r="A69" i="54" s="1"/>
  <c r="A70" i="54" s="1"/>
  <c r="A71" i="54" s="1"/>
  <c r="A72" i="54" s="1"/>
  <c r="A73" i="54" s="1"/>
  <c r="A74" i="54" s="1"/>
  <c r="A75" i="54" s="1"/>
  <c r="A76" i="54" s="1"/>
  <c r="A77" i="54" s="1"/>
  <c r="A78" i="54" s="1"/>
  <c r="A79" i="54" s="1"/>
  <c r="A80" i="54" s="1"/>
  <c r="A81" i="54" s="1"/>
  <c r="A82" i="54" s="1"/>
  <c r="A83" i="54" s="1"/>
  <c r="A84" i="54" s="1"/>
  <c r="A85" i="54" s="1"/>
  <c r="A86" i="54" s="1"/>
  <c r="A87" i="54" s="1"/>
  <c r="A88" i="54" s="1"/>
  <c r="A89" i="54" s="1"/>
  <c r="A90" i="54" s="1"/>
  <c r="A91" i="54" s="1"/>
  <c r="A92" i="54" s="1"/>
  <c r="A93" i="54" s="1"/>
  <c r="A94" i="54" s="1"/>
  <c r="A95" i="54" s="1"/>
  <c r="A96" i="54" s="1"/>
  <c r="A97" i="54" s="1"/>
  <c r="A98" i="54" s="1"/>
  <c r="A99" i="54" s="1"/>
  <c r="A100" i="54" s="1"/>
  <c r="A101" i="54" s="1"/>
  <c r="A102" i="54" s="1"/>
  <c r="A103" i="54" s="1"/>
  <c r="A104" i="54" s="1"/>
  <c r="A105" i="54" s="1"/>
  <c r="A106" i="54" s="1"/>
  <c r="A107" i="54" s="1"/>
  <c r="A108" i="54" s="1"/>
  <c r="A109" i="54" s="1"/>
  <c r="A110" i="54" s="1"/>
  <c r="A111" i="54" s="1"/>
  <c r="A112" i="54" s="1"/>
  <c r="A113" i="54" s="1"/>
  <c r="A114" i="54" s="1"/>
  <c r="A115" i="54" s="1"/>
  <c r="A116" i="54" s="1"/>
  <c r="A117" i="54" s="1"/>
  <c r="A118" i="54" s="1"/>
  <c r="A119" i="54" s="1"/>
  <c r="A120" i="54" s="1"/>
  <c r="A121" i="54" s="1"/>
  <c r="A122" i="54" s="1"/>
  <c r="A123" i="54" s="1"/>
  <c r="A124" i="54" s="1"/>
  <c r="A125" i="54" s="1"/>
  <c r="A126" i="54" s="1"/>
  <c r="A127" i="54" s="1"/>
  <c r="A128" i="54" s="1"/>
  <c r="A129" i="54" s="1"/>
  <c r="A130" i="54" s="1"/>
  <c r="A131" i="54" s="1"/>
  <c r="A132" i="54" s="1"/>
  <c r="A133" i="54" s="1"/>
  <c r="A134" i="54" s="1"/>
  <c r="A135" i="54" s="1"/>
  <c r="A2" i="54"/>
  <c r="F1" i="54"/>
  <c r="G1" i="54" s="1"/>
  <c r="H1" i="54" s="1"/>
  <c r="I1" i="54" s="1"/>
  <c r="J1" i="54" s="1"/>
  <c r="K1" i="54" s="1"/>
  <c r="L1" i="54" s="1"/>
  <c r="M1" i="54" s="1"/>
  <c r="N1" i="54" s="1"/>
  <c r="O1" i="54" s="1"/>
  <c r="P1" i="54" s="1"/>
  <c r="E1" i="54"/>
  <c r="D1" i="54"/>
  <c r="C1" i="54"/>
  <c r="B1" i="54"/>
  <c r="O135" i="53"/>
  <c r="N135" i="53"/>
  <c r="M135" i="53"/>
  <c r="L135" i="53"/>
  <c r="K135" i="53"/>
  <c r="J135" i="53"/>
  <c r="I135" i="53"/>
  <c r="H135" i="53"/>
  <c r="G135" i="53"/>
  <c r="F135" i="53"/>
  <c r="E135" i="53"/>
  <c r="D135" i="53"/>
  <c r="C135" i="53"/>
  <c r="B135" i="53"/>
  <c r="O134" i="53"/>
  <c r="N134" i="53"/>
  <c r="M134" i="53"/>
  <c r="L134" i="53"/>
  <c r="K134" i="53"/>
  <c r="J134" i="53"/>
  <c r="I134" i="53"/>
  <c r="H134" i="53"/>
  <c r="G134" i="53"/>
  <c r="F134" i="53"/>
  <c r="E134" i="53"/>
  <c r="D134" i="53"/>
  <c r="C134" i="53"/>
  <c r="B134" i="53"/>
  <c r="J121" i="53"/>
  <c r="E121" i="53"/>
  <c r="J120" i="53"/>
  <c r="E120" i="53"/>
  <c r="J101" i="53"/>
  <c r="E101" i="53"/>
  <c r="J75" i="53"/>
  <c r="E75" i="53"/>
  <c r="J74" i="53"/>
  <c r="E74" i="53"/>
  <c r="J73" i="53"/>
  <c r="E73" i="53"/>
  <c r="G53" i="53"/>
  <c r="E49" i="53"/>
  <c r="I37" i="53"/>
  <c r="H37" i="53"/>
  <c r="J31" i="53"/>
  <c r="J30" i="53"/>
  <c r="J28" i="53"/>
  <c r="J19" i="53"/>
  <c r="J29" i="53" s="1"/>
  <c r="K16" i="53"/>
  <c r="I16" i="53"/>
  <c r="L15" i="53"/>
  <c r="K14" i="53"/>
  <c r="I14" i="53"/>
  <c r="L13" i="53"/>
  <c r="K12" i="53"/>
  <c r="I12" i="53"/>
  <c r="L11" i="53"/>
  <c r="A3" i="53"/>
  <c r="A4" i="53" s="1"/>
  <c r="A5" i="53" s="1"/>
  <c r="A6" i="53" s="1"/>
  <c r="A7" i="53" s="1"/>
  <c r="A8" i="53" s="1"/>
  <c r="A9" i="53" s="1"/>
  <c r="A10" i="53" s="1"/>
  <c r="A11" i="53" s="1"/>
  <c r="A12" i="53" s="1"/>
  <c r="A13" i="53" s="1"/>
  <c r="A14" i="53" s="1"/>
  <c r="A15" i="53" s="1"/>
  <c r="A16" i="53" s="1"/>
  <c r="A17" i="53" s="1"/>
  <c r="A18" i="53" s="1"/>
  <c r="A19" i="53" s="1"/>
  <c r="A20" i="53" s="1"/>
  <c r="A21" i="53" s="1"/>
  <c r="A22" i="53" s="1"/>
  <c r="A23" i="53" s="1"/>
  <c r="A24" i="53" s="1"/>
  <c r="A25" i="53" s="1"/>
  <c r="A26" i="53" s="1"/>
  <c r="A27" i="53" s="1"/>
  <c r="A28" i="53" s="1"/>
  <c r="A29" i="53" s="1"/>
  <c r="A30" i="53" s="1"/>
  <c r="A31" i="53" s="1"/>
  <c r="A32" i="53" s="1"/>
  <c r="A33" i="53" s="1"/>
  <c r="A34" i="53" s="1"/>
  <c r="A35" i="53" s="1"/>
  <c r="A36" i="53" s="1"/>
  <c r="A37" i="53" s="1"/>
  <c r="A38" i="53" s="1"/>
  <c r="A39" i="53" s="1"/>
  <c r="A40" i="53" s="1"/>
  <c r="A41" i="53" s="1"/>
  <c r="A42" i="53" s="1"/>
  <c r="A43" i="53" s="1"/>
  <c r="A44" i="53" s="1"/>
  <c r="A45" i="53" s="1"/>
  <c r="A46" i="53" s="1"/>
  <c r="A47" i="53" s="1"/>
  <c r="A48" i="53" s="1"/>
  <c r="A49" i="53" s="1"/>
  <c r="A50" i="53" s="1"/>
  <c r="A51" i="53" s="1"/>
  <c r="A52" i="53" s="1"/>
  <c r="A53" i="53" s="1"/>
  <c r="A54" i="53" s="1"/>
  <c r="A55" i="53" s="1"/>
  <c r="A56" i="53" s="1"/>
  <c r="A57" i="53" s="1"/>
  <c r="A58" i="53" s="1"/>
  <c r="A59" i="53" s="1"/>
  <c r="A60" i="53" s="1"/>
  <c r="A61" i="53" s="1"/>
  <c r="A62" i="53" s="1"/>
  <c r="A63" i="53" s="1"/>
  <c r="A64" i="53" s="1"/>
  <c r="A65" i="53" s="1"/>
  <c r="A66" i="53" s="1"/>
  <c r="A67" i="53" s="1"/>
  <c r="A68" i="53" s="1"/>
  <c r="A69" i="53" s="1"/>
  <c r="A70" i="53" s="1"/>
  <c r="A71" i="53" s="1"/>
  <c r="A72" i="53" s="1"/>
  <c r="A73" i="53" s="1"/>
  <c r="A74" i="53" s="1"/>
  <c r="A75" i="53" s="1"/>
  <c r="A76" i="53" s="1"/>
  <c r="A77" i="53" s="1"/>
  <c r="A78" i="53" s="1"/>
  <c r="A79" i="53" s="1"/>
  <c r="A80" i="53" s="1"/>
  <c r="A81" i="53" s="1"/>
  <c r="A82" i="53" s="1"/>
  <c r="A83" i="53" s="1"/>
  <c r="A84" i="53" s="1"/>
  <c r="A85" i="53" s="1"/>
  <c r="A86" i="53" s="1"/>
  <c r="A87" i="53" s="1"/>
  <c r="A88" i="53" s="1"/>
  <c r="A89" i="53" s="1"/>
  <c r="A90" i="53" s="1"/>
  <c r="A91" i="53" s="1"/>
  <c r="A92" i="53" s="1"/>
  <c r="A93" i="53" s="1"/>
  <c r="A94" i="53" s="1"/>
  <c r="A95" i="53" s="1"/>
  <c r="A96" i="53" s="1"/>
  <c r="A97" i="53" s="1"/>
  <c r="A98" i="53" s="1"/>
  <c r="A99" i="53" s="1"/>
  <c r="A100" i="53" s="1"/>
  <c r="A101" i="53" s="1"/>
  <c r="A102" i="53" s="1"/>
  <c r="A103" i="53" s="1"/>
  <c r="A104" i="53" s="1"/>
  <c r="A105" i="53" s="1"/>
  <c r="A106" i="53" s="1"/>
  <c r="A107" i="53" s="1"/>
  <c r="A108" i="53" s="1"/>
  <c r="A109" i="53" s="1"/>
  <c r="A110" i="53" s="1"/>
  <c r="A111" i="53" s="1"/>
  <c r="A112" i="53" s="1"/>
  <c r="A113" i="53" s="1"/>
  <c r="A114" i="53" s="1"/>
  <c r="A115" i="53" s="1"/>
  <c r="A116" i="53" s="1"/>
  <c r="A117" i="53" s="1"/>
  <c r="A118" i="53" s="1"/>
  <c r="A119" i="53" s="1"/>
  <c r="A120" i="53" s="1"/>
  <c r="A121" i="53" s="1"/>
  <c r="A122" i="53" s="1"/>
  <c r="A123" i="53" s="1"/>
  <c r="A124" i="53" s="1"/>
  <c r="A125" i="53" s="1"/>
  <c r="A126" i="53" s="1"/>
  <c r="A127" i="53" s="1"/>
  <c r="A128" i="53" s="1"/>
  <c r="A129" i="53" s="1"/>
  <c r="A130" i="53" s="1"/>
  <c r="A131" i="53" s="1"/>
  <c r="A132" i="53" s="1"/>
  <c r="A133" i="53" s="1"/>
  <c r="A134" i="53" s="1"/>
  <c r="A135" i="53" s="1"/>
  <c r="A2" i="53"/>
  <c r="F1" i="53"/>
  <c r="G1" i="53" s="1"/>
  <c r="H1" i="53" s="1"/>
  <c r="I1" i="53" s="1"/>
  <c r="J1" i="53" s="1"/>
  <c r="K1" i="53" s="1"/>
  <c r="L1" i="53" s="1"/>
  <c r="M1" i="53" s="1"/>
  <c r="N1" i="53" s="1"/>
  <c r="O1" i="53" s="1"/>
  <c r="P1" i="53" s="1"/>
  <c r="D1" i="53"/>
  <c r="E1" i="53" s="1"/>
  <c r="C1" i="53"/>
  <c r="B1" i="53"/>
  <c r="L135" i="52"/>
  <c r="H135" i="52"/>
  <c r="D135" i="52"/>
  <c r="O134" i="52"/>
  <c r="O135" i="52" s="1"/>
  <c r="N134" i="52"/>
  <c r="N135" i="52" s="1"/>
  <c r="M134" i="52"/>
  <c r="M135" i="52" s="1"/>
  <c r="L134" i="52"/>
  <c r="K134" i="52"/>
  <c r="K135" i="52" s="1"/>
  <c r="J134" i="52"/>
  <c r="J135" i="52" s="1"/>
  <c r="I134" i="52"/>
  <c r="I135" i="52" s="1"/>
  <c r="H134" i="52"/>
  <c r="G134" i="52"/>
  <c r="G135" i="52" s="1"/>
  <c r="F134" i="52"/>
  <c r="F135" i="52" s="1"/>
  <c r="E134" i="52"/>
  <c r="E135" i="52" s="1"/>
  <c r="D134" i="52"/>
  <c r="C134" i="52"/>
  <c r="C135" i="52" s="1"/>
  <c r="B134" i="52"/>
  <c r="B135" i="52" s="1"/>
  <c r="E121" i="52"/>
  <c r="J120" i="52"/>
  <c r="J121" i="52" s="1"/>
  <c r="E120" i="52"/>
  <c r="J101" i="52"/>
  <c r="E101" i="52"/>
  <c r="J75" i="52"/>
  <c r="E75" i="52"/>
  <c r="J74" i="52"/>
  <c r="E74" i="52"/>
  <c r="J73" i="52"/>
  <c r="E73" i="52"/>
  <c r="G53" i="52"/>
  <c r="E49" i="52"/>
  <c r="H37" i="52"/>
  <c r="I37" i="52" s="1"/>
  <c r="J31" i="52"/>
  <c r="J30" i="52"/>
  <c r="J28" i="52"/>
  <c r="K16" i="52"/>
  <c r="I16" i="52"/>
  <c r="L15" i="52"/>
  <c r="K14" i="52"/>
  <c r="I14" i="52"/>
  <c r="L13" i="52"/>
  <c r="K12" i="52"/>
  <c r="I12" i="52"/>
  <c r="L11" i="52"/>
  <c r="J19" i="52" s="1"/>
  <c r="A8" i="52"/>
  <c r="A9" i="52" s="1"/>
  <c r="A10" i="52" s="1"/>
  <c r="A11" i="52" s="1"/>
  <c r="A12" i="52" s="1"/>
  <c r="A13" i="52" s="1"/>
  <c r="A14" i="52" s="1"/>
  <c r="A15" i="52" s="1"/>
  <c r="A16" i="52" s="1"/>
  <c r="A17" i="52" s="1"/>
  <c r="A18" i="52" s="1"/>
  <c r="A19" i="52" s="1"/>
  <c r="A20" i="52" s="1"/>
  <c r="A21" i="52" s="1"/>
  <c r="A22" i="52" s="1"/>
  <c r="A23" i="52" s="1"/>
  <c r="A24" i="52" s="1"/>
  <c r="A25" i="52" s="1"/>
  <c r="A26" i="52" s="1"/>
  <c r="A27" i="52" s="1"/>
  <c r="A28" i="52" s="1"/>
  <c r="A29" i="52" s="1"/>
  <c r="A30" i="52" s="1"/>
  <c r="A31" i="52" s="1"/>
  <c r="A32" i="52" s="1"/>
  <c r="A33" i="52" s="1"/>
  <c r="A34" i="52" s="1"/>
  <c r="A35" i="52" s="1"/>
  <c r="A36" i="52" s="1"/>
  <c r="A37" i="52" s="1"/>
  <c r="A38" i="52" s="1"/>
  <c r="A39" i="52" s="1"/>
  <c r="A40" i="52" s="1"/>
  <c r="A41" i="52" s="1"/>
  <c r="A42" i="52" s="1"/>
  <c r="A43" i="52" s="1"/>
  <c r="A44" i="52" s="1"/>
  <c r="A45" i="52" s="1"/>
  <c r="A46" i="52" s="1"/>
  <c r="A47" i="52" s="1"/>
  <c r="A48" i="52" s="1"/>
  <c r="A49" i="52" s="1"/>
  <c r="A50" i="52" s="1"/>
  <c r="A51" i="52" s="1"/>
  <c r="A52" i="52" s="1"/>
  <c r="A53" i="52" s="1"/>
  <c r="A54" i="52" s="1"/>
  <c r="A55" i="52" s="1"/>
  <c r="A56" i="52" s="1"/>
  <c r="A57" i="52" s="1"/>
  <c r="A58" i="52" s="1"/>
  <c r="A59" i="52" s="1"/>
  <c r="A60" i="52" s="1"/>
  <c r="A61" i="52" s="1"/>
  <c r="A62" i="52" s="1"/>
  <c r="A63" i="52" s="1"/>
  <c r="A64" i="52" s="1"/>
  <c r="A65" i="52" s="1"/>
  <c r="A66" i="52" s="1"/>
  <c r="A67" i="52" s="1"/>
  <c r="A68" i="52" s="1"/>
  <c r="A69" i="52" s="1"/>
  <c r="A70" i="52" s="1"/>
  <c r="A71" i="52" s="1"/>
  <c r="A72" i="52" s="1"/>
  <c r="A73" i="52" s="1"/>
  <c r="A74" i="52" s="1"/>
  <c r="A75" i="52" s="1"/>
  <c r="A76" i="52" s="1"/>
  <c r="A77" i="52" s="1"/>
  <c r="A78" i="52" s="1"/>
  <c r="A79" i="52" s="1"/>
  <c r="A80" i="52" s="1"/>
  <c r="A81" i="52" s="1"/>
  <c r="A82" i="52" s="1"/>
  <c r="A83" i="52" s="1"/>
  <c r="A84" i="52" s="1"/>
  <c r="A85" i="52" s="1"/>
  <c r="A86" i="52" s="1"/>
  <c r="A87" i="52" s="1"/>
  <c r="A88" i="52" s="1"/>
  <c r="A89" i="52" s="1"/>
  <c r="A90" i="52" s="1"/>
  <c r="A91" i="52" s="1"/>
  <c r="A92" i="52" s="1"/>
  <c r="A93" i="52" s="1"/>
  <c r="A94" i="52" s="1"/>
  <c r="A95" i="52" s="1"/>
  <c r="A96" i="52" s="1"/>
  <c r="A97" i="52" s="1"/>
  <c r="A98" i="52" s="1"/>
  <c r="A99" i="52" s="1"/>
  <c r="A100" i="52" s="1"/>
  <c r="A101" i="52" s="1"/>
  <c r="A102" i="52" s="1"/>
  <c r="A103" i="52" s="1"/>
  <c r="A104" i="52" s="1"/>
  <c r="A105" i="52" s="1"/>
  <c r="A106" i="52" s="1"/>
  <c r="A107" i="52" s="1"/>
  <c r="A108" i="52" s="1"/>
  <c r="A109" i="52" s="1"/>
  <c r="A110" i="52" s="1"/>
  <c r="A111" i="52" s="1"/>
  <c r="A112" i="52" s="1"/>
  <c r="A113" i="52" s="1"/>
  <c r="A114" i="52" s="1"/>
  <c r="A115" i="52" s="1"/>
  <c r="A116" i="52" s="1"/>
  <c r="A117" i="52" s="1"/>
  <c r="A118" i="52" s="1"/>
  <c r="A119" i="52" s="1"/>
  <c r="A120" i="52" s="1"/>
  <c r="A121" i="52" s="1"/>
  <c r="A122" i="52" s="1"/>
  <c r="A123" i="52" s="1"/>
  <c r="A124" i="52" s="1"/>
  <c r="A125" i="52" s="1"/>
  <c r="A126" i="52" s="1"/>
  <c r="A127" i="52" s="1"/>
  <c r="A128" i="52" s="1"/>
  <c r="A129" i="52" s="1"/>
  <c r="A130" i="52" s="1"/>
  <c r="A131" i="52" s="1"/>
  <c r="A132" i="52" s="1"/>
  <c r="A133" i="52" s="1"/>
  <c r="A134" i="52" s="1"/>
  <c r="A135" i="52" s="1"/>
  <c r="A4" i="52"/>
  <c r="A5" i="52" s="1"/>
  <c r="A6" i="52" s="1"/>
  <c r="A7" i="52" s="1"/>
  <c r="A3" i="52"/>
  <c r="A2" i="52"/>
  <c r="O1" i="52"/>
  <c r="P1" i="52" s="1"/>
  <c r="G1" i="52"/>
  <c r="H1" i="52" s="1"/>
  <c r="I1" i="52" s="1"/>
  <c r="J1" i="52" s="1"/>
  <c r="K1" i="52" s="1"/>
  <c r="L1" i="52" s="1"/>
  <c r="M1" i="52" s="1"/>
  <c r="N1" i="52" s="1"/>
  <c r="C1" i="52"/>
  <c r="D1" i="52" s="1"/>
  <c r="E1" i="52" s="1"/>
  <c r="F1" i="52" s="1"/>
  <c r="B1" i="52"/>
  <c r="M135" i="51"/>
  <c r="I135" i="51"/>
  <c r="E135" i="51"/>
  <c r="O134" i="51"/>
  <c r="O135" i="51" s="1"/>
  <c r="N134" i="51"/>
  <c r="N135" i="51" s="1"/>
  <c r="M134" i="51"/>
  <c r="L134" i="51"/>
  <c r="L135" i="51" s="1"/>
  <c r="K134" i="51"/>
  <c r="K135" i="51" s="1"/>
  <c r="J134" i="51"/>
  <c r="J135" i="51" s="1"/>
  <c r="I134" i="51"/>
  <c r="H134" i="51"/>
  <c r="H135" i="51" s="1"/>
  <c r="G134" i="51"/>
  <c r="G135" i="51" s="1"/>
  <c r="F134" i="51"/>
  <c r="F135" i="51" s="1"/>
  <c r="E134" i="51"/>
  <c r="D134" i="51"/>
  <c r="D135" i="51" s="1"/>
  <c r="C134" i="51"/>
  <c r="C135" i="51" s="1"/>
  <c r="B134" i="51"/>
  <c r="B135" i="51" s="1"/>
  <c r="J121" i="51"/>
  <c r="J120" i="51"/>
  <c r="E120" i="51"/>
  <c r="E121" i="51" s="1"/>
  <c r="J101" i="51"/>
  <c r="E101" i="51"/>
  <c r="J75" i="51"/>
  <c r="E75" i="51"/>
  <c r="J74" i="51"/>
  <c r="E74" i="51"/>
  <c r="J73" i="51"/>
  <c r="E73" i="51"/>
  <c r="G53" i="51"/>
  <c r="E49" i="51"/>
  <c r="I37" i="51"/>
  <c r="H37" i="51"/>
  <c r="J31" i="51"/>
  <c r="J30" i="51"/>
  <c r="J28" i="51"/>
  <c r="K16" i="51"/>
  <c r="I16" i="51"/>
  <c r="L15" i="51"/>
  <c r="K14" i="51"/>
  <c r="I14" i="51"/>
  <c r="L13" i="51"/>
  <c r="K12" i="51"/>
  <c r="I12" i="51"/>
  <c r="L11" i="51"/>
  <c r="J19" i="51" s="1"/>
  <c r="A4" i="51"/>
  <c r="A5" i="51" s="1"/>
  <c r="A6" i="51" s="1"/>
  <c r="A7" i="51" s="1"/>
  <c r="A8" i="51" s="1"/>
  <c r="A9" i="51" s="1"/>
  <c r="A10" i="51" s="1"/>
  <c r="A11" i="51" s="1"/>
  <c r="A12" i="51" s="1"/>
  <c r="A13" i="51" s="1"/>
  <c r="A14" i="51" s="1"/>
  <c r="A15" i="51" s="1"/>
  <c r="A16" i="51" s="1"/>
  <c r="A17" i="51" s="1"/>
  <c r="A18" i="51" s="1"/>
  <c r="A19" i="51" s="1"/>
  <c r="A20" i="51" s="1"/>
  <c r="A21" i="51" s="1"/>
  <c r="A22" i="51" s="1"/>
  <c r="A23" i="51" s="1"/>
  <c r="A24" i="51" s="1"/>
  <c r="A25" i="51" s="1"/>
  <c r="A26" i="51" s="1"/>
  <c r="A27" i="51" s="1"/>
  <c r="A28" i="51" s="1"/>
  <c r="A29" i="51" s="1"/>
  <c r="A30" i="51" s="1"/>
  <c r="A31" i="51" s="1"/>
  <c r="A32" i="51" s="1"/>
  <c r="A33" i="51" s="1"/>
  <c r="A34" i="51" s="1"/>
  <c r="A35" i="51" s="1"/>
  <c r="A36" i="51" s="1"/>
  <c r="A37" i="51" s="1"/>
  <c r="A38" i="51" s="1"/>
  <c r="A39" i="51" s="1"/>
  <c r="A40" i="51" s="1"/>
  <c r="A41" i="51" s="1"/>
  <c r="A42" i="51" s="1"/>
  <c r="A43" i="51" s="1"/>
  <c r="A44" i="51" s="1"/>
  <c r="A45" i="51" s="1"/>
  <c r="A46" i="51" s="1"/>
  <c r="A47" i="51" s="1"/>
  <c r="A48" i="51" s="1"/>
  <c r="A49" i="51" s="1"/>
  <c r="A50" i="51" s="1"/>
  <c r="A51" i="51" s="1"/>
  <c r="A52" i="51" s="1"/>
  <c r="A53" i="51" s="1"/>
  <c r="A54" i="51" s="1"/>
  <c r="A55" i="51" s="1"/>
  <c r="A56" i="51" s="1"/>
  <c r="A57" i="51" s="1"/>
  <c r="A58" i="51" s="1"/>
  <c r="A59" i="51" s="1"/>
  <c r="A60" i="51" s="1"/>
  <c r="A61" i="51" s="1"/>
  <c r="A62" i="51" s="1"/>
  <c r="A63" i="51" s="1"/>
  <c r="A64" i="51" s="1"/>
  <c r="A65" i="51" s="1"/>
  <c r="A66" i="51" s="1"/>
  <c r="A67" i="51" s="1"/>
  <c r="A68" i="51" s="1"/>
  <c r="A69" i="51" s="1"/>
  <c r="A70" i="51" s="1"/>
  <c r="A71" i="51" s="1"/>
  <c r="A72" i="51" s="1"/>
  <c r="A73" i="51" s="1"/>
  <c r="A74" i="51" s="1"/>
  <c r="A75" i="51" s="1"/>
  <c r="A76" i="51" s="1"/>
  <c r="A77" i="51" s="1"/>
  <c r="A78" i="51" s="1"/>
  <c r="A79" i="51" s="1"/>
  <c r="A80" i="51" s="1"/>
  <c r="A81" i="51" s="1"/>
  <c r="A82" i="51" s="1"/>
  <c r="A83" i="51" s="1"/>
  <c r="A84" i="51" s="1"/>
  <c r="A85" i="51" s="1"/>
  <c r="A86" i="51" s="1"/>
  <c r="A87" i="51" s="1"/>
  <c r="A88" i="51" s="1"/>
  <c r="A89" i="51" s="1"/>
  <c r="A90" i="51" s="1"/>
  <c r="A91" i="51" s="1"/>
  <c r="A92" i="51" s="1"/>
  <c r="A93" i="51" s="1"/>
  <c r="A94" i="51" s="1"/>
  <c r="A95" i="51" s="1"/>
  <c r="A96" i="51" s="1"/>
  <c r="A97" i="51" s="1"/>
  <c r="A98" i="51" s="1"/>
  <c r="A99" i="51" s="1"/>
  <c r="A100" i="51" s="1"/>
  <c r="A101" i="51" s="1"/>
  <c r="A102" i="51" s="1"/>
  <c r="A103" i="51" s="1"/>
  <c r="A104" i="51" s="1"/>
  <c r="A105" i="51" s="1"/>
  <c r="A106" i="51" s="1"/>
  <c r="A107" i="51" s="1"/>
  <c r="A108" i="51" s="1"/>
  <c r="A109" i="51" s="1"/>
  <c r="A110" i="51" s="1"/>
  <c r="A111" i="51" s="1"/>
  <c r="A112" i="51" s="1"/>
  <c r="A113" i="51" s="1"/>
  <c r="A114" i="51" s="1"/>
  <c r="A115" i="51" s="1"/>
  <c r="A116" i="51" s="1"/>
  <c r="A117" i="51" s="1"/>
  <c r="A118" i="51" s="1"/>
  <c r="A119" i="51" s="1"/>
  <c r="A120" i="51" s="1"/>
  <c r="A121" i="51" s="1"/>
  <c r="A122" i="51" s="1"/>
  <c r="A123" i="51" s="1"/>
  <c r="A124" i="51" s="1"/>
  <c r="A125" i="51" s="1"/>
  <c r="A126" i="51" s="1"/>
  <c r="A127" i="51" s="1"/>
  <c r="A128" i="51" s="1"/>
  <c r="A129" i="51" s="1"/>
  <c r="A130" i="51" s="1"/>
  <c r="A131" i="51" s="1"/>
  <c r="A132" i="51" s="1"/>
  <c r="A133" i="51" s="1"/>
  <c r="A134" i="51" s="1"/>
  <c r="A135" i="51" s="1"/>
  <c r="A2" i="51"/>
  <c r="A3" i="51" s="1"/>
  <c r="G1" i="51"/>
  <c r="H1" i="51" s="1"/>
  <c r="I1" i="51" s="1"/>
  <c r="J1" i="51" s="1"/>
  <c r="K1" i="51" s="1"/>
  <c r="L1" i="51" s="1"/>
  <c r="M1" i="51" s="1"/>
  <c r="N1" i="51" s="1"/>
  <c r="O1" i="51" s="1"/>
  <c r="P1" i="51" s="1"/>
  <c r="C1" i="51"/>
  <c r="D1" i="51" s="1"/>
  <c r="E1" i="51" s="1"/>
  <c r="F1" i="51" s="1"/>
  <c r="B1" i="51"/>
  <c r="O135" i="50"/>
  <c r="M135" i="50"/>
  <c r="K135" i="50"/>
  <c r="I135" i="50"/>
  <c r="G135" i="50"/>
  <c r="E135" i="50"/>
  <c r="C135" i="50"/>
  <c r="O134" i="50"/>
  <c r="N134" i="50"/>
  <c r="N135" i="50" s="1"/>
  <c r="M134" i="50"/>
  <c r="L134" i="50"/>
  <c r="L135" i="50" s="1"/>
  <c r="K134" i="50"/>
  <c r="J134" i="50"/>
  <c r="J135" i="50" s="1"/>
  <c r="I134" i="50"/>
  <c r="H134" i="50"/>
  <c r="H135" i="50" s="1"/>
  <c r="G134" i="50"/>
  <c r="F134" i="50"/>
  <c r="F135" i="50" s="1"/>
  <c r="E134" i="50"/>
  <c r="D134" i="50"/>
  <c r="D135" i="50" s="1"/>
  <c r="C134" i="50"/>
  <c r="B134" i="50"/>
  <c r="B135" i="50" s="1"/>
  <c r="J121" i="50"/>
  <c r="J120" i="50"/>
  <c r="E120" i="50"/>
  <c r="E121" i="50" s="1"/>
  <c r="J101" i="50"/>
  <c r="E101" i="50"/>
  <c r="J75" i="50"/>
  <c r="E75" i="50"/>
  <c r="J74" i="50"/>
  <c r="E74" i="50"/>
  <c r="J73" i="50"/>
  <c r="E73" i="50"/>
  <c r="G53" i="50"/>
  <c r="E49" i="50"/>
  <c r="I37" i="50"/>
  <c r="H37" i="50"/>
  <c r="J31" i="50"/>
  <c r="J30" i="50"/>
  <c r="J28" i="50"/>
  <c r="K16" i="50"/>
  <c r="I16" i="50"/>
  <c r="L15" i="50"/>
  <c r="K14" i="50"/>
  <c r="I14" i="50"/>
  <c r="L13" i="50"/>
  <c r="K12" i="50"/>
  <c r="I12" i="50"/>
  <c r="L11" i="50"/>
  <c r="J19" i="50" s="1"/>
  <c r="A4" i="50"/>
  <c r="A5" i="50" s="1"/>
  <c r="A6" i="50" s="1"/>
  <c r="A7" i="50" s="1"/>
  <c r="A8" i="50" s="1"/>
  <c r="A9" i="50" s="1"/>
  <c r="A10" i="50" s="1"/>
  <c r="A11" i="50" s="1"/>
  <c r="A12" i="50" s="1"/>
  <c r="A13" i="50" s="1"/>
  <c r="A14" i="50" s="1"/>
  <c r="A15" i="50" s="1"/>
  <c r="A16" i="50" s="1"/>
  <c r="A17" i="50" s="1"/>
  <c r="A18" i="50" s="1"/>
  <c r="A19" i="50" s="1"/>
  <c r="A20" i="50" s="1"/>
  <c r="A21" i="50" s="1"/>
  <c r="A22" i="50" s="1"/>
  <c r="A23" i="50" s="1"/>
  <c r="A24" i="50" s="1"/>
  <c r="A25" i="50" s="1"/>
  <c r="A26" i="50" s="1"/>
  <c r="A27" i="50" s="1"/>
  <c r="A28" i="50" s="1"/>
  <c r="A29" i="50" s="1"/>
  <c r="A30" i="50" s="1"/>
  <c r="A31" i="50" s="1"/>
  <c r="A32" i="50" s="1"/>
  <c r="A33" i="50" s="1"/>
  <c r="A34" i="50" s="1"/>
  <c r="A35" i="50" s="1"/>
  <c r="A36" i="50" s="1"/>
  <c r="A37" i="50" s="1"/>
  <c r="A38" i="50" s="1"/>
  <c r="A39" i="50" s="1"/>
  <c r="A40" i="50" s="1"/>
  <c r="A41" i="50" s="1"/>
  <c r="A42" i="50" s="1"/>
  <c r="A43" i="50" s="1"/>
  <c r="A44" i="50" s="1"/>
  <c r="A45" i="50" s="1"/>
  <c r="A46" i="50" s="1"/>
  <c r="A47" i="50" s="1"/>
  <c r="A48" i="50" s="1"/>
  <c r="A49" i="50" s="1"/>
  <c r="A50" i="50" s="1"/>
  <c r="A51" i="50" s="1"/>
  <c r="A52" i="50" s="1"/>
  <c r="A53" i="50" s="1"/>
  <c r="A54" i="50" s="1"/>
  <c r="A55" i="50" s="1"/>
  <c r="A56" i="50" s="1"/>
  <c r="A57" i="50" s="1"/>
  <c r="A58" i="50" s="1"/>
  <c r="A59" i="50" s="1"/>
  <c r="A60" i="50" s="1"/>
  <c r="A61" i="50" s="1"/>
  <c r="A62" i="50" s="1"/>
  <c r="A63" i="50" s="1"/>
  <c r="A64" i="50" s="1"/>
  <c r="A65" i="50" s="1"/>
  <c r="A66" i="50" s="1"/>
  <c r="A67" i="50" s="1"/>
  <c r="A68" i="50" s="1"/>
  <c r="A69" i="50" s="1"/>
  <c r="A70" i="50" s="1"/>
  <c r="A71" i="50" s="1"/>
  <c r="A72" i="50" s="1"/>
  <c r="A73" i="50" s="1"/>
  <c r="A74" i="50" s="1"/>
  <c r="A75" i="50" s="1"/>
  <c r="A76" i="50" s="1"/>
  <c r="A77" i="50" s="1"/>
  <c r="A78" i="50" s="1"/>
  <c r="A79" i="50" s="1"/>
  <c r="A80" i="50" s="1"/>
  <c r="A81" i="50" s="1"/>
  <c r="A82" i="50" s="1"/>
  <c r="A83" i="50" s="1"/>
  <c r="A84" i="50" s="1"/>
  <c r="A85" i="50" s="1"/>
  <c r="A86" i="50" s="1"/>
  <c r="A87" i="50" s="1"/>
  <c r="A88" i="50" s="1"/>
  <c r="A89" i="50" s="1"/>
  <c r="A90" i="50" s="1"/>
  <c r="A91" i="50" s="1"/>
  <c r="A92" i="50" s="1"/>
  <c r="A93" i="50" s="1"/>
  <c r="A94" i="50" s="1"/>
  <c r="A95" i="50" s="1"/>
  <c r="A96" i="50" s="1"/>
  <c r="A97" i="50" s="1"/>
  <c r="A98" i="50" s="1"/>
  <c r="A99" i="50" s="1"/>
  <c r="A100" i="50" s="1"/>
  <c r="A101" i="50" s="1"/>
  <c r="A102" i="50" s="1"/>
  <c r="A103" i="50" s="1"/>
  <c r="A104" i="50" s="1"/>
  <c r="A105" i="50" s="1"/>
  <c r="A106" i="50" s="1"/>
  <c r="A107" i="50" s="1"/>
  <c r="A108" i="50" s="1"/>
  <c r="A109" i="50" s="1"/>
  <c r="A110" i="50" s="1"/>
  <c r="A111" i="50" s="1"/>
  <c r="A112" i="50" s="1"/>
  <c r="A113" i="50" s="1"/>
  <c r="A114" i="50" s="1"/>
  <c r="A115" i="50" s="1"/>
  <c r="A116" i="50" s="1"/>
  <c r="A117" i="50" s="1"/>
  <c r="A118" i="50" s="1"/>
  <c r="A119" i="50" s="1"/>
  <c r="A120" i="50" s="1"/>
  <c r="A121" i="50" s="1"/>
  <c r="A122" i="50" s="1"/>
  <c r="A123" i="50" s="1"/>
  <c r="A124" i="50" s="1"/>
  <c r="A125" i="50" s="1"/>
  <c r="A126" i="50" s="1"/>
  <c r="A127" i="50" s="1"/>
  <c r="A128" i="50" s="1"/>
  <c r="A129" i="50" s="1"/>
  <c r="A130" i="50" s="1"/>
  <c r="A131" i="50" s="1"/>
  <c r="A132" i="50" s="1"/>
  <c r="A133" i="50" s="1"/>
  <c r="A134" i="50" s="1"/>
  <c r="A135" i="50" s="1"/>
  <c r="A2" i="50"/>
  <c r="A3" i="50" s="1"/>
  <c r="C1" i="50"/>
  <c r="D1" i="50" s="1"/>
  <c r="E1" i="50" s="1"/>
  <c r="F1" i="50" s="1"/>
  <c r="G1" i="50" s="1"/>
  <c r="H1" i="50" s="1"/>
  <c r="I1" i="50" s="1"/>
  <c r="J1" i="50" s="1"/>
  <c r="K1" i="50" s="1"/>
  <c r="L1" i="50" s="1"/>
  <c r="M1" i="50" s="1"/>
  <c r="N1" i="50" s="1"/>
  <c r="O1" i="50" s="1"/>
  <c r="P1" i="50" s="1"/>
  <c r="B1" i="50"/>
  <c r="O135" i="49"/>
  <c r="M135" i="49"/>
  <c r="I135" i="49"/>
  <c r="E135" i="49"/>
  <c r="O134" i="49"/>
  <c r="N134" i="49"/>
  <c r="N135" i="49" s="1"/>
  <c r="M134" i="49"/>
  <c r="L134" i="49"/>
  <c r="L135" i="49" s="1"/>
  <c r="K134" i="49"/>
  <c r="K135" i="49" s="1"/>
  <c r="J134" i="49"/>
  <c r="J135" i="49" s="1"/>
  <c r="I134" i="49"/>
  <c r="H134" i="49"/>
  <c r="H135" i="49" s="1"/>
  <c r="G134" i="49"/>
  <c r="G135" i="49" s="1"/>
  <c r="F134" i="49"/>
  <c r="F135" i="49" s="1"/>
  <c r="E134" i="49"/>
  <c r="D134" i="49"/>
  <c r="D135" i="49" s="1"/>
  <c r="C134" i="49"/>
  <c r="C135" i="49" s="1"/>
  <c r="B134" i="49"/>
  <c r="B135" i="49" s="1"/>
  <c r="J121" i="49"/>
  <c r="E121" i="49"/>
  <c r="J120" i="49"/>
  <c r="E120" i="49"/>
  <c r="J101" i="49"/>
  <c r="E101" i="49"/>
  <c r="J75" i="49"/>
  <c r="E75" i="49"/>
  <c r="J74" i="49"/>
  <c r="E74" i="49"/>
  <c r="J73" i="49"/>
  <c r="E73" i="49"/>
  <c r="G53" i="49"/>
  <c r="E49" i="49"/>
  <c r="H37" i="49"/>
  <c r="I37" i="49" s="1"/>
  <c r="J31" i="49"/>
  <c r="J30" i="49"/>
  <c r="J28" i="49"/>
  <c r="K16" i="49"/>
  <c r="I16" i="49"/>
  <c r="L15" i="49"/>
  <c r="K14" i="49"/>
  <c r="I14" i="49"/>
  <c r="L13" i="49"/>
  <c r="J19" i="49" s="1"/>
  <c r="K12" i="49"/>
  <c r="I12" i="49"/>
  <c r="L11" i="49"/>
  <c r="A3" i="49"/>
  <c r="A4" i="49" s="1"/>
  <c r="A5" i="49" s="1"/>
  <c r="A6" i="49" s="1"/>
  <c r="A7" i="49" s="1"/>
  <c r="A8" i="49" s="1"/>
  <c r="A9" i="49" s="1"/>
  <c r="A10" i="49" s="1"/>
  <c r="A11" i="49" s="1"/>
  <c r="A12" i="49" s="1"/>
  <c r="A13" i="49" s="1"/>
  <c r="A14" i="49" s="1"/>
  <c r="A15" i="49" s="1"/>
  <c r="A16" i="49" s="1"/>
  <c r="A17" i="49" s="1"/>
  <c r="A18" i="49" s="1"/>
  <c r="A19" i="49" s="1"/>
  <c r="A20" i="49" s="1"/>
  <c r="A21" i="49" s="1"/>
  <c r="A22" i="49" s="1"/>
  <c r="A23" i="49" s="1"/>
  <c r="A24" i="49" s="1"/>
  <c r="A25" i="49" s="1"/>
  <c r="A26" i="49" s="1"/>
  <c r="A27" i="49" s="1"/>
  <c r="A28" i="49" s="1"/>
  <c r="A29" i="49" s="1"/>
  <c r="A30" i="49" s="1"/>
  <c r="A31" i="49" s="1"/>
  <c r="A32" i="49" s="1"/>
  <c r="A33" i="49" s="1"/>
  <c r="A34" i="49" s="1"/>
  <c r="A35" i="49" s="1"/>
  <c r="A36" i="49" s="1"/>
  <c r="A37" i="49" s="1"/>
  <c r="A38" i="49" s="1"/>
  <c r="A39" i="49" s="1"/>
  <c r="A40" i="49" s="1"/>
  <c r="A41" i="49" s="1"/>
  <c r="A42" i="49" s="1"/>
  <c r="A43" i="49" s="1"/>
  <c r="A44" i="49" s="1"/>
  <c r="A45" i="49" s="1"/>
  <c r="A46" i="49" s="1"/>
  <c r="A47" i="49" s="1"/>
  <c r="A48" i="49" s="1"/>
  <c r="A49" i="49" s="1"/>
  <c r="A50" i="49" s="1"/>
  <c r="A51" i="49" s="1"/>
  <c r="A52" i="49" s="1"/>
  <c r="A53" i="49" s="1"/>
  <c r="A54" i="49" s="1"/>
  <c r="A55" i="49" s="1"/>
  <c r="A56" i="49" s="1"/>
  <c r="A57" i="49" s="1"/>
  <c r="A58" i="49" s="1"/>
  <c r="A59" i="49" s="1"/>
  <c r="A60" i="49" s="1"/>
  <c r="A61" i="49" s="1"/>
  <c r="A62" i="49" s="1"/>
  <c r="A63" i="49" s="1"/>
  <c r="A64" i="49" s="1"/>
  <c r="A65" i="49" s="1"/>
  <c r="A66" i="49" s="1"/>
  <c r="A67" i="49" s="1"/>
  <c r="A68" i="49" s="1"/>
  <c r="A69" i="49" s="1"/>
  <c r="A70" i="49" s="1"/>
  <c r="A71" i="49" s="1"/>
  <c r="A72" i="49" s="1"/>
  <c r="A73" i="49" s="1"/>
  <c r="A74" i="49" s="1"/>
  <c r="A75" i="49" s="1"/>
  <c r="A76" i="49" s="1"/>
  <c r="A77" i="49" s="1"/>
  <c r="A78" i="49" s="1"/>
  <c r="A79" i="49" s="1"/>
  <c r="A80" i="49" s="1"/>
  <c r="A81" i="49" s="1"/>
  <c r="A82" i="49" s="1"/>
  <c r="A83" i="49" s="1"/>
  <c r="A84" i="49" s="1"/>
  <c r="A85" i="49" s="1"/>
  <c r="A86" i="49" s="1"/>
  <c r="A87" i="49" s="1"/>
  <c r="A88" i="49" s="1"/>
  <c r="A89" i="49" s="1"/>
  <c r="A90" i="49" s="1"/>
  <c r="A91" i="49" s="1"/>
  <c r="A92" i="49" s="1"/>
  <c r="A93" i="49" s="1"/>
  <c r="A94" i="49" s="1"/>
  <c r="A95" i="49" s="1"/>
  <c r="A96" i="49" s="1"/>
  <c r="A97" i="49" s="1"/>
  <c r="A98" i="49" s="1"/>
  <c r="A99" i="49" s="1"/>
  <c r="A100" i="49" s="1"/>
  <c r="A101" i="49" s="1"/>
  <c r="A102" i="49" s="1"/>
  <c r="A103" i="49" s="1"/>
  <c r="A104" i="49" s="1"/>
  <c r="A105" i="49" s="1"/>
  <c r="A106" i="49" s="1"/>
  <c r="A107" i="49" s="1"/>
  <c r="A108" i="49" s="1"/>
  <c r="A109" i="49" s="1"/>
  <c r="A110" i="49" s="1"/>
  <c r="A111" i="49" s="1"/>
  <c r="A112" i="49" s="1"/>
  <c r="A113" i="49" s="1"/>
  <c r="A114" i="49" s="1"/>
  <c r="A115" i="49" s="1"/>
  <c r="A116" i="49" s="1"/>
  <c r="A117" i="49" s="1"/>
  <c r="A118" i="49" s="1"/>
  <c r="A119" i="49" s="1"/>
  <c r="A120" i="49" s="1"/>
  <c r="A121" i="49" s="1"/>
  <c r="A122" i="49" s="1"/>
  <c r="A123" i="49" s="1"/>
  <c r="A124" i="49" s="1"/>
  <c r="A125" i="49" s="1"/>
  <c r="A126" i="49" s="1"/>
  <c r="A127" i="49" s="1"/>
  <c r="A128" i="49" s="1"/>
  <c r="A129" i="49" s="1"/>
  <c r="A130" i="49" s="1"/>
  <c r="A131" i="49" s="1"/>
  <c r="A132" i="49" s="1"/>
  <c r="A133" i="49" s="1"/>
  <c r="A134" i="49" s="1"/>
  <c r="A135" i="49" s="1"/>
  <c r="A2" i="49"/>
  <c r="B1" i="49"/>
  <c r="C1" i="49" s="1"/>
  <c r="D1" i="49" s="1"/>
  <c r="E1" i="49" s="1"/>
  <c r="F1" i="49" s="1"/>
  <c r="G1" i="49" s="1"/>
  <c r="H1" i="49" s="1"/>
  <c r="I1" i="49" s="1"/>
  <c r="J1" i="49" s="1"/>
  <c r="K1" i="49" s="1"/>
  <c r="L1" i="49" s="1"/>
  <c r="M1" i="49" s="1"/>
  <c r="N1" i="49" s="1"/>
  <c r="O1" i="49" s="1"/>
  <c r="P1" i="49" s="1"/>
  <c r="N135" i="48"/>
  <c r="L135" i="48"/>
  <c r="J135" i="48"/>
  <c r="H135" i="48"/>
  <c r="F135" i="48"/>
  <c r="D135" i="48"/>
  <c r="B135" i="48"/>
  <c r="O134" i="48"/>
  <c r="O135" i="48" s="1"/>
  <c r="N134" i="48"/>
  <c r="M134" i="48"/>
  <c r="M135" i="48" s="1"/>
  <c r="L134" i="48"/>
  <c r="K134" i="48"/>
  <c r="K135" i="48" s="1"/>
  <c r="J134" i="48"/>
  <c r="I134" i="48"/>
  <c r="I135" i="48" s="1"/>
  <c r="H134" i="48"/>
  <c r="G134" i="48"/>
  <c r="G135" i="48" s="1"/>
  <c r="F134" i="48"/>
  <c r="E134" i="48"/>
  <c r="E135" i="48" s="1"/>
  <c r="D134" i="48"/>
  <c r="C134" i="48"/>
  <c r="C135" i="48" s="1"/>
  <c r="B134" i="48"/>
  <c r="E121" i="48"/>
  <c r="J120" i="48"/>
  <c r="J121" i="48" s="1"/>
  <c r="E120" i="48"/>
  <c r="J101" i="48"/>
  <c r="E101" i="48"/>
  <c r="J75" i="48"/>
  <c r="E75" i="48"/>
  <c r="J74" i="48"/>
  <c r="E74" i="48"/>
  <c r="J73" i="48"/>
  <c r="E73" i="48"/>
  <c r="G53" i="48"/>
  <c r="E49" i="48"/>
  <c r="H37" i="48"/>
  <c r="I37" i="48" s="1"/>
  <c r="J31" i="48"/>
  <c r="J30" i="48"/>
  <c r="J28" i="48"/>
  <c r="K16" i="48"/>
  <c r="I16" i="48"/>
  <c r="L15" i="48"/>
  <c r="K14" i="48"/>
  <c r="I14" i="48"/>
  <c r="L13" i="48"/>
  <c r="J19" i="48" s="1"/>
  <c r="K12" i="48"/>
  <c r="I12" i="48"/>
  <c r="L11" i="48"/>
  <c r="A3" i="48"/>
  <c r="A4" i="48" s="1"/>
  <c r="A5" i="48" s="1"/>
  <c r="A6" i="48" s="1"/>
  <c r="A7" i="48" s="1"/>
  <c r="A8" i="48" s="1"/>
  <c r="A9" i="48" s="1"/>
  <c r="A10" i="48" s="1"/>
  <c r="A11" i="48" s="1"/>
  <c r="A12" i="48" s="1"/>
  <c r="A13" i="48" s="1"/>
  <c r="A14" i="48" s="1"/>
  <c r="A15" i="48" s="1"/>
  <c r="A16" i="48" s="1"/>
  <c r="A17" i="48" s="1"/>
  <c r="A18" i="48" s="1"/>
  <c r="A19" i="48" s="1"/>
  <c r="A20" i="48" s="1"/>
  <c r="A21" i="48" s="1"/>
  <c r="A22" i="48" s="1"/>
  <c r="A23" i="48" s="1"/>
  <c r="A24" i="48" s="1"/>
  <c r="A25" i="48" s="1"/>
  <c r="A26" i="48" s="1"/>
  <c r="A27" i="48" s="1"/>
  <c r="A28" i="48" s="1"/>
  <c r="A29" i="48" s="1"/>
  <c r="A30" i="48" s="1"/>
  <c r="A31" i="48" s="1"/>
  <c r="A32" i="48" s="1"/>
  <c r="A33" i="48" s="1"/>
  <c r="A34" i="48" s="1"/>
  <c r="A35" i="48" s="1"/>
  <c r="A36" i="48" s="1"/>
  <c r="A37" i="48" s="1"/>
  <c r="A38" i="48" s="1"/>
  <c r="A39" i="48" s="1"/>
  <c r="A40" i="48" s="1"/>
  <c r="A41" i="48" s="1"/>
  <c r="A42" i="48" s="1"/>
  <c r="A43" i="48" s="1"/>
  <c r="A44" i="48" s="1"/>
  <c r="A45" i="48" s="1"/>
  <c r="A46" i="48" s="1"/>
  <c r="A47" i="48" s="1"/>
  <c r="A48" i="48" s="1"/>
  <c r="A49" i="48" s="1"/>
  <c r="A50" i="48" s="1"/>
  <c r="A51" i="48" s="1"/>
  <c r="A52" i="48" s="1"/>
  <c r="A53" i="48" s="1"/>
  <c r="A54" i="48" s="1"/>
  <c r="A55" i="48" s="1"/>
  <c r="A56" i="48" s="1"/>
  <c r="A57" i="48" s="1"/>
  <c r="A58" i="48" s="1"/>
  <c r="A59" i="48" s="1"/>
  <c r="A60" i="48" s="1"/>
  <c r="A61" i="48" s="1"/>
  <c r="A62" i="48" s="1"/>
  <c r="A63" i="48" s="1"/>
  <c r="A64" i="48" s="1"/>
  <c r="A65" i="48" s="1"/>
  <c r="A66" i="48" s="1"/>
  <c r="A67" i="48" s="1"/>
  <c r="A68" i="48" s="1"/>
  <c r="A69" i="48" s="1"/>
  <c r="A70" i="48" s="1"/>
  <c r="A71" i="48" s="1"/>
  <c r="A72" i="48" s="1"/>
  <c r="A73" i="48" s="1"/>
  <c r="A74" i="48" s="1"/>
  <c r="A75" i="48" s="1"/>
  <c r="A76" i="48" s="1"/>
  <c r="A77" i="48" s="1"/>
  <c r="A78" i="48" s="1"/>
  <c r="A79" i="48" s="1"/>
  <c r="A80" i="48" s="1"/>
  <c r="A81" i="48" s="1"/>
  <c r="A82" i="48" s="1"/>
  <c r="A83" i="48" s="1"/>
  <c r="A84" i="48" s="1"/>
  <c r="A85" i="48" s="1"/>
  <c r="A86" i="48" s="1"/>
  <c r="A87" i="48" s="1"/>
  <c r="A88" i="48" s="1"/>
  <c r="A89" i="48" s="1"/>
  <c r="A90" i="48" s="1"/>
  <c r="A91" i="48" s="1"/>
  <c r="A92" i="48" s="1"/>
  <c r="A93" i="48" s="1"/>
  <c r="A94" i="48" s="1"/>
  <c r="A95" i="48" s="1"/>
  <c r="A96" i="48" s="1"/>
  <c r="A97" i="48" s="1"/>
  <c r="A98" i="48" s="1"/>
  <c r="A99" i="48" s="1"/>
  <c r="A100" i="48" s="1"/>
  <c r="A101" i="48" s="1"/>
  <c r="A102" i="48" s="1"/>
  <c r="A103" i="48" s="1"/>
  <c r="A104" i="48" s="1"/>
  <c r="A105" i="48" s="1"/>
  <c r="A106" i="48" s="1"/>
  <c r="A107" i="48" s="1"/>
  <c r="A108" i="48" s="1"/>
  <c r="A109" i="48" s="1"/>
  <c r="A110" i="48" s="1"/>
  <c r="A111" i="48" s="1"/>
  <c r="A112" i="48" s="1"/>
  <c r="A113" i="48" s="1"/>
  <c r="A114" i="48" s="1"/>
  <c r="A115" i="48" s="1"/>
  <c r="A116" i="48" s="1"/>
  <c r="A117" i="48" s="1"/>
  <c r="A118" i="48" s="1"/>
  <c r="A119" i="48" s="1"/>
  <c r="A120" i="48" s="1"/>
  <c r="A121" i="48" s="1"/>
  <c r="A122" i="48" s="1"/>
  <c r="A123" i="48" s="1"/>
  <c r="A124" i="48" s="1"/>
  <c r="A125" i="48" s="1"/>
  <c r="A126" i="48" s="1"/>
  <c r="A127" i="48" s="1"/>
  <c r="A128" i="48" s="1"/>
  <c r="A129" i="48" s="1"/>
  <c r="A130" i="48" s="1"/>
  <c r="A131" i="48" s="1"/>
  <c r="A132" i="48" s="1"/>
  <c r="A133" i="48" s="1"/>
  <c r="A134" i="48" s="1"/>
  <c r="A135" i="48" s="1"/>
  <c r="A2" i="48"/>
  <c r="B1" i="48"/>
  <c r="C1" i="48" s="1"/>
  <c r="D1" i="48" s="1"/>
  <c r="E1" i="48" s="1"/>
  <c r="F1" i="48" s="1"/>
  <c r="G1" i="48" s="1"/>
  <c r="H1" i="48" s="1"/>
  <c r="I1" i="48" s="1"/>
  <c r="J1" i="48" s="1"/>
  <c r="K1" i="48" s="1"/>
  <c r="L1" i="48" s="1"/>
  <c r="M1" i="48" s="1"/>
  <c r="N1" i="48" s="1"/>
  <c r="O1" i="48" s="1"/>
  <c r="P1" i="48" s="1"/>
  <c r="L135" i="47"/>
  <c r="H135" i="47"/>
  <c r="D135" i="47"/>
  <c r="O134" i="47"/>
  <c r="O135" i="47" s="1"/>
  <c r="N134" i="47"/>
  <c r="N135" i="47" s="1"/>
  <c r="M134" i="47"/>
  <c r="M135" i="47" s="1"/>
  <c r="L134" i="47"/>
  <c r="K134" i="47"/>
  <c r="K135" i="47" s="1"/>
  <c r="J134" i="47"/>
  <c r="J135" i="47" s="1"/>
  <c r="I134" i="47"/>
  <c r="I135" i="47" s="1"/>
  <c r="H134" i="47"/>
  <c r="G134" i="47"/>
  <c r="G135" i="47" s="1"/>
  <c r="F134" i="47"/>
  <c r="F135" i="47" s="1"/>
  <c r="E134" i="47"/>
  <c r="E135" i="47" s="1"/>
  <c r="D134" i="47"/>
  <c r="C134" i="47"/>
  <c r="C135" i="47" s="1"/>
  <c r="B134" i="47"/>
  <c r="B135" i="47" s="1"/>
  <c r="E121" i="47"/>
  <c r="J120" i="47"/>
  <c r="J121" i="47" s="1"/>
  <c r="E120" i="47"/>
  <c r="J101" i="47"/>
  <c r="E101" i="47"/>
  <c r="J75" i="47"/>
  <c r="E75" i="47"/>
  <c r="J74" i="47"/>
  <c r="E74" i="47"/>
  <c r="J73" i="47"/>
  <c r="E73" i="47"/>
  <c r="G53" i="47"/>
  <c r="E49" i="47"/>
  <c r="H37" i="47"/>
  <c r="I37" i="47" s="1"/>
  <c r="J31" i="47"/>
  <c r="J30" i="47"/>
  <c r="J28" i="47"/>
  <c r="K16" i="47"/>
  <c r="I16" i="47"/>
  <c r="L15" i="47"/>
  <c r="K14" i="47"/>
  <c r="I14" i="47"/>
  <c r="L13" i="47"/>
  <c r="K12" i="47"/>
  <c r="I12" i="47"/>
  <c r="L11" i="47"/>
  <c r="J19" i="47" s="1"/>
  <c r="A3" i="47"/>
  <c r="A4" i="47" s="1"/>
  <c r="A5" i="47" s="1"/>
  <c r="A6" i="47" s="1"/>
  <c r="A7" i="47" s="1"/>
  <c r="A8" i="47" s="1"/>
  <c r="A9" i="47" s="1"/>
  <c r="A10" i="47" s="1"/>
  <c r="A11" i="47" s="1"/>
  <c r="A12" i="47" s="1"/>
  <c r="A13" i="47" s="1"/>
  <c r="A14" i="47" s="1"/>
  <c r="A15" i="47" s="1"/>
  <c r="A16" i="47" s="1"/>
  <c r="A17" i="47" s="1"/>
  <c r="A18" i="47" s="1"/>
  <c r="A19" i="47" s="1"/>
  <c r="A20" i="47" s="1"/>
  <c r="A21" i="47" s="1"/>
  <c r="A22" i="47" s="1"/>
  <c r="A23" i="47" s="1"/>
  <c r="A24" i="47" s="1"/>
  <c r="A25" i="47" s="1"/>
  <c r="A26" i="47" s="1"/>
  <c r="A27" i="47" s="1"/>
  <c r="A28" i="47" s="1"/>
  <c r="A29" i="47" s="1"/>
  <c r="A30" i="47" s="1"/>
  <c r="A31" i="47" s="1"/>
  <c r="A32" i="47" s="1"/>
  <c r="A33" i="47" s="1"/>
  <c r="A34" i="47" s="1"/>
  <c r="A35" i="47" s="1"/>
  <c r="A36" i="47" s="1"/>
  <c r="A37" i="47" s="1"/>
  <c r="A38" i="47" s="1"/>
  <c r="A39" i="47" s="1"/>
  <c r="A40" i="47" s="1"/>
  <c r="A41" i="47" s="1"/>
  <c r="A42" i="47" s="1"/>
  <c r="A43" i="47" s="1"/>
  <c r="A44" i="47" s="1"/>
  <c r="A45" i="47" s="1"/>
  <c r="A46" i="47" s="1"/>
  <c r="A47" i="47" s="1"/>
  <c r="A48" i="47" s="1"/>
  <c r="A49" i="47" s="1"/>
  <c r="A50" i="47" s="1"/>
  <c r="A51" i="47" s="1"/>
  <c r="A52" i="47" s="1"/>
  <c r="A53" i="47" s="1"/>
  <c r="A54" i="47" s="1"/>
  <c r="A55" i="47" s="1"/>
  <c r="A56" i="47" s="1"/>
  <c r="A57" i="47" s="1"/>
  <c r="A58" i="47" s="1"/>
  <c r="A59" i="47" s="1"/>
  <c r="A60" i="47" s="1"/>
  <c r="A61" i="47" s="1"/>
  <c r="A62" i="47" s="1"/>
  <c r="A63" i="47" s="1"/>
  <c r="A64" i="47" s="1"/>
  <c r="A65" i="47" s="1"/>
  <c r="A66" i="47" s="1"/>
  <c r="A67" i="47" s="1"/>
  <c r="A68" i="47" s="1"/>
  <c r="A69" i="47" s="1"/>
  <c r="A70" i="47" s="1"/>
  <c r="A71" i="47" s="1"/>
  <c r="A72" i="47" s="1"/>
  <c r="A73" i="47" s="1"/>
  <c r="A74" i="47" s="1"/>
  <c r="A75" i="47" s="1"/>
  <c r="A76" i="47" s="1"/>
  <c r="A77" i="47" s="1"/>
  <c r="A78" i="47" s="1"/>
  <c r="A79" i="47" s="1"/>
  <c r="A80" i="47" s="1"/>
  <c r="A81" i="47" s="1"/>
  <c r="A82" i="47" s="1"/>
  <c r="A83" i="47" s="1"/>
  <c r="A84" i="47" s="1"/>
  <c r="A85" i="47" s="1"/>
  <c r="A86" i="47" s="1"/>
  <c r="A87" i="47" s="1"/>
  <c r="A88" i="47" s="1"/>
  <c r="A89" i="47" s="1"/>
  <c r="A90" i="47" s="1"/>
  <c r="A91" i="47" s="1"/>
  <c r="A92" i="47" s="1"/>
  <c r="A93" i="47" s="1"/>
  <c r="A94" i="47" s="1"/>
  <c r="A95" i="47" s="1"/>
  <c r="A96" i="47" s="1"/>
  <c r="A97" i="47" s="1"/>
  <c r="A98" i="47" s="1"/>
  <c r="A99" i="47" s="1"/>
  <c r="A100" i="47" s="1"/>
  <c r="A101" i="47" s="1"/>
  <c r="A102" i="47" s="1"/>
  <c r="A103" i="47" s="1"/>
  <c r="A104" i="47" s="1"/>
  <c r="A105" i="47" s="1"/>
  <c r="A106" i="47" s="1"/>
  <c r="A107" i="47" s="1"/>
  <c r="A108" i="47" s="1"/>
  <c r="A109" i="47" s="1"/>
  <c r="A110" i="47" s="1"/>
  <c r="A111" i="47" s="1"/>
  <c r="A112" i="47" s="1"/>
  <c r="A113" i="47" s="1"/>
  <c r="A114" i="47" s="1"/>
  <c r="A115" i="47" s="1"/>
  <c r="A116" i="47" s="1"/>
  <c r="A117" i="47" s="1"/>
  <c r="A118" i="47" s="1"/>
  <c r="A119" i="47" s="1"/>
  <c r="A120" i="47" s="1"/>
  <c r="A121" i="47" s="1"/>
  <c r="A122" i="47" s="1"/>
  <c r="A123" i="47" s="1"/>
  <c r="A124" i="47" s="1"/>
  <c r="A125" i="47" s="1"/>
  <c r="A126" i="47" s="1"/>
  <c r="A127" i="47" s="1"/>
  <c r="A128" i="47" s="1"/>
  <c r="A129" i="47" s="1"/>
  <c r="A130" i="47" s="1"/>
  <c r="A131" i="47" s="1"/>
  <c r="A132" i="47" s="1"/>
  <c r="A133" i="47" s="1"/>
  <c r="A134" i="47" s="1"/>
  <c r="A135" i="47" s="1"/>
  <c r="A2" i="47"/>
  <c r="B1" i="47"/>
  <c r="C1" i="47" s="1"/>
  <c r="D1" i="47" s="1"/>
  <c r="E1" i="47" s="1"/>
  <c r="F1" i="47" s="1"/>
  <c r="G1" i="47" s="1"/>
  <c r="H1" i="47" s="1"/>
  <c r="I1" i="47" s="1"/>
  <c r="J1" i="47" s="1"/>
  <c r="K1" i="47" s="1"/>
  <c r="L1" i="47" s="1"/>
  <c r="M1" i="47" s="1"/>
  <c r="N1" i="47" s="1"/>
  <c r="O1" i="47" s="1"/>
  <c r="P1" i="47" s="1"/>
  <c r="L135" i="46"/>
  <c r="H135" i="46"/>
  <c r="D135" i="46"/>
  <c r="O134" i="46"/>
  <c r="O135" i="46" s="1"/>
  <c r="N134" i="46"/>
  <c r="N135" i="46" s="1"/>
  <c r="M134" i="46"/>
  <c r="M135" i="46" s="1"/>
  <c r="L134" i="46"/>
  <c r="K134" i="46"/>
  <c r="K135" i="46" s="1"/>
  <c r="J134" i="46"/>
  <c r="J135" i="46" s="1"/>
  <c r="I134" i="46"/>
  <c r="I135" i="46" s="1"/>
  <c r="H134" i="46"/>
  <c r="G134" i="46"/>
  <c r="G135" i="46" s="1"/>
  <c r="F134" i="46"/>
  <c r="F135" i="46" s="1"/>
  <c r="E134" i="46"/>
  <c r="E135" i="46" s="1"/>
  <c r="D134" i="46"/>
  <c r="C134" i="46"/>
  <c r="C135" i="46" s="1"/>
  <c r="B134" i="46"/>
  <c r="B135" i="46" s="1"/>
  <c r="E121" i="46"/>
  <c r="J120" i="46"/>
  <c r="J121" i="46" s="1"/>
  <c r="E120" i="46"/>
  <c r="J101" i="46"/>
  <c r="E101" i="46"/>
  <c r="J75" i="46"/>
  <c r="E75" i="46"/>
  <c r="J74" i="46"/>
  <c r="E74" i="46"/>
  <c r="J73" i="46"/>
  <c r="E73" i="46"/>
  <c r="G53" i="46"/>
  <c r="E49" i="46"/>
  <c r="H37" i="46"/>
  <c r="I37" i="46" s="1"/>
  <c r="J31" i="46"/>
  <c r="J30" i="46"/>
  <c r="J28" i="46"/>
  <c r="K16" i="46"/>
  <c r="I16" i="46"/>
  <c r="L15" i="46"/>
  <c r="K14" i="46"/>
  <c r="I14" i="46"/>
  <c r="L13" i="46"/>
  <c r="K12" i="46"/>
  <c r="I12" i="46"/>
  <c r="L11" i="46"/>
  <c r="J19" i="46" s="1"/>
  <c r="A3" i="46"/>
  <c r="A4" i="46" s="1"/>
  <c r="A5" i="46" s="1"/>
  <c r="A6" i="46" s="1"/>
  <c r="A7" i="46" s="1"/>
  <c r="A8" i="46" s="1"/>
  <c r="A9" i="46" s="1"/>
  <c r="A10" i="46" s="1"/>
  <c r="A11" i="46" s="1"/>
  <c r="A12" i="46" s="1"/>
  <c r="A13" i="46" s="1"/>
  <c r="A14" i="46" s="1"/>
  <c r="A15" i="46" s="1"/>
  <c r="A16" i="46" s="1"/>
  <c r="A17" i="46" s="1"/>
  <c r="A18" i="46" s="1"/>
  <c r="A19" i="46" s="1"/>
  <c r="A20" i="46" s="1"/>
  <c r="A21" i="46" s="1"/>
  <c r="A22" i="46" s="1"/>
  <c r="A23" i="46" s="1"/>
  <c r="A24" i="46" s="1"/>
  <c r="A25" i="46" s="1"/>
  <c r="A26" i="46" s="1"/>
  <c r="A27" i="46" s="1"/>
  <c r="A28" i="46" s="1"/>
  <c r="A29" i="46" s="1"/>
  <c r="A30" i="46" s="1"/>
  <c r="A31" i="46" s="1"/>
  <c r="A32" i="46" s="1"/>
  <c r="A33" i="46" s="1"/>
  <c r="A34" i="46" s="1"/>
  <c r="A35" i="46" s="1"/>
  <c r="A36" i="46" s="1"/>
  <c r="A37" i="46" s="1"/>
  <c r="A38" i="46" s="1"/>
  <c r="A39" i="46" s="1"/>
  <c r="A40" i="46" s="1"/>
  <c r="A41" i="46" s="1"/>
  <c r="A42" i="46" s="1"/>
  <c r="A43" i="46" s="1"/>
  <c r="A44" i="46" s="1"/>
  <c r="A45" i="46" s="1"/>
  <c r="A46" i="46" s="1"/>
  <c r="A47" i="46" s="1"/>
  <c r="A48" i="46" s="1"/>
  <c r="A49" i="46" s="1"/>
  <c r="A50" i="46" s="1"/>
  <c r="A51" i="46" s="1"/>
  <c r="A52" i="46" s="1"/>
  <c r="A53" i="46" s="1"/>
  <c r="A54" i="46" s="1"/>
  <c r="A55" i="46" s="1"/>
  <c r="A56" i="46" s="1"/>
  <c r="A57" i="46" s="1"/>
  <c r="A58" i="46" s="1"/>
  <c r="A59" i="46" s="1"/>
  <c r="A60" i="46" s="1"/>
  <c r="A61" i="46" s="1"/>
  <c r="A62" i="46" s="1"/>
  <c r="A63" i="46" s="1"/>
  <c r="A64" i="46" s="1"/>
  <c r="A65" i="46" s="1"/>
  <c r="A66" i="46" s="1"/>
  <c r="A67" i="46" s="1"/>
  <c r="A68" i="46" s="1"/>
  <c r="A69" i="46" s="1"/>
  <c r="A70" i="46" s="1"/>
  <c r="A71" i="46" s="1"/>
  <c r="A72" i="46" s="1"/>
  <c r="A73" i="46" s="1"/>
  <c r="A74" i="46" s="1"/>
  <c r="A75" i="46" s="1"/>
  <c r="A76" i="46" s="1"/>
  <c r="A77" i="46" s="1"/>
  <c r="A78" i="46" s="1"/>
  <c r="A79" i="46" s="1"/>
  <c r="A80" i="46" s="1"/>
  <c r="A81" i="46" s="1"/>
  <c r="A82" i="46" s="1"/>
  <c r="A83" i="46" s="1"/>
  <c r="A84" i="46" s="1"/>
  <c r="A85" i="46" s="1"/>
  <c r="A86" i="46" s="1"/>
  <c r="A87" i="46" s="1"/>
  <c r="A88" i="46" s="1"/>
  <c r="A89" i="46" s="1"/>
  <c r="A90" i="46" s="1"/>
  <c r="A91" i="46" s="1"/>
  <c r="A92" i="46" s="1"/>
  <c r="A93" i="46" s="1"/>
  <c r="A94" i="46" s="1"/>
  <c r="A95" i="46" s="1"/>
  <c r="A96" i="46" s="1"/>
  <c r="A97" i="46" s="1"/>
  <c r="A98" i="46" s="1"/>
  <c r="A99" i="46" s="1"/>
  <c r="A100" i="46" s="1"/>
  <c r="A101" i="46" s="1"/>
  <c r="A102" i="46" s="1"/>
  <c r="A103" i="46" s="1"/>
  <c r="A104" i="46" s="1"/>
  <c r="A105" i="46" s="1"/>
  <c r="A106" i="46" s="1"/>
  <c r="A107" i="46" s="1"/>
  <c r="A108" i="46" s="1"/>
  <c r="A109" i="46" s="1"/>
  <c r="A110" i="46" s="1"/>
  <c r="A111" i="46" s="1"/>
  <c r="A112" i="46" s="1"/>
  <c r="A113" i="46" s="1"/>
  <c r="A114" i="46" s="1"/>
  <c r="A115" i="46" s="1"/>
  <c r="A116" i="46" s="1"/>
  <c r="A117" i="46" s="1"/>
  <c r="A118" i="46" s="1"/>
  <c r="A119" i="46" s="1"/>
  <c r="A120" i="46" s="1"/>
  <c r="A121" i="46" s="1"/>
  <c r="A122" i="46" s="1"/>
  <c r="A123" i="46" s="1"/>
  <c r="A124" i="46" s="1"/>
  <c r="A125" i="46" s="1"/>
  <c r="A126" i="46" s="1"/>
  <c r="A127" i="46" s="1"/>
  <c r="A128" i="46" s="1"/>
  <c r="A129" i="46" s="1"/>
  <c r="A130" i="46" s="1"/>
  <c r="A131" i="46" s="1"/>
  <c r="A132" i="46" s="1"/>
  <c r="A133" i="46" s="1"/>
  <c r="A134" i="46" s="1"/>
  <c r="A135" i="46" s="1"/>
  <c r="A2" i="46"/>
  <c r="B1" i="46"/>
  <c r="C1" i="46" s="1"/>
  <c r="D1" i="46" s="1"/>
  <c r="E1" i="46" s="1"/>
  <c r="F1" i="46" s="1"/>
  <c r="G1" i="46" s="1"/>
  <c r="H1" i="46" s="1"/>
  <c r="I1" i="46" s="1"/>
  <c r="J1" i="46" s="1"/>
  <c r="K1" i="46" s="1"/>
  <c r="L1" i="46" s="1"/>
  <c r="M1" i="46" s="1"/>
  <c r="N1" i="46" s="1"/>
  <c r="O1" i="46" s="1"/>
  <c r="P1" i="46" s="1"/>
  <c r="L135" i="45"/>
  <c r="H135" i="45"/>
  <c r="D135" i="45"/>
  <c r="O134" i="45"/>
  <c r="O135" i="45" s="1"/>
  <c r="N134" i="45"/>
  <c r="N135" i="45" s="1"/>
  <c r="M134" i="45"/>
  <c r="M135" i="45" s="1"/>
  <c r="L134" i="45"/>
  <c r="K134" i="45"/>
  <c r="K135" i="45" s="1"/>
  <c r="J134" i="45"/>
  <c r="J135" i="45" s="1"/>
  <c r="I134" i="45"/>
  <c r="I135" i="45" s="1"/>
  <c r="H134" i="45"/>
  <c r="G134" i="45"/>
  <c r="G135" i="45" s="1"/>
  <c r="F134" i="45"/>
  <c r="F135" i="45" s="1"/>
  <c r="E134" i="45"/>
  <c r="E135" i="45" s="1"/>
  <c r="D134" i="45"/>
  <c r="C134" i="45"/>
  <c r="C135" i="45" s="1"/>
  <c r="B134" i="45"/>
  <c r="B135" i="45" s="1"/>
  <c r="E121" i="45"/>
  <c r="J120" i="45"/>
  <c r="J121" i="45" s="1"/>
  <c r="E120" i="45"/>
  <c r="J101" i="45"/>
  <c r="E101" i="45"/>
  <c r="J75" i="45"/>
  <c r="E75" i="45"/>
  <c r="J74" i="45"/>
  <c r="E74" i="45"/>
  <c r="J73" i="45"/>
  <c r="E73" i="45"/>
  <c r="G53" i="45"/>
  <c r="E49" i="45"/>
  <c r="H37" i="45"/>
  <c r="I37" i="45" s="1"/>
  <c r="J31" i="45"/>
  <c r="J30" i="45"/>
  <c r="J28" i="45"/>
  <c r="K16" i="45"/>
  <c r="I16" i="45"/>
  <c r="L15" i="45"/>
  <c r="K14" i="45"/>
  <c r="I14" i="45"/>
  <c r="L13" i="45"/>
  <c r="K12" i="45"/>
  <c r="I12" i="45"/>
  <c r="L11" i="45"/>
  <c r="J19" i="45" s="1"/>
  <c r="A3" i="45"/>
  <c r="A4" i="45" s="1"/>
  <c r="A5" i="45" s="1"/>
  <c r="A6" i="45" s="1"/>
  <c r="A7" i="45" s="1"/>
  <c r="A8" i="45" s="1"/>
  <c r="A9" i="45" s="1"/>
  <c r="A10" i="45" s="1"/>
  <c r="A11" i="45" s="1"/>
  <c r="A12" i="45" s="1"/>
  <c r="A13" i="45" s="1"/>
  <c r="A14" i="45" s="1"/>
  <c r="A15" i="45" s="1"/>
  <c r="A16" i="45" s="1"/>
  <c r="A17" i="45" s="1"/>
  <c r="A18" i="45" s="1"/>
  <c r="A19" i="45" s="1"/>
  <c r="A20" i="45" s="1"/>
  <c r="A21" i="45" s="1"/>
  <c r="A22" i="45" s="1"/>
  <c r="A23" i="45" s="1"/>
  <c r="A24" i="45" s="1"/>
  <c r="A25" i="45" s="1"/>
  <c r="A26" i="45" s="1"/>
  <c r="A27" i="45" s="1"/>
  <c r="A28" i="45" s="1"/>
  <c r="A29" i="45" s="1"/>
  <c r="A30" i="45" s="1"/>
  <c r="A31" i="45" s="1"/>
  <c r="A32" i="45" s="1"/>
  <c r="A33" i="45" s="1"/>
  <c r="A34" i="45" s="1"/>
  <c r="A35" i="45" s="1"/>
  <c r="A36" i="45" s="1"/>
  <c r="A37" i="45" s="1"/>
  <c r="A38" i="45" s="1"/>
  <c r="A39" i="45" s="1"/>
  <c r="A40" i="45" s="1"/>
  <c r="A41" i="45" s="1"/>
  <c r="A42" i="45" s="1"/>
  <c r="A43" i="45" s="1"/>
  <c r="A44" i="45" s="1"/>
  <c r="A45" i="45" s="1"/>
  <c r="A46" i="45" s="1"/>
  <c r="A47" i="45" s="1"/>
  <c r="A48" i="45" s="1"/>
  <c r="A49" i="45" s="1"/>
  <c r="A50" i="45" s="1"/>
  <c r="A51" i="45" s="1"/>
  <c r="A52" i="45" s="1"/>
  <c r="A53" i="45" s="1"/>
  <c r="A54" i="45" s="1"/>
  <c r="A55" i="45" s="1"/>
  <c r="A56" i="45" s="1"/>
  <c r="A57" i="45" s="1"/>
  <c r="A58" i="45" s="1"/>
  <c r="A59" i="45" s="1"/>
  <c r="A60" i="45" s="1"/>
  <c r="A61" i="45" s="1"/>
  <c r="A62" i="45" s="1"/>
  <c r="A63" i="45" s="1"/>
  <c r="A64" i="45" s="1"/>
  <c r="A65" i="45" s="1"/>
  <c r="A66" i="45" s="1"/>
  <c r="A67" i="45" s="1"/>
  <c r="A68" i="45" s="1"/>
  <c r="A69" i="45" s="1"/>
  <c r="A70" i="45" s="1"/>
  <c r="A71" i="45" s="1"/>
  <c r="A72" i="45" s="1"/>
  <c r="A73" i="45" s="1"/>
  <c r="A74" i="45" s="1"/>
  <c r="A75" i="45" s="1"/>
  <c r="A76" i="45" s="1"/>
  <c r="A77" i="45" s="1"/>
  <c r="A78" i="45" s="1"/>
  <c r="A79" i="45" s="1"/>
  <c r="A80" i="45" s="1"/>
  <c r="A81" i="45" s="1"/>
  <c r="A82" i="45" s="1"/>
  <c r="A83" i="45" s="1"/>
  <c r="A84" i="45" s="1"/>
  <c r="A85" i="45" s="1"/>
  <c r="A86" i="45" s="1"/>
  <c r="A87" i="45" s="1"/>
  <c r="A88" i="45" s="1"/>
  <c r="A89" i="45" s="1"/>
  <c r="A90" i="45" s="1"/>
  <c r="A91" i="45" s="1"/>
  <c r="A92" i="45" s="1"/>
  <c r="A93" i="45" s="1"/>
  <c r="A94" i="45" s="1"/>
  <c r="A95" i="45" s="1"/>
  <c r="A96" i="45" s="1"/>
  <c r="A97" i="45" s="1"/>
  <c r="A98" i="45" s="1"/>
  <c r="A99" i="45" s="1"/>
  <c r="A100" i="45" s="1"/>
  <c r="A101" i="45" s="1"/>
  <c r="A102" i="45" s="1"/>
  <c r="A103" i="45" s="1"/>
  <c r="A104" i="45" s="1"/>
  <c r="A105" i="45" s="1"/>
  <c r="A106" i="45" s="1"/>
  <c r="A107" i="45" s="1"/>
  <c r="A108" i="45" s="1"/>
  <c r="A109" i="45" s="1"/>
  <c r="A110" i="45" s="1"/>
  <c r="A111" i="45" s="1"/>
  <c r="A112" i="45" s="1"/>
  <c r="A113" i="45" s="1"/>
  <c r="A114" i="45" s="1"/>
  <c r="A115" i="45" s="1"/>
  <c r="A116" i="45" s="1"/>
  <c r="A117" i="45" s="1"/>
  <c r="A118" i="45" s="1"/>
  <c r="A119" i="45" s="1"/>
  <c r="A120" i="45" s="1"/>
  <c r="A121" i="45" s="1"/>
  <c r="A122" i="45" s="1"/>
  <c r="A123" i="45" s="1"/>
  <c r="A124" i="45" s="1"/>
  <c r="A125" i="45" s="1"/>
  <c r="A126" i="45" s="1"/>
  <c r="A127" i="45" s="1"/>
  <c r="A128" i="45" s="1"/>
  <c r="A129" i="45" s="1"/>
  <c r="A130" i="45" s="1"/>
  <c r="A131" i="45" s="1"/>
  <c r="A132" i="45" s="1"/>
  <c r="A133" i="45" s="1"/>
  <c r="A134" i="45" s="1"/>
  <c r="A135" i="45" s="1"/>
  <c r="A2" i="45"/>
  <c r="B1" i="45"/>
  <c r="C1" i="45" s="1"/>
  <c r="D1" i="45" s="1"/>
  <c r="E1" i="45" s="1"/>
  <c r="F1" i="45" s="1"/>
  <c r="G1" i="45" s="1"/>
  <c r="H1" i="45" s="1"/>
  <c r="I1" i="45" s="1"/>
  <c r="J1" i="45" s="1"/>
  <c r="K1" i="45" s="1"/>
  <c r="L1" i="45" s="1"/>
  <c r="M1" i="45" s="1"/>
  <c r="N1" i="45" s="1"/>
  <c r="O1" i="45" s="1"/>
  <c r="P1" i="45" s="1"/>
  <c r="O135" i="44"/>
  <c r="M135" i="44"/>
  <c r="K135" i="44"/>
  <c r="I135" i="44"/>
  <c r="G135" i="44"/>
  <c r="E135" i="44"/>
  <c r="C135" i="44"/>
  <c r="O134" i="44"/>
  <c r="N134" i="44"/>
  <c r="N135" i="44" s="1"/>
  <c r="M134" i="44"/>
  <c r="L134" i="44"/>
  <c r="L135" i="44" s="1"/>
  <c r="K134" i="44"/>
  <c r="J134" i="44"/>
  <c r="J135" i="44" s="1"/>
  <c r="I134" i="44"/>
  <c r="H134" i="44"/>
  <c r="H135" i="44" s="1"/>
  <c r="G134" i="44"/>
  <c r="F134" i="44"/>
  <c r="F135" i="44" s="1"/>
  <c r="E134" i="44"/>
  <c r="D134" i="44"/>
  <c r="D135" i="44" s="1"/>
  <c r="C134" i="44"/>
  <c r="B134" i="44"/>
  <c r="B135" i="44" s="1"/>
  <c r="J121" i="44"/>
  <c r="J120" i="44"/>
  <c r="E120" i="44"/>
  <c r="E121" i="44" s="1"/>
  <c r="J101" i="44"/>
  <c r="E101" i="44"/>
  <c r="J75" i="44"/>
  <c r="E75" i="44"/>
  <c r="J74" i="44"/>
  <c r="E74" i="44"/>
  <c r="J73" i="44"/>
  <c r="E73" i="44"/>
  <c r="G53" i="44"/>
  <c r="E49" i="44"/>
  <c r="I37" i="44"/>
  <c r="H37" i="44"/>
  <c r="J31" i="44"/>
  <c r="J30" i="44"/>
  <c r="J28" i="44"/>
  <c r="K16" i="44"/>
  <c r="I16" i="44"/>
  <c r="L15" i="44"/>
  <c r="K14" i="44"/>
  <c r="I14" i="44"/>
  <c r="L13" i="44"/>
  <c r="K12" i="44"/>
  <c r="I12" i="44"/>
  <c r="L11" i="44"/>
  <c r="J19" i="44" s="1"/>
  <c r="J29" i="44" s="1"/>
  <c r="A4" i="44"/>
  <c r="A5" i="44" s="1"/>
  <c r="A6" i="44" s="1"/>
  <c r="A7" i="44" s="1"/>
  <c r="A8" i="44" s="1"/>
  <c r="A9" i="44" s="1"/>
  <c r="A10" i="44" s="1"/>
  <c r="A11" i="44" s="1"/>
  <c r="A12" i="44" s="1"/>
  <c r="A13" i="44" s="1"/>
  <c r="A14" i="44" s="1"/>
  <c r="A15" i="44" s="1"/>
  <c r="A16" i="44" s="1"/>
  <c r="A17" i="44" s="1"/>
  <c r="A18" i="44" s="1"/>
  <c r="A19" i="44" s="1"/>
  <c r="A20" i="44" s="1"/>
  <c r="A21" i="44" s="1"/>
  <c r="A22" i="44" s="1"/>
  <c r="A23" i="44" s="1"/>
  <c r="A24" i="44" s="1"/>
  <c r="A25" i="44" s="1"/>
  <c r="A26" i="44" s="1"/>
  <c r="A27" i="44" s="1"/>
  <c r="A28" i="44" s="1"/>
  <c r="A29" i="44" s="1"/>
  <c r="A30" i="44" s="1"/>
  <c r="A31" i="44" s="1"/>
  <c r="A32" i="44" s="1"/>
  <c r="A33" i="44" s="1"/>
  <c r="A34" i="44" s="1"/>
  <c r="A35" i="44" s="1"/>
  <c r="A36" i="44" s="1"/>
  <c r="A37" i="44" s="1"/>
  <c r="A38" i="44" s="1"/>
  <c r="A39" i="44" s="1"/>
  <c r="A40" i="44" s="1"/>
  <c r="A41" i="44" s="1"/>
  <c r="A42" i="44" s="1"/>
  <c r="A43" i="44" s="1"/>
  <c r="A44" i="44" s="1"/>
  <c r="A45" i="44" s="1"/>
  <c r="A46" i="44" s="1"/>
  <c r="A47" i="44" s="1"/>
  <c r="A48" i="44" s="1"/>
  <c r="A49" i="44" s="1"/>
  <c r="A50" i="44" s="1"/>
  <c r="A51" i="44" s="1"/>
  <c r="A52" i="44" s="1"/>
  <c r="A53" i="44" s="1"/>
  <c r="A54" i="44" s="1"/>
  <c r="A55" i="44" s="1"/>
  <c r="A56" i="44" s="1"/>
  <c r="A57" i="44" s="1"/>
  <c r="A58" i="44" s="1"/>
  <c r="A59" i="44" s="1"/>
  <c r="A60" i="44" s="1"/>
  <c r="A61" i="44" s="1"/>
  <c r="A62" i="44" s="1"/>
  <c r="A63" i="44" s="1"/>
  <c r="A64" i="44" s="1"/>
  <c r="A65" i="44" s="1"/>
  <c r="A66" i="44" s="1"/>
  <c r="A67" i="44" s="1"/>
  <c r="A68" i="44" s="1"/>
  <c r="A69" i="44" s="1"/>
  <c r="A70" i="44" s="1"/>
  <c r="A71" i="44" s="1"/>
  <c r="A72" i="44" s="1"/>
  <c r="A73" i="44" s="1"/>
  <c r="A74" i="44" s="1"/>
  <c r="A75" i="44" s="1"/>
  <c r="A76" i="44" s="1"/>
  <c r="A77" i="44" s="1"/>
  <c r="A78" i="44" s="1"/>
  <c r="A79" i="44" s="1"/>
  <c r="A80" i="44" s="1"/>
  <c r="A81" i="44" s="1"/>
  <c r="A82" i="44" s="1"/>
  <c r="A83" i="44" s="1"/>
  <c r="A84" i="44" s="1"/>
  <c r="A85" i="44" s="1"/>
  <c r="A86" i="44" s="1"/>
  <c r="A87" i="44" s="1"/>
  <c r="A88" i="44" s="1"/>
  <c r="A89" i="44" s="1"/>
  <c r="A90" i="44" s="1"/>
  <c r="A91" i="44" s="1"/>
  <c r="A92" i="44" s="1"/>
  <c r="A93" i="44" s="1"/>
  <c r="A94" i="44" s="1"/>
  <c r="A95" i="44" s="1"/>
  <c r="A96" i="44" s="1"/>
  <c r="A97" i="44" s="1"/>
  <c r="A98" i="44" s="1"/>
  <c r="A99" i="44" s="1"/>
  <c r="A100" i="44" s="1"/>
  <c r="A101" i="44" s="1"/>
  <c r="A102" i="44" s="1"/>
  <c r="A103" i="44" s="1"/>
  <c r="A104" i="44" s="1"/>
  <c r="A105" i="44" s="1"/>
  <c r="A106" i="44" s="1"/>
  <c r="A107" i="44" s="1"/>
  <c r="A108" i="44" s="1"/>
  <c r="A109" i="44" s="1"/>
  <c r="A110" i="44" s="1"/>
  <c r="A111" i="44" s="1"/>
  <c r="A112" i="44" s="1"/>
  <c r="A113" i="44" s="1"/>
  <c r="A114" i="44" s="1"/>
  <c r="A115" i="44" s="1"/>
  <c r="A116" i="44" s="1"/>
  <c r="A117" i="44" s="1"/>
  <c r="A118" i="44" s="1"/>
  <c r="A119" i="44" s="1"/>
  <c r="A120" i="44" s="1"/>
  <c r="A121" i="44" s="1"/>
  <c r="A122" i="44" s="1"/>
  <c r="A123" i="44" s="1"/>
  <c r="A124" i="44" s="1"/>
  <c r="A125" i="44" s="1"/>
  <c r="A126" i="44" s="1"/>
  <c r="A127" i="44" s="1"/>
  <c r="A128" i="44" s="1"/>
  <c r="A129" i="44" s="1"/>
  <c r="A130" i="44" s="1"/>
  <c r="A131" i="44" s="1"/>
  <c r="A132" i="44" s="1"/>
  <c r="A133" i="44" s="1"/>
  <c r="A134" i="44" s="1"/>
  <c r="A135" i="44" s="1"/>
  <c r="A2" i="44"/>
  <c r="A3" i="44" s="1"/>
  <c r="C1" i="44"/>
  <c r="D1" i="44" s="1"/>
  <c r="E1" i="44" s="1"/>
  <c r="F1" i="44" s="1"/>
  <c r="G1" i="44" s="1"/>
  <c r="H1" i="44" s="1"/>
  <c r="I1" i="44" s="1"/>
  <c r="J1" i="44" s="1"/>
  <c r="K1" i="44" s="1"/>
  <c r="L1" i="44" s="1"/>
  <c r="M1" i="44" s="1"/>
  <c r="N1" i="44" s="1"/>
  <c r="O1" i="44" s="1"/>
  <c r="P1" i="44" s="1"/>
  <c r="B1" i="44"/>
  <c r="O135" i="43"/>
  <c r="M135" i="43"/>
  <c r="K135" i="43"/>
  <c r="I135" i="43"/>
  <c r="G135" i="43"/>
  <c r="E135" i="43"/>
  <c r="C135" i="43"/>
  <c r="O134" i="43"/>
  <c r="N134" i="43"/>
  <c r="N135" i="43" s="1"/>
  <c r="M134" i="43"/>
  <c r="L134" i="43"/>
  <c r="L135" i="43" s="1"/>
  <c r="K134" i="43"/>
  <c r="J134" i="43"/>
  <c r="J135" i="43" s="1"/>
  <c r="I134" i="43"/>
  <c r="H134" i="43"/>
  <c r="H135" i="43" s="1"/>
  <c r="G134" i="43"/>
  <c r="F134" i="43"/>
  <c r="F135" i="43" s="1"/>
  <c r="E134" i="43"/>
  <c r="D134" i="43"/>
  <c r="D135" i="43" s="1"/>
  <c r="C134" i="43"/>
  <c r="B134" i="43"/>
  <c r="B135" i="43" s="1"/>
  <c r="J121" i="43"/>
  <c r="J120" i="43"/>
  <c r="E120" i="43"/>
  <c r="E121" i="43" s="1"/>
  <c r="J101" i="43"/>
  <c r="E101" i="43"/>
  <c r="J75" i="43"/>
  <c r="E75" i="43"/>
  <c r="J74" i="43"/>
  <c r="E74" i="43"/>
  <c r="J73" i="43"/>
  <c r="E73" i="43"/>
  <c r="G53" i="43"/>
  <c r="E49" i="43"/>
  <c r="I37" i="43"/>
  <c r="H37" i="43"/>
  <c r="J31" i="43"/>
  <c r="J30" i="43"/>
  <c r="J29" i="43"/>
  <c r="J28" i="43"/>
  <c r="J27" i="43"/>
  <c r="K16" i="43"/>
  <c r="I16" i="43"/>
  <c r="L15" i="43"/>
  <c r="K14" i="43"/>
  <c r="I14" i="43"/>
  <c r="L13" i="43"/>
  <c r="K12" i="43"/>
  <c r="I12" i="43"/>
  <c r="L11" i="43"/>
  <c r="J19" i="43" s="1"/>
  <c r="A2" i="43"/>
  <c r="A3" i="43" s="1"/>
  <c r="A4" i="43" s="1"/>
  <c r="A5" i="43" s="1"/>
  <c r="A6" i="43" s="1"/>
  <c r="A7" i="43" s="1"/>
  <c r="A8" i="43" s="1"/>
  <c r="A9" i="43" s="1"/>
  <c r="A10" i="43" s="1"/>
  <c r="A11" i="43" s="1"/>
  <c r="A12" i="43" s="1"/>
  <c r="A13" i="43" s="1"/>
  <c r="A14" i="43" s="1"/>
  <c r="A15" i="43" s="1"/>
  <c r="A16" i="43" s="1"/>
  <c r="A17" i="43" s="1"/>
  <c r="A18" i="43" s="1"/>
  <c r="A19" i="43" s="1"/>
  <c r="A20" i="43" s="1"/>
  <c r="A21" i="43" s="1"/>
  <c r="A22" i="43" s="1"/>
  <c r="A23" i="43" s="1"/>
  <c r="A24" i="43" s="1"/>
  <c r="A25" i="43" s="1"/>
  <c r="A26" i="43" s="1"/>
  <c r="A27" i="43" s="1"/>
  <c r="A28" i="43" s="1"/>
  <c r="A29" i="43" s="1"/>
  <c r="A30" i="43" s="1"/>
  <c r="A31" i="43" s="1"/>
  <c r="A32" i="43" s="1"/>
  <c r="A33" i="43" s="1"/>
  <c r="A34" i="43" s="1"/>
  <c r="A35" i="43" s="1"/>
  <c r="A36" i="43" s="1"/>
  <c r="A37" i="43" s="1"/>
  <c r="A38" i="43" s="1"/>
  <c r="A39" i="43" s="1"/>
  <c r="A40" i="43" s="1"/>
  <c r="A41" i="43" s="1"/>
  <c r="A42" i="43" s="1"/>
  <c r="A43" i="43" s="1"/>
  <c r="A44" i="43" s="1"/>
  <c r="A45" i="43" s="1"/>
  <c r="A46" i="43" s="1"/>
  <c r="A47" i="43" s="1"/>
  <c r="A48" i="43" s="1"/>
  <c r="A49" i="43" s="1"/>
  <c r="A50" i="43" s="1"/>
  <c r="A51" i="43" s="1"/>
  <c r="A52" i="43" s="1"/>
  <c r="A53" i="43" s="1"/>
  <c r="A54" i="43" s="1"/>
  <c r="A55" i="43" s="1"/>
  <c r="A56" i="43" s="1"/>
  <c r="A57" i="43" s="1"/>
  <c r="A58" i="43" s="1"/>
  <c r="A59" i="43" s="1"/>
  <c r="A60" i="43" s="1"/>
  <c r="A61" i="43" s="1"/>
  <c r="A62" i="43" s="1"/>
  <c r="A63" i="43" s="1"/>
  <c r="A64" i="43" s="1"/>
  <c r="A65" i="43" s="1"/>
  <c r="A66" i="43" s="1"/>
  <c r="A67" i="43" s="1"/>
  <c r="A68" i="43" s="1"/>
  <c r="A69" i="43" s="1"/>
  <c r="A70" i="43" s="1"/>
  <c r="A71" i="43" s="1"/>
  <c r="A72" i="43" s="1"/>
  <c r="A73" i="43" s="1"/>
  <c r="A74" i="43" s="1"/>
  <c r="A75" i="43" s="1"/>
  <c r="A76" i="43" s="1"/>
  <c r="A77" i="43" s="1"/>
  <c r="A78" i="43" s="1"/>
  <c r="A79" i="43" s="1"/>
  <c r="A80" i="43" s="1"/>
  <c r="A81" i="43" s="1"/>
  <c r="A82" i="43" s="1"/>
  <c r="A83" i="43" s="1"/>
  <c r="A84" i="43" s="1"/>
  <c r="A85" i="43" s="1"/>
  <c r="A86" i="43" s="1"/>
  <c r="A87" i="43" s="1"/>
  <c r="A88" i="43" s="1"/>
  <c r="A89" i="43" s="1"/>
  <c r="A90" i="43" s="1"/>
  <c r="A91" i="43" s="1"/>
  <c r="A92" i="43" s="1"/>
  <c r="A93" i="43" s="1"/>
  <c r="A94" i="43" s="1"/>
  <c r="A95" i="43" s="1"/>
  <c r="A96" i="43" s="1"/>
  <c r="A97" i="43" s="1"/>
  <c r="A98" i="43" s="1"/>
  <c r="A99" i="43" s="1"/>
  <c r="A100" i="43" s="1"/>
  <c r="A101" i="43" s="1"/>
  <c r="A102" i="43" s="1"/>
  <c r="A103" i="43" s="1"/>
  <c r="A104" i="43" s="1"/>
  <c r="A105" i="43" s="1"/>
  <c r="A106" i="43" s="1"/>
  <c r="A107" i="43" s="1"/>
  <c r="A108" i="43" s="1"/>
  <c r="A109" i="43" s="1"/>
  <c r="A110" i="43" s="1"/>
  <c r="A111" i="43" s="1"/>
  <c r="A112" i="43" s="1"/>
  <c r="A113" i="43" s="1"/>
  <c r="A114" i="43" s="1"/>
  <c r="A115" i="43" s="1"/>
  <c r="A116" i="43" s="1"/>
  <c r="A117" i="43" s="1"/>
  <c r="A118" i="43" s="1"/>
  <c r="A119" i="43" s="1"/>
  <c r="A120" i="43" s="1"/>
  <c r="A121" i="43" s="1"/>
  <c r="A122" i="43" s="1"/>
  <c r="A123" i="43" s="1"/>
  <c r="A124" i="43" s="1"/>
  <c r="A125" i="43" s="1"/>
  <c r="A126" i="43" s="1"/>
  <c r="A127" i="43" s="1"/>
  <c r="A128" i="43" s="1"/>
  <c r="A129" i="43" s="1"/>
  <c r="A130" i="43" s="1"/>
  <c r="A131" i="43" s="1"/>
  <c r="A132" i="43" s="1"/>
  <c r="A133" i="43" s="1"/>
  <c r="A134" i="43" s="1"/>
  <c r="A135" i="43" s="1"/>
  <c r="C1" i="43"/>
  <c r="D1" i="43" s="1"/>
  <c r="E1" i="43" s="1"/>
  <c r="F1" i="43" s="1"/>
  <c r="G1" i="43" s="1"/>
  <c r="H1" i="43" s="1"/>
  <c r="I1" i="43" s="1"/>
  <c r="J1" i="43" s="1"/>
  <c r="K1" i="43" s="1"/>
  <c r="L1" i="43" s="1"/>
  <c r="M1" i="43" s="1"/>
  <c r="N1" i="43" s="1"/>
  <c r="O1" i="43" s="1"/>
  <c r="P1" i="43" s="1"/>
  <c r="B1" i="43"/>
  <c r="L135" i="42"/>
  <c r="H135" i="42"/>
  <c r="D135" i="42"/>
  <c r="O134" i="42"/>
  <c r="O135" i="42" s="1"/>
  <c r="N134" i="42"/>
  <c r="N135" i="42" s="1"/>
  <c r="M134" i="42"/>
  <c r="M135" i="42" s="1"/>
  <c r="L134" i="42"/>
  <c r="K134" i="42"/>
  <c r="K135" i="42" s="1"/>
  <c r="J134" i="42"/>
  <c r="J135" i="42" s="1"/>
  <c r="I134" i="42"/>
  <c r="I135" i="42" s="1"/>
  <c r="H134" i="42"/>
  <c r="G134" i="42"/>
  <c r="G135" i="42" s="1"/>
  <c r="F134" i="42"/>
  <c r="F135" i="42" s="1"/>
  <c r="E134" i="42"/>
  <c r="E135" i="42" s="1"/>
  <c r="D134" i="42"/>
  <c r="C134" i="42"/>
  <c r="C135" i="42" s="1"/>
  <c r="B134" i="42"/>
  <c r="B135" i="42" s="1"/>
  <c r="E121" i="42"/>
  <c r="J120" i="42"/>
  <c r="J121" i="42" s="1"/>
  <c r="E120" i="42"/>
  <c r="J101" i="42"/>
  <c r="E101" i="42"/>
  <c r="J75" i="42"/>
  <c r="E75" i="42"/>
  <c r="J74" i="42"/>
  <c r="E74" i="42"/>
  <c r="J73" i="42"/>
  <c r="E73" i="42"/>
  <c r="G53" i="42"/>
  <c r="E49" i="42"/>
  <c r="H37" i="42"/>
  <c r="I37" i="42" s="1"/>
  <c r="J31" i="42"/>
  <c r="J30" i="42"/>
  <c r="J28" i="42"/>
  <c r="K16" i="42"/>
  <c r="I16" i="42"/>
  <c r="L15" i="42"/>
  <c r="K14" i="42"/>
  <c r="I14" i="42"/>
  <c r="L13" i="42"/>
  <c r="K12" i="42"/>
  <c r="I12" i="42"/>
  <c r="L11" i="42"/>
  <c r="J19" i="42" s="1"/>
  <c r="A3" i="42"/>
  <c r="A4" i="42" s="1"/>
  <c r="A5" i="42" s="1"/>
  <c r="A6" i="42" s="1"/>
  <c r="A7" i="42" s="1"/>
  <c r="A8" i="42" s="1"/>
  <c r="A9" i="42" s="1"/>
  <c r="A10" i="42" s="1"/>
  <c r="A11" i="42" s="1"/>
  <c r="A12" i="42" s="1"/>
  <c r="A13" i="42" s="1"/>
  <c r="A14" i="42" s="1"/>
  <c r="A15" i="42" s="1"/>
  <c r="A16" i="42" s="1"/>
  <c r="A17" i="42" s="1"/>
  <c r="A18" i="42" s="1"/>
  <c r="A19" i="42" s="1"/>
  <c r="A20" i="42" s="1"/>
  <c r="A21" i="42" s="1"/>
  <c r="A22" i="42" s="1"/>
  <c r="A23" i="42" s="1"/>
  <c r="A24" i="42" s="1"/>
  <c r="A25" i="42" s="1"/>
  <c r="A26" i="42" s="1"/>
  <c r="A27" i="42" s="1"/>
  <c r="A28" i="42" s="1"/>
  <c r="A29" i="42" s="1"/>
  <c r="A30" i="42" s="1"/>
  <c r="A31" i="42" s="1"/>
  <c r="A32" i="42" s="1"/>
  <c r="A33" i="42" s="1"/>
  <c r="A34" i="42" s="1"/>
  <c r="A35" i="42" s="1"/>
  <c r="A36" i="42" s="1"/>
  <c r="A37" i="42" s="1"/>
  <c r="A38" i="42" s="1"/>
  <c r="A39" i="42" s="1"/>
  <c r="A40" i="42" s="1"/>
  <c r="A41" i="42" s="1"/>
  <c r="A42" i="42" s="1"/>
  <c r="A43" i="42" s="1"/>
  <c r="A44" i="42" s="1"/>
  <c r="A45" i="42" s="1"/>
  <c r="A46" i="42" s="1"/>
  <c r="A47" i="42" s="1"/>
  <c r="A48" i="42" s="1"/>
  <c r="A49" i="42" s="1"/>
  <c r="A50" i="42" s="1"/>
  <c r="A51" i="42" s="1"/>
  <c r="A52" i="42" s="1"/>
  <c r="A53" i="42" s="1"/>
  <c r="A54" i="42" s="1"/>
  <c r="A55" i="42" s="1"/>
  <c r="A56" i="42" s="1"/>
  <c r="A57" i="42" s="1"/>
  <c r="A58" i="42" s="1"/>
  <c r="A59" i="42" s="1"/>
  <c r="A60" i="42" s="1"/>
  <c r="A61" i="42" s="1"/>
  <c r="A62" i="42" s="1"/>
  <c r="A63" i="42" s="1"/>
  <c r="A64" i="42" s="1"/>
  <c r="A65" i="42" s="1"/>
  <c r="A66" i="42" s="1"/>
  <c r="A67" i="42" s="1"/>
  <c r="A68" i="42" s="1"/>
  <c r="A69" i="42" s="1"/>
  <c r="A70" i="42" s="1"/>
  <c r="A71" i="42" s="1"/>
  <c r="A72" i="42" s="1"/>
  <c r="A73" i="42" s="1"/>
  <c r="A74" i="42" s="1"/>
  <c r="A75" i="42" s="1"/>
  <c r="A76" i="42" s="1"/>
  <c r="A77" i="42" s="1"/>
  <c r="A78" i="42" s="1"/>
  <c r="A79" i="42" s="1"/>
  <c r="A80" i="42" s="1"/>
  <c r="A81" i="42" s="1"/>
  <c r="A82" i="42" s="1"/>
  <c r="A83" i="42" s="1"/>
  <c r="A84" i="42" s="1"/>
  <c r="A85" i="42" s="1"/>
  <c r="A86" i="42" s="1"/>
  <c r="A87" i="42" s="1"/>
  <c r="A88" i="42" s="1"/>
  <c r="A89" i="42" s="1"/>
  <c r="A90" i="42" s="1"/>
  <c r="A91" i="42" s="1"/>
  <c r="A92" i="42" s="1"/>
  <c r="A93" i="42" s="1"/>
  <c r="A94" i="42" s="1"/>
  <c r="A95" i="42" s="1"/>
  <c r="A96" i="42" s="1"/>
  <c r="A97" i="42" s="1"/>
  <c r="A98" i="42" s="1"/>
  <c r="A99" i="42" s="1"/>
  <c r="A100" i="42" s="1"/>
  <c r="A101" i="42" s="1"/>
  <c r="A102" i="42" s="1"/>
  <c r="A103" i="42" s="1"/>
  <c r="A104" i="42" s="1"/>
  <c r="A105" i="42" s="1"/>
  <c r="A106" i="42" s="1"/>
  <c r="A107" i="42" s="1"/>
  <c r="A108" i="42" s="1"/>
  <c r="A109" i="42" s="1"/>
  <c r="A110" i="42" s="1"/>
  <c r="A111" i="42" s="1"/>
  <c r="A112" i="42" s="1"/>
  <c r="A113" i="42" s="1"/>
  <c r="A114" i="42" s="1"/>
  <c r="A115" i="42" s="1"/>
  <c r="A116" i="42" s="1"/>
  <c r="A117" i="42" s="1"/>
  <c r="A118" i="42" s="1"/>
  <c r="A119" i="42" s="1"/>
  <c r="A120" i="42" s="1"/>
  <c r="A121" i="42" s="1"/>
  <c r="A122" i="42" s="1"/>
  <c r="A123" i="42" s="1"/>
  <c r="A124" i="42" s="1"/>
  <c r="A125" i="42" s="1"/>
  <c r="A126" i="42" s="1"/>
  <c r="A127" i="42" s="1"/>
  <c r="A128" i="42" s="1"/>
  <c r="A129" i="42" s="1"/>
  <c r="A130" i="42" s="1"/>
  <c r="A131" i="42" s="1"/>
  <c r="A132" i="42" s="1"/>
  <c r="A133" i="42" s="1"/>
  <c r="A134" i="42" s="1"/>
  <c r="A135" i="42" s="1"/>
  <c r="A2" i="42"/>
  <c r="B1" i="42"/>
  <c r="C1" i="42" s="1"/>
  <c r="D1" i="42" s="1"/>
  <c r="E1" i="42" s="1"/>
  <c r="F1" i="42" s="1"/>
  <c r="G1" i="42" s="1"/>
  <c r="H1" i="42" s="1"/>
  <c r="I1" i="42" s="1"/>
  <c r="J1" i="42" s="1"/>
  <c r="K1" i="42" s="1"/>
  <c r="L1" i="42" s="1"/>
  <c r="M1" i="42" s="1"/>
  <c r="N1" i="42" s="1"/>
  <c r="O1" i="42" s="1"/>
  <c r="P1" i="42" s="1"/>
  <c r="J101" i="1"/>
  <c r="E101" i="1"/>
  <c r="E120" i="1"/>
  <c r="AH23" i="4"/>
  <c r="AG22" i="4"/>
  <c r="BV23" i="4"/>
  <c r="BT22" i="4"/>
  <c r="ED23" i="4"/>
  <c r="DG22" i="4"/>
  <c r="EG24" i="4"/>
  <c r="AM24" i="4"/>
  <c r="AC23" i="4"/>
  <c r="Q25" i="4"/>
  <c r="AM18" i="4"/>
  <c r="DW21" i="4"/>
  <c r="BW18" i="4"/>
  <c r="AC16" i="4"/>
  <c r="O18" i="4"/>
  <c r="I16" i="4"/>
  <c r="G18" i="4"/>
  <c r="CL16" i="4"/>
  <c r="DV16" i="4"/>
  <c r="P25" i="4"/>
  <c r="I23" i="4"/>
  <c r="M22" i="4"/>
  <c r="CN22" i="4"/>
  <c r="BK19" i="4"/>
  <c r="AE18" i="4"/>
  <c r="AJ16" i="4"/>
  <c r="AV25" i="4"/>
  <c r="DS22" i="4"/>
  <c r="DC25" i="4"/>
  <c r="Y23" i="4"/>
  <c r="AD22" i="4"/>
  <c r="BR23" i="4"/>
  <c r="BI22" i="4"/>
  <c r="CL23" i="4"/>
  <c r="DD22" i="4"/>
  <c r="ED22" i="4"/>
  <c r="CI16" i="4"/>
  <c r="BF22" i="4"/>
  <c r="DI19" i="4"/>
  <c r="AG18" i="4"/>
  <c r="DI20" i="4"/>
  <c r="BG17" i="4"/>
  <c r="DE19" i="4"/>
  <c r="AG17" i="4"/>
  <c r="G17" i="4"/>
  <c r="AR16" i="4"/>
  <c r="BW22" i="4"/>
  <c r="BV25" i="4"/>
  <c r="R22" i="4"/>
  <c r="CE25" i="4"/>
  <c r="K19" i="4"/>
  <c r="X16" i="4"/>
  <c r="DC23" i="4"/>
  <c r="CE22" i="4"/>
  <c r="Y25" i="4"/>
  <c r="DP22" i="4"/>
  <c r="CL25" i="4"/>
  <c r="V23" i="4"/>
  <c r="U22" i="4"/>
  <c r="AX22" i="4"/>
  <c r="AG25" i="4"/>
  <c r="X21" i="4"/>
  <c r="Y16" i="4"/>
  <c r="N16" i="4"/>
  <c r="O19" i="4"/>
  <c r="CY16" i="4"/>
  <c r="AQ19" i="4"/>
  <c r="CQ16" i="4"/>
  <c r="DA18" i="4"/>
  <c r="AZ16" i="4"/>
  <c r="AV16" i="4"/>
  <c r="H16" i="4"/>
  <c r="DH22" i="4"/>
  <c r="AS22" i="4"/>
  <c r="BN22" i="4"/>
  <c r="H21" i="4"/>
  <c r="CO17" i="4"/>
  <c r="DB16" i="4"/>
  <c r="W17" i="4"/>
  <c r="AT22" i="4"/>
  <c r="E18" i="4"/>
  <c r="CE16" i="4"/>
  <c r="AF16" i="4"/>
  <c r="CZ22" i="4"/>
  <c r="DK25" i="4"/>
  <c r="Q24" i="4"/>
  <c r="CA16" i="4"/>
  <c r="CC18" i="4"/>
  <c r="BD16" i="4"/>
  <c r="BQ23" i="4"/>
  <c r="O20" i="4"/>
  <c r="Z23" i="4"/>
  <c r="BJ22" i="4"/>
  <c r="CP24" i="4"/>
  <c r="EB22" i="4"/>
  <c r="CF21" i="4"/>
  <c r="DU17" i="4"/>
  <c r="BV16" i="4"/>
  <c r="G25" i="4"/>
  <c r="BE16" i="4"/>
  <c r="AF25" i="4"/>
  <c r="Q23" i="4"/>
  <c r="BA22" i="4"/>
  <c r="BX22" i="4"/>
  <c r="EG21" i="4"/>
  <c r="BK20" i="4"/>
  <c r="L17" i="4"/>
  <c r="CG23" i="4"/>
  <c r="CQ21" i="4"/>
  <c r="BY17" i="4"/>
  <c r="BL25" i="4"/>
  <c r="EA22" i="4"/>
  <c r="DS25" i="4"/>
  <c r="AG23" i="4"/>
  <c r="AL22" i="4"/>
  <c r="CC23" i="4"/>
  <c r="CA22" i="4"/>
  <c r="EC23" i="4"/>
  <c r="E23" i="4"/>
  <c r="AH22" i="4"/>
  <c r="CU16" i="4"/>
  <c r="DA24" i="4"/>
  <c r="DY19" i="4"/>
  <c r="AO18" i="4"/>
  <c r="BU21" i="4"/>
  <c r="BQ17" i="4"/>
  <c r="AU20" i="4"/>
  <c r="AR17" i="4"/>
  <c r="AB17" i="4"/>
  <c r="BH16" i="4"/>
  <c r="DC22" i="4"/>
  <c r="N22" i="4"/>
  <c r="M23" i="4"/>
  <c r="DG16" i="4"/>
  <c r="CE18" i="4"/>
  <c r="EA16" i="4"/>
  <c r="DJ16" i="4"/>
  <c r="DY23" i="4"/>
  <c r="CM22" i="4"/>
  <c r="AO25" i="4"/>
  <c r="DX22" i="4"/>
  <c r="DB25" i="4"/>
  <c r="AD23" i="4"/>
  <c r="AC22" i="4"/>
  <c r="CF22" i="4"/>
  <c r="CU25" i="4"/>
  <c r="BI21" i="4"/>
  <c r="AK16" i="4"/>
  <c r="P21" i="4"/>
  <c r="AE19" i="4"/>
  <c r="DK16" i="4"/>
  <c r="BY19" i="4"/>
  <c r="DC16" i="4"/>
  <c r="EG18" i="4"/>
  <c r="BR16" i="4"/>
  <c r="BL16" i="4"/>
  <c r="CD25" i="4"/>
  <c r="BW25" i="4"/>
  <c r="AU23" i="4"/>
  <c r="DK24" i="4"/>
  <c r="Z22" i="4"/>
  <c r="U16" i="4"/>
  <c r="BI17" i="4"/>
  <c r="AZ23" i="4"/>
  <c r="AW22" i="4"/>
  <c r="CQ23" i="4"/>
  <c r="CJ22" i="4"/>
  <c r="X25" i="4"/>
  <c r="DW22" i="4"/>
  <c r="BM25" i="4"/>
  <c r="DV24" i="4"/>
  <c r="DG23" i="4"/>
  <c r="M18" i="4"/>
  <c r="CC20" i="4"/>
  <c r="CW23" i="4"/>
  <c r="CM18" i="4"/>
  <c r="BA16" i="4"/>
  <c r="BC18" i="4"/>
  <c r="AG16" i="4"/>
  <c r="AU18" i="4"/>
  <c r="Q17" i="4"/>
  <c r="AP23" i="4"/>
  <c r="G24" i="4"/>
  <c r="DU18" i="4"/>
  <c r="BW23" i="4"/>
  <c r="DW23" i="4"/>
  <c r="F23" i="4"/>
  <c r="BU24" i="4"/>
  <c r="F16" i="4"/>
  <c r="DQ18" i="4"/>
  <c r="T16" i="4"/>
  <c r="L25" i="4"/>
  <c r="J16" i="4"/>
  <c r="DZ25" i="4"/>
  <c r="BI23" i="4"/>
  <c r="CY22" i="4"/>
  <c r="CG17" i="4"/>
  <c r="Q16" i="4"/>
  <c r="EC17" i="4"/>
  <c r="J23" i="4"/>
  <c r="ED16" i="4"/>
  <c r="CM25" i="4"/>
  <c r="BE23" i="4"/>
  <c r="U23" i="4"/>
  <c r="Y18" i="4"/>
  <c r="CO19" i="4"/>
  <c r="AB16" i="4"/>
  <c r="AP22" i="4"/>
  <c r="E25" i="4"/>
  <c r="CU22" i="4"/>
  <c r="BE25" i="4"/>
  <c r="EF22" i="4"/>
  <c r="F22" i="4"/>
  <c r="AL23" i="4"/>
  <c r="AK22" i="4"/>
  <c r="DL22" i="4"/>
  <c r="J22" i="4"/>
  <c r="DA21" i="4"/>
  <c r="AW16" i="4"/>
  <c r="AX21" i="4"/>
  <c r="AU19" i="4"/>
  <c r="DW16" i="4"/>
  <c r="DU19" i="4"/>
  <c r="DO16" i="4"/>
  <c r="AA19" i="4"/>
  <c r="CH16" i="4"/>
  <c r="CD16" i="4"/>
  <c r="AM17" i="4"/>
  <c r="AO22" i="4"/>
  <c r="CM23" i="4"/>
  <c r="AK23" i="4"/>
  <c r="AE20" i="4"/>
  <c r="CM16" i="4"/>
  <c r="AF21" i="4"/>
  <c r="BZ16" i="4"/>
  <c r="BK23" i="4"/>
  <c r="BE22" i="4"/>
  <c r="DB23" i="4"/>
  <c r="CR22" i="4"/>
  <c r="AN25" i="4"/>
  <c r="EE22" i="4"/>
  <c r="EA25" i="4"/>
  <c r="AW25" i="4"/>
  <c r="AB24" i="4"/>
  <c r="G19" i="4"/>
  <c r="DY20" i="4"/>
  <c r="BH24" i="4"/>
  <c r="CU18" i="4"/>
  <c r="BM16" i="4"/>
  <c r="BU18" i="4"/>
  <c r="AS16" i="4"/>
  <c r="BK18" i="4"/>
  <c r="D16" i="4"/>
  <c r="EG16" i="4"/>
  <c r="CH23" i="4"/>
  <c r="AO23" i="4"/>
  <c r="CI22" i="4"/>
  <c r="AM19" i="4"/>
  <c r="AW18" i="4"/>
  <c r="CK18" i="4"/>
  <c r="DJ25" i="4"/>
  <c r="R23" i="4"/>
  <c r="Q22" i="4"/>
  <c r="AY23" i="4"/>
  <c r="BB22" i="4"/>
  <c r="DI23" i="4"/>
  <c r="CQ22" i="4"/>
  <c r="AW24" i="4"/>
  <c r="CA23" i="4"/>
  <c r="CV22" i="4"/>
  <c r="DS16" i="4"/>
  <c r="AY17" i="4"/>
  <c r="AN21" i="4"/>
  <c r="BE18" i="4"/>
  <c r="E16" i="4"/>
  <c r="DE17" i="4"/>
  <c r="DL21" i="4"/>
  <c r="CW17" i="4"/>
  <c r="AN16" i="4"/>
  <c r="CP16" i="4"/>
  <c r="I22" i="4"/>
  <c r="K25" i="4"/>
  <c r="CE24" i="4"/>
  <c r="M16" i="4"/>
  <c r="Q18" i="4"/>
  <c r="BG19" i="4"/>
  <c r="L16" i="4"/>
  <c r="BM22" i="4"/>
  <c r="BD25" i="4"/>
  <c r="E22" i="4"/>
  <c r="W19" i="4"/>
  <c r="DE18" i="4"/>
  <c r="BI16" i="4"/>
  <c r="P16" i="4"/>
  <c r="DO22" i="4"/>
  <c r="W18" i="4"/>
  <c r="Y22" i="4"/>
  <c r="DS23" i="4"/>
  <c r="EA24" i="4"/>
  <c r="EE16" i="4"/>
  <c r="BM18" i="4"/>
  <c r="BD23" i="4"/>
  <c r="DF16" i="4"/>
  <c r="CB22" i="4"/>
  <c r="AO16" i="4"/>
  <c r="DK22" i="4"/>
  <c r="V22" i="4"/>
  <c r="AS23" i="4"/>
  <c r="BW16" i="4"/>
  <c r="CC19" i="4"/>
  <c r="I18" i="4"/>
  <c r="DZ16" i="4"/>
  <c r="N23" i="4"/>
  <c r="DT22" i="4"/>
  <c r="FS16" i="4" l="1"/>
  <c r="FR18" i="4"/>
  <c r="FU22" i="4"/>
  <c r="EY21" i="4"/>
  <c r="EZ21" i="4" s="1"/>
  <c r="BS16" i="4"/>
  <c r="FT16" i="4"/>
  <c r="FS23" i="4"/>
  <c r="EY22" i="4"/>
  <c r="EZ22" i="4" s="1"/>
  <c r="FT23" i="4"/>
  <c r="FS25" i="4"/>
  <c r="FT25" i="4"/>
  <c r="FT22" i="4"/>
  <c r="BS23" i="4"/>
  <c r="J29" i="55"/>
  <c r="J27" i="55"/>
  <c r="J29" i="48"/>
  <c r="J27" i="48"/>
  <c r="J29" i="49"/>
  <c r="J27" i="49"/>
  <c r="J29" i="50"/>
  <c r="J27" i="50"/>
  <c r="J29" i="51"/>
  <c r="J27" i="51"/>
  <c r="J29" i="52"/>
  <c r="J27" i="52"/>
  <c r="J27" i="53"/>
  <c r="J27" i="54"/>
  <c r="J29" i="47"/>
  <c r="J27" i="47"/>
  <c r="J29" i="46"/>
  <c r="J27" i="46"/>
  <c r="J29" i="45"/>
  <c r="J27" i="45"/>
  <c r="J27" i="44"/>
  <c r="J29" i="42"/>
  <c r="J27" i="42"/>
  <c r="FS22" i="4" l="1"/>
  <c r="FS24" i="4"/>
  <c r="FS21" i="4"/>
  <c r="FS19" i="4"/>
  <c r="FS18" i="4"/>
  <c r="FS20" i="4"/>
  <c r="FS17" i="4"/>
  <c r="BT17" i="4"/>
  <c r="BT20" i="4"/>
  <c r="BD20" i="4"/>
  <c r="DI17" i="4"/>
  <c r="AN18" i="4"/>
  <c r="DC19" i="4"/>
  <c r="DA20" i="4"/>
  <c r="CY18" i="4"/>
  <c r="DS21" i="4"/>
  <c r="DU21" i="4"/>
  <c r="CD24" i="4"/>
  <c r="CC22" i="4"/>
  <c r="DA25" i="4"/>
  <c r="BZ25" i="4"/>
  <c r="AC25" i="4"/>
  <c r="EC25" i="4"/>
  <c r="AC17" i="4"/>
  <c r="BA20" i="4"/>
  <c r="CN16" i="4"/>
  <c r="F18" i="4"/>
  <c r="CJ19" i="4"/>
  <c r="BV19" i="4"/>
  <c r="E17" i="4"/>
  <c r="EE21" i="4"/>
  <c r="DP21" i="4"/>
  <c r="BX24" i="4"/>
  <c r="X24" i="4"/>
  <c r="O23" i="4"/>
  <c r="CB25" i="4"/>
  <c r="T23" i="4"/>
  <c r="CW22" i="4"/>
  <c r="H22" i="4"/>
  <c r="DX20" i="4"/>
  <c r="O17" i="4"/>
  <c r="AD19" i="4"/>
  <c r="BM17" i="4"/>
  <c r="S21" i="4"/>
  <c r="EB24" i="4"/>
  <c r="CM24" i="4"/>
  <c r="AN17" i="4"/>
  <c r="AW20" i="4"/>
  <c r="CR16" i="4"/>
  <c r="EE18" i="4"/>
  <c r="BN19" i="4"/>
  <c r="AJ19" i="4"/>
  <c r="AF17" i="4"/>
  <c r="BF21" i="4"/>
  <c r="CZ17" i="4"/>
  <c r="CZ20" i="4"/>
  <c r="CL20" i="4"/>
  <c r="AU17" i="4"/>
  <c r="BV18" i="4"/>
  <c r="F19" i="4"/>
  <c r="AY19" i="4"/>
  <c r="AC18" i="4"/>
  <c r="Z21" i="4"/>
  <c r="AM21" i="4"/>
  <c r="DU24" i="4"/>
  <c r="AU22" i="4"/>
  <c r="EG25" i="4"/>
  <c r="M25" i="4"/>
  <c r="DQ23" i="4"/>
  <c r="BA23" i="4"/>
  <c r="BV17" i="4"/>
  <c r="CM20" i="4"/>
  <c r="BF16" i="4"/>
  <c r="AL18" i="4"/>
  <c r="DP19" i="4"/>
  <c r="DB19" i="4"/>
  <c r="DA16" i="4"/>
  <c r="BV21" i="4"/>
  <c r="AI21" i="4"/>
  <c r="DD24" i="4"/>
  <c r="AJ24" i="4"/>
  <c r="BN23" i="4"/>
  <c r="DH25" i="4"/>
  <c r="CH22" i="4"/>
  <c r="AI22" i="4"/>
  <c r="J25" i="4"/>
  <c r="AV17" i="4"/>
  <c r="BN16" i="4"/>
  <c r="CR19" i="4"/>
  <c r="DI16" i="4"/>
  <c r="AC21" i="4"/>
  <c r="BC24" i="4"/>
  <c r="ED24" i="4"/>
  <c r="BR17" i="4"/>
  <c r="CI20" i="4"/>
  <c r="BJ16" i="4"/>
  <c r="AH18" i="4"/>
  <c r="CV19" i="4"/>
  <c r="BR19" i="4"/>
  <c r="DU16" i="4"/>
  <c r="DD21" i="4"/>
  <c r="BN21" i="4"/>
  <c r="AD20" i="4"/>
  <c r="BI19" i="4"/>
  <c r="D21" i="4"/>
  <c r="H17" i="4"/>
  <c r="ED20" i="4"/>
  <c r="CH18" i="4"/>
  <c r="BQ19" i="4"/>
  <c r="F21" i="4"/>
  <c r="CU20" i="4"/>
  <c r="DJ19" i="4"/>
  <c r="CA21" i="4"/>
  <c r="DL17" i="4"/>
  <c r="BR20" i="4"/>
  <c r="AZ18" i="4"/>
  <c r="BC20" i="4"/>
  <c r="BW21" i="4"/>
  <c r="M20" i="4"/>
  <c r="AV19" i="4"/>
  <c r="W21" i="4"/>
  <c r="CF17" i="4"/>
  <c r="AJ20" i="4"/>
  <c r="T18" i="4"/>
  <c r="K16" i="4"/>
  <c r="AG21" i="4"/>
  <c r="CZ24" i="4"/>
  <c r="AY22" i="4"/>
  <c r="T25" i="4"/>
  <c r="AD17" i="4"/>
  <c r="S20" i="4"/>
  <c r="K18" i="4"/>
  <c r="AE16" i="4"/>
  <c r="AP17" i="4"/>
  <c r="F17" i="4"/>
  <c r="F20" i="4"/>
  <c r="AY20" i="4"/>
  <c r="CJ18" i="4"/>
  <c r="BG18" i="4"/>
  <c r="AK19" i="4"/>
  <c r="BC16" i="4"/>
  <c r="DU20" i="4"/>
  <c r="AK21" i="4"/>
  <c r="BZ24" i="4"/>
  <c r="DS24" i="4"/>
  <c r="DL23" i="4"/>
  <c r="AM25" i="4"/>
  <c r="AJ22" i="4"/>
  <c r="BT24" i="4"/>
  <c r="DP17" i="4"/>
  <c r="DP20" i="4"/>
  <c r="DB20" i="4"/>
  <c r="Y17" i="4"/>
  <c r="CL18" i="4"/>
  <c r="V19" i="4"/>
  <c r="H19" i="4"/>
  <c r="DK17" i="4"/>
  <c r="AP21" i="4"/>
  <c r="G21" i="4"/>
  <c r="J24" i="4"/>
  <c r="AE22" i="4"/>
  <c r="DO23" i="4"/>
  <c r="N25" i="4"/>
  <c r="CU23" i="4"/>
  <c r="S23" i="4"/>
  <c r="BH23" i="4"/>
  <c r="EA20" i="4"/>
  <c r="CB18" i="4"/>
  <c r="M19" i="4"/>
  <c r="DJ21" i="4"/>
  <c r="AJ21" i="4"/>
  <c r="BN24" i="4"/>
  <c r="EB17" i="4"/>
  <c r="DL20" i="4"/>
  <c r="CH20" i="4"/>
  <c r="AE17" i="4"/>
  <c r="BR18" i="4"/>
  <c r="EE19" i="4"/>
  <c r="EC19" i="4"/>
  <c r="AK18" i="4"/>
  <c r="CR21" i="4"/>
  <c r="AL17" i="4"/>
  <c r="AL20" i="4"/>
  <c r="X20" i="4"/>
  <c r="DP18" i="4"/>
  <c r="H18" i="4"/>
  <c r="BW19" i="4"/>
  <c r="W16" i="4"/>
  <c r="EG19" i="4"/>
  <c r="CB21" i="4"/>
  <c r="BV24" i="4"/>
  <c r="AF24" i="4"/>
  <c r="DY22" i="4"/>
  <c r="BU25" i="4"/>
  <c r="D22" i="4"/>
  <c r="CY25" i="4"/>
  <c r="BQ25" i="4"/>
  <c r="DG17" i="4"/>
  <c r="U20" i="4"/>
  <c r="DT16" i="4"/>
  <c r="DC18" i="4"/>
  <c r="BB19" i="4"/>
  <c r="AN19" i="4"/>
  <c r="AW17" i="4"/>
  <c r="CN21" i="4"/>
  <c r="BC21" i="4"/>
  <c r="AP24" i="4"/>
  <c r="DG24" i="4"/>
  <c r="AV23" i="4"/>
  <c r="AT25" i="4"/>
  <c r="BC23" i="4"/>
  <c r="CR23" i="4"/>
  <c r="CL22" i="4"/>
  <c r="BJ20" i="4"/>
  <c r="DY17" i="4"/>
  <c r="CU19" i="4"/>
  <c r="EC18" i="4"/>
  <c r="CU21" i="4"/>
  <c r="CV24" i="4"/>
  <c r="AU24" i="4"/>
  <c r="DO17" i="4"/>
  <c r="Q20" i="4"/>
  <c r="DX16" i="4"/>
  <c r="ED18" i="4"/>
  <c r="AH19" i="4"/>
  <c r="D19" i="4"/>
  <c r="CM17" i="4"/>
  <c r="V21" i="4"/>
  <c r="BD17" i="4"/>
  <c r="BW20" i="4"/>
  <c r="BX16" i="4"/>
  <c r="V18" i="4"/>
  <c r="CZ19" i="4"/>
  <c r="CL19" i="4"/>
  <c r="DQ16" i="4"/>
  <c r="BD21" i="4"/>
  <c r="BY21" i="4"/>
  <c r="CN24" i="4"/>
  <c r="O24" i="4"/>
  <c r="AX23" i="4"/>
  <c r="CR25" i="4"/>
  <c r="D23" i="4"/>
  <c r="BQ22" i="4"/>
  <c r="BB17" i="4"/>
  <c r="BB20" i="4"/>
  <c r="AN20" i="4"/>
  <c r="EF18" i="4"/>
  <c r="X18" i="4"/>
  <c r="CM19" i="4"/>
  <c r="G16" i="4"/>
  <c r="BU19" i="4"/>
  <c r="CW21" i="4"/>
  <c r="AC24" i="4"/>
  <c r="BA24" i="4"/>
  <c r="DI22" i="4"/>
  <c r="CK25" i="4"/>
  <c r="DF25" i="4"/>
  <c r="BI25" i="4"/>
  <c r="CW25" i="4"/>
  <c r="DH17" i="4"/>
  <c r="DJ20" i="4"/>
  <c r="DZ18" i="4"/>
  <c r="AF19" i="4"/>
  <c r="BA21" i="4"/>
  <c r="BG21" i="4"/>
  <c r="EE24" i="4"/>
  <c r="BN17" i="4"/>
  <c r="AX20" i="4"/>
  <c r="T20" i="4"/>
  <c r="EB18" i="4"/>
  <c r="D18" i="4"/>
  <c r="BM19" i="4"/>
  <c r="AA16" i="4"/>
  <c r="BY20" i="4"/>
  <c r="Q21" i="4"/>
  <c r="CL17" i="4"/>
  <c r="DC20" i="4"/>
  <c r="AP16" i="4"/>
  <c r="BB18" i="4"/>
  <c r="EF19" i="4"/>
  <c r="E19" i="4"/>
  <c r="CK16" i="4"/>
  <c r="CL21" i="4"/>
  <c r="E21" i="4"/>
  <c r="DT24" i="4"/>
  <c r="BE24" i="4"/>
  <c r="CF23" i="4"/>
  <c r="DX25" i="4"/>
  <c r="BR22" i="4"/>
  <c r="AI24" i="4"/>
  <c r="CJ17" i="4"/>
  <c r="CJ20" i="4"/>
  <c r="BV20" i="4"/>
  <c r="CC17" i="4"/>
  <c r="BD18" i="4"/>
  <c r="DS19" i="4"/>
  <c r="AM20" i="4"/>
  <c r="BI18" i="4"/>
  <c r="J21" i="4"/>
  <c r="CE21" i="4"/>
  <c r="CY24" i="4"/>
  <c r="BK22" i="4"/>
  <c r="DQ25" i="4"/>
  <c r="AR25" i="4"/>
  <c r="D25" i="4"/>
  <c r="CY23" i="4"/>
  <c r="AK25" i="4"/>
  <c r="AS20" i="4"/>
  <c r="N18" i="4"/>
  <c r="CD19" i="4"/>
  <c r="AV21" i="4"/>
  <c r="DQ21" i="4"/>
  <c r="AH24" i="4"/>
  <c r="CV17" i="4"/>
  <c r="CF20" i="4"/>
  <c r="AZ20" i="4"/>
  <c r="CK17" i="4"/>
  <c r="AJ18" i="4"/>
  <c r="CY19" i="4"/>
  <c r="DQ20" i="4"/>
  <c r="CK19" i="4"/>
  <c r="AY21" i="4"/>
  <c r="EF17" i="4"/>
  <c r="DB18" i="4"/>
  <c r="BK21" i="4"/>
  <c r="BY23" i="4"/>
  <c r="DB17" i="4"/>
  <c r="CO18" i="4"/>
  <c r="U21" i="4"/>
  <c r="W25" i="4"/>
  <c r="DJ17" i="4"/>
  <c r="BQ21" i="4"/>
  <c r="DO20" i="4"/>
  <c r="ED19" i="4"/>
  <c r="CA17" i="4"/>
  <c r="BT19" i="4"/>
  <c r="T21" i="4"/>
  <c r="BJ25" i="4"/>
  <c r="V20" i="4"/>
  <c r="BA19" i="4"/>
  <c r="AG24" i="4"/>
  <c r="T22" i="4"/>
  <c r="AV20" i="4"/>
  <c r="H24" i="4"/>
  <c r="BQ20" i="4"/>
  <c r="BG16" i="4"/>
  <c r="X23" i="4"/>
  <c r="AQ18" i="4"/>
  <c r="AY24" i="4"/>
  <c r="EB20" i="4"/>
  <c r="CF18" i="4"/>
  <c r="BY16" i="4"/>
  <c r="DA23" i="4"/>
  <c r="DX19" i="4"/>
  <c r="L24" i="4"/>
  <c r="CV20" i="4"/>
  <c r="AX18" i="4"/>
  <c r="DE16" i="4"/>
  <c r="DG25" i="4"/>
  <c r="BJ19" i="4"/>
  <c r="CU24" i="4"/>
  <c r="BN20" i="4"/>
  <c r="R18" i="4"/>
  <c r="K17" i="4"/>
  <c r="EF21" i="4"/>
  <c r="AE24" i="4"/>
  <c r="BV22" i="4"/>
  <c r="N20" i="4"/>
  <c r="DJ18" i="4"/>
  <c r="CU17" i="4"/>
  <c r="BH20" i="4"/>
  <c r="L19" i="4"/>
  <c r="AK24" i="4"/>
  <c r="BY25" i="4"/>
  <c r="EG23" i="4"/>
  <c r="AR22" i="4"/>
  <c r="EF16" i="4"/>
  <c r="EC16" i="4"/>
  <c r="BK24" i="4"/>
  <c r="DP25" i="4"/>
  <c r="CO22" i="4"/>
  <c r="BF18" i="4"/>
  <c r="AM23" i="4"/>
  <c r="Y20" i="4"/>
  <c r="DF19" i="4"/>
  <c r="BM24" i="4"/>
  <c r="CR20" i="4"/>
  <c r="EA19" i="4"/>
  <c r="BB21" i="4"/>
  <c r="BR24" i="4"/>
  <c r="AG20" i="4"/>
  <c r="DO18" i="4"/>
  <c r="T19" i="4"/>
  <c r="AL21" i="4"/>
  <c r="CK24" i="4"/>
  <c r="I24" i="4"/>
  <c r="BX25" i="4"/>
  <c r="DX17" i="4"/>
  <c r="DZ20" i="4"/>
  <c r="CD18" i="4"/>
  <c r="CG19" i="4"/>
  <c r="AH21" i="4"/>
  <c r="DD18" i="4"/>
  <c r="DE20" i="4"/>
  <c r="AQ22" i="4"/>
  <c r="AH25" i="4"/>
  <c r="I21" i="4"/>
  <c r="Z17" i="4"/>
  <c r="BH18" i="4"/>
  <c r="BX21" i="4"/>
  <c r="CK22" i="4"/>
  <c r="CP25" i="4"/>
  <c r="DJ23" i="4"/>
  <c r="AB19" i="4"/>
  <c r="BZ22" i="4"/>
  <c r="T17" i="4"/>
  <c r="U17" i="4"/>
  <c r="AO24" i="4"/>
  <c r="BZ17" i="4"/>
  <c r="DZ23" i="4"/>
  <c r="CB19" i="4"/>
  <c r="AO20" i="4"/>
  <c r="S16" i="4"/>
  <c r="AW21" i="4"/>
  <c r="AI23" i="4"/>
  <c r="CB20" i="4"/>
  <c r="DK19" i="4"/>
  <c r="BE20" i="4"/>
  <c r="BJ24" i="4"/>
  <c r="AW23" i="4"/>
  <c r="CW20" i="4"/>
  <c r="DE24" i="4"/>
  <c r="CI25" i="4"/>
  <c r="G22" i="4"/>
  <c r="DG19" i="4"/>
  <c r="AA23" i="4"/>
  <c r="CA20" i="4"/>
  <c r="L21" i="4"/>
  <c r="CG24" i="4"/>
  <c r="BL17" i="4"/>
  <c r="S17" i="4"/>
  <c r="AV22" i="4"/>
  <c r="DK21" i="4"/>
  <c r="AE21" i="4"/>
  <c r="BG22" i="4"/>
  <c r="BG24" i="4"/>
  <c r="BD22" i="4"/>
  <c r="DT20" i="4"/>
  <c r="AS25" i="4"/>
  <c r="EF20" i="4"/>
  <c r="AL19" i="4"/>
  <c r="CV21" i="4"/>
  <c r="AD25" i="4"/>
  <c r="DS20" i="4"/>
  <c r="U19" i="4"/>
  <c r="DQ24" i="4"/>
  <c r="AZ22" i="4"/>
  <c r="CG20" i="4"/>
  <c r="CQ24" i="4"/>
  <c r="AD16" i="4"/>
  <c r="CO16" i="4"/>
  <c r="AK20" i="4"/>
  <c r="BD19" i="4"/>
  <c r="BF24" i="4"/>
  <c r="AJ23" i="4"/>
  <c r="H20" i="4"/>
  <c r="AM16" i="4"/>
  <c r="K24" i="4"/>
  <c r="EE25" i="4"/>
  <c r="AF18" i="4"/>
  <c r="CO24" i="4"/>
  <c r="CV18" i="4"/>
  <c r="CH21" i="4"/>
  <c r="N17" i="4"/>
  <c r="EG20" i="4"/>
  <c r="CF24" i="4"/>
  <c r="EE20" i="4"/>
  <c r="CW18" i="4"/>
  <c r="DS17" i="4"/>
  <c r="CD17" i="4"/>
  <c r="CC16" i="4"/>
  <c r="AX24" i="4"/>
  <c r="CY20" i="4"/>
  <c r="DL19" i="4"/>
  <c r="CA18" i="4"/>
  <c r="CQ17" i="4"/>
  <c r="P17" i="4"/>
  <c r="R24" i="4"/>
  <c r="BM20" i="4"/>
  <c r="CF19" i="4"/>
  <c r="K20" i="4"/>
  <c r="AR24" i="4"/>
  <c r="CB23" i="4"/>
  <c r="CE23" i="4"/>
  <c r="AC20" i="4"/>
  <c r="AT19" i="4"/>
  <c r="CO20" i="4"/>
  <c r="BU17" i="4"/>
  <c r="CQ18" i="4"/>
  <c r="K22" i="4"/>
  <c r="BN25" i="4"/>
  <c r="DO21" i="4"/>
  <c r="CN17" i="4"/>
  <c r="DV18" i="4"/>
  <c r="BH21" i="4"/>
  <c r="BC22" i="4"/>
  <c r="AB25" i="4"/>
  <c r="BL23" i="4"/>
  <c r="Y19" i="4"/>
  <c r="DV25" i="4"/>
  <c r="CJ16" i="4"/>
  <c r="CG16" i="4"/>
  <c r="DY24" i="4"/>
  <c r="CD20" i="4"/>
  <c r="S19" i="4"/>
  <c r="CZ21" i="4"/>
  <c r="AX17" i="4"/>
  <c r="D20" i="4"/>
  <c r="AI18" i="4"/>
  <c r="AQ16" i="4"/>
  <c r="K21" i="4"/>
  <c r="CJ24" i="4"/>
  <c r="CG22" i="4"/>
  <c r="CH25" i="4"/>
  <c r="DZ17" i="4"/>
  <c r="R16" i="4"/>
  <c r="DI18" i="4"/>
  <c r="BK16" i="4"/>
  <c r="DF17" i="4"/>
  <c r="L18" i="4"/>
  <c r="AA21" i="4"/>
  <c r="CZ23" i="4"/>
  <c r="P22" i="4"/>
  <c r="AM22" i="4"/>
  <c r="AP20" i="4"/>
  <c r="DW19" i="4"/>
  <c r="CK21" i="4"/>
  <c r="BF23" i="4"/>
  <c r="DV22" i="4"/>
  <c r="AX25" i="4"/>
  <c r="AD21" i="4"/>
  <c r="BX17" i="4"/>
  <c r="DF18" i="4"/>
  <c r="AR21" i="4"/>
  <c r="BZ20" i="4"/>
  <c r="DC21" i="4"/>
  <c r="AB21" i="4"/>
  <c r="DP16" i="4"/>
  <c r="W22" i="4"/>
  <c r="CF25" i="4"/>
  <c r="EF24" i="4"/>
  <c r="BF25" i="4"/>
  <c r="BL20" i="4"/>
  <c r="BU20" i="4"/>
  <c r="AP18" i="4"/>
  <c r="BY22" i="4"/>
  <c r="BI24" i="4"/>
  <c r="S18" i="4"/>
  <c r="DQ22" i="4"/>
  <c r="CO25" i="4"/>
  <c r="AR23" i="4"/>
  <c r="U18" i="4"/>
  <c r="R25" i="4"/>
  <c r="AL16" i="4"/>
  <c r="BU22" i="4"/>
  <c r="BB24" i="4"/>
  <c r="AX16" i="4"/>
  <c r="DY18" i="4"/>
  <c r="DA22" i="4"/>
  <c r="W23" i="4"/>
  <c r="J17" i="4"/>
  <c r="DZ22" i="4"/>
  <c r="F25" i="4"/>
  <c r="BI20" i="4"/>
  <c r="BW17" i="4"/>
  <c r="DV19" i="4"/>
  <c r="E20" i="4"/>
  <c r="X19" i="4"/>
  <c r="Z24" i="4"/>
  <c r="BZ23" i="4"/>
  <c r="Z16" i="4"/>
  <c r="BU16" i="4"/>
  <c r="CC24" i="4"/>
  <c r="AZ24" i="4"/>
  <c r="BY18" i="4"/>
  <c r="AQ24" i="4"/>
  <c r="BN18" i="4"/>
  <c r="AZ21" i="4"/>
  <c r="DD16" i="4"/>
  <c r="AA17" i="4"/>
  <c r="BQ24" i="4"/>
  <c r="DX23" i="4"/>
  <c r="CZ18" i="4"/>
  <c r="BG20" i="4"/>
  <c r="EB23" i="4"/>
  <c r="AI25" i="4"/>
  <c r="G20" i="4"/>
  <c r="AH17" i="4"/>
  <c r="BQ18" i="4"/>
  <c r="AQ21" i="4"/>
  <c r="P20" i="4"/>
  <c r="AA20" i="4"/>
  <c r="BL24" i="4"/>
  <c r="EC20" i="4"/>
  <c r="R19" i="4"/>
  <c r="BR21" i="4"/>
  <c r="AH16" i="4"/>
  <c r="CD21" i="4"/>
  <c r="U24" i="4"/>
  <c r="AT16" i="4"/>
  <c r="DO19" i="4"/>
  <c r="DY21" i="4"/>
  <c r="CV16" i="4"/>
  <c r="CY21" i="4"/>
  <c r="DI24" i="4"/>
  <c r="CB16" i="4"/>
  <c r="CI19" i="4"/>
  <c r="CI21" i="4"/>
  <c r="V24" i="4"/>
  <c r="DU23" i="4"/>
  <c r="X17" i="4"/>
  <c r="DL16" i="4"/>
  <c r="AS19" i="4"/>
  <c r="CC21" i="4"/>
  <c r="BZ18" i="4"/>
  <c r="BJ21" i="4"/>
  <c r="EF23" i="4"/>
  <c r="ED25" i="4"/>
  <c r="Y24" i="4"/>
  <c r="DD20" i="4"/>
  <c r="BF19" i="4"/>
  <c r="BM21" i="4"/>
  <c r="CN23" i="4"/>
  <c r="CP22" i="4"/>
  <c r="DL25" i="4"/>
  <c r="AQ20" i="4"/>
  <c r="AI17" i="4"/>
  <c r="J18" i="4"/>
  <c r="DF21" i="4"/>
  <c r="AN22" i="4"/>
  <c r="BK17" i="4"/>
  <c r="EA17" i="4"/>
  <c r="DL24" i="4"/>
  <c r="CI17" i="4"/>
  <c r="DH16" i="4"/>
  <c r="AX19" i="4"/>
  <c r="BE17" i="4"/>
  <c r="O21" i="4"/>
  <c r="F24" i="4"/>
  <c r="AT23" i="4"/>
  <c r="DB22" i="4"/>
  <c r="DH20" i="4"/>
  <c r="EB16" i="4"/>
  <c r="N19" i="4"/>
  <c r="AS18" i="4"/>
  <c r="DW20" i="4"/>
  <c r="CA19" i="4"/>
  <c r="DX24" i="4"/>
  <c r="CO23" i="4"/>
  <c r="P23" i="4"/>
  <c r="CC25" i="4"/>
  <c r="AR20" i="4"/>
  <c r="AI19" i="4"/>
  <c r="AT24" i="4"/>
  <c r="DY25" i="4"/>
  <c r="O25" i="4"/>
  <c r="DK23" i="4"/>
  <c r="EC24" i="4"/>
  <c r="CN20" i="4"/>
  <c r="AP19" i="4"/>
  <c r="DE21" i="4"/>
  <c r="BG23" i="4"/>
  <c r="BU23" i="4"/>
  <c r="DH23" i="4"/>
  <c r="BD24" i="4"/>
  <c r="BB23" i="4"/>
  <c r="L20" i="4"/>
  <c r="DO24" i="4"/>
  <c r="H23" i="4"/>
  <c r="AJ17" i="4"/>
  <c r="CI18" i="4"/>
  <c r="I19" i="4"/>
  <c r="EE23" i="4"/>
  <c r="BT25" i="4"/>
  <c r="M17" i="4"/>
  <c r="BK25" i="4"/>
  <c r="CQ25" i="4"/>
  <c r="Z20" i="4"/>
  <c r="EB21" i="4"/>
  <c r="U25" i="4"/>
  <c r="AB18" i="4"/>
  <c r="AU25" i="4"/>
  <c r="EC22" i="4"/>
  <c r="DH19" i="4"/>
  <c r="AS21" i="4"/>
  <c r="DG20" i="4"/>
  <c r="AB23" i="4"/>
  <c r="AR18" i="4"/>
  <c r="BX20" i="4"/>
  <c r="DW24" i="4"/>
  <c r="DK18" i="4"/>
  <c r="K23" i="4"/>
  <c r="BJ23" i="4"/>
  <c r="CN25" i="4"/>
  <c r="EA21" i="4"/>
  <c r="V17" i="4"/>
  <c r="AT17" i="4"/>
  <c r="DT25" i="4"/>
  <c r="I17" i="4"/>
  <c r="AT21" i="4"/>
  <c r="AZ25" i="4"/>
  <c r="DQ17" i="4"/>
  <c r="DD25" i="4"/>
  <c r="BF20" i="4"/>
  <c r="DJ22" i="4"/>
  <c r="DH24" i="4"/>
  <c r="DC24" i="4"/>
  <c r="CB17" i="4"/>
  <c r="AH20" i="4"/>
  <c r="AN24" i="4"/>
  <c r="DK20" i="4"/>
  <c r="AI20" i="4"/>
  <c r="BA25" i="4"/>
  <c r="D24" i="4"/>
  <c r="DI25" i="4"/>
  <c r="AF22" i="4"/>
  <c r="AL25" i="4"/>
  <c r="AV18" i="4"/>
  <c r="CP17" i="4"/>
  <c r="EG17" i="4"/>
  <c r="DF22" i="4"/>
  <c r="BE19" i="4"/>
  <c r="BW24" i="4"/>
  <c r="BM23" i="4"/>
  <c r="DV17" i="4"/>
  <c r="DP24" i="4"/>
  <c r="Z25" i="4"/>
  <c r="AF20" i="4"/>
  <c r="O16" i="4"/>
  <c r="DG18" i="4"/>
  <c r="DE22" i="4"/>
  <c r="N24" i="4"/>
  <c r="DT19" i="4"/>
  <c r="DT23" i="4"/>
  <c r="AA25" i="4"/>
  <c r="DO25" i="4"/>
  <c r="DQ19" i="4"/>
  <c r="BL22" i="4"/>
  <c r="AO17" i="4"/>
  <c r="DD23" i="4"/>
  <c r="E24" i="4"/>
  <c r="AD18" i="4"/>
  <c r="AY16" i="4"/>
  <c r="CK23" i="4"/>
  <c r="BB25" i="4"/>
  <c r="AB20" i="4"/>
  <c r="BF17" i="4"/>
  <c r="CW8" i="4"/>
  <c r="CF16" i="4"/>
  <c r="BT21" i="4"/>
  <c r="DV21" i="4"/>
  <c r="DP23" i="4"/>
  <c r="DB21" i="4"/>
  <c r="ED17" i="4"/>
  <c r="DI21" i="4"/>
  <c r="BE21" i="4"/>
  <c r="CM21" i="4"/>
  <c r="M21" i="4"/>
  <c r="CR18" i="4"/>
  <c r="DF20" i="4"/>
  <c r="R21" i="4"/>
  <c r="CG25" i="4"/>
  <c r="CH24" i="4"/>
  <c r="DU22" i="4"/>
  <c r="CA24" i="4"/>
  <c r="AB22" i="4"/>
  <c r="DY16" i="4"/>
  <c r="CD22" i="4"/>
  <c r="BJ17" i="4"/>
  <c r="DD17" i="4"/>
  <c r="N21" i="4"/>
  <c r="BA17" i="4"/>
  <c r="AQ17" i="4"/>
  <c r="BX18" i="4"/>
  <c r="EE17" i="4"/>
  <c r="EA23" i="4"/>
  <c r="BL21" i="4"/>
  <c r="CG18" i="4"/>
  <c r="CP21" i="4"/>
  <c r="DT21" i="4"/>
  <c r="CG21" i="4"/>
  <c r="CV23" i="4"/>
  <c r="BC25" i="4"/>
  <c r="AT18" i="4"/>
  <c r="AZ17" i="4"/>
  <c r="P19" i="4"/>
  <c r="BH19" i="4"/>
  <c r="DJ24" i="4"/>
  <c r="DV23" i="4"/>
  <c r="AQ25" i="4"/>
  <c r="CR24" i="4"/>
  <c r="CR17" i="4"/>
  <c r="AI16" i="4"/>
  <c r="BT23" i="4"/>
  <c r="CP19" i="4"/>
  <c r="CO21" i="4"/>
  <c r="AT20" i="4"/>
  <c r="DV20" i="4"/>
  <c r="CP23" i="4"/>
  <c r="P24" i="4"/>
  <c r="EG22" i="4"/>
  <c r="DU25" i="4"/>
  <c r="DF24" i="4"/>
  <c r="CE20" i="4"/>
  <c r="DW25" i="4"/>
  <c r="EF25" i="4"/>
  <c r="G23" i="4"/>
  <c r="BX19" i="4"/>
  <c r="D17" i="4"/>
  <c r="BT18" i="4"/>
  <c r="AU16" i="4"/>
  <c r="DS18" i="4"/>
  <c r="AA18" i="4"/>
  <c r="DH21" i="4"/>
  <c r="DH18" i="4"/>
  <c r="Q19" i="4"/>
  <c r="CH17" i="4"/>
  <c r="EA18" i="4"/>
  <c r="AZ19" i="4"/>
  <c r="DW17" i="4"/>
  <c r="J19" i="4"/>
  <c r="CI23" i="4"/>
  <c r="DE23" i="4"/>
  <c r="CY17" i="4"/>
  <c r="BL18" i="4"/>
  <c r="DL18" i="4"/>
  <c r="AA24" i="4"/>
  <c r="BJ18" i="4"/>
  <c r="CK20" i="4"/>
  <c r="L23" i="4"/>
  <c r="CJ25" i="4"/>
  <c r="CP20" i="4"/>
  <c r="DW18" i="4"/>
  <c r="AS24" i="4"/>
  <c r="EC21" i="4"/>
  <c r="DX21" i="4"/>
  <c r="M24" i="4"/>
  <c r="X22" i="4"/>
  <c r="AJ25" i="4"/>
  <c r="AK17" i="4"/>
  <c r="CN19" i="4"/>
  <c r="W20" i="4"/>
  <c r="BY24" i="4"/>
  <c r="AN23" i="4"/>
  <c r="DX18" i="4"/>
  <c r="DA19" i="4"/>
  <c r="BZ19" i="4"/>
  <c r="DE25" i="4"/>
  <c r="BH25" i="4"/>
  <c r="BQ16" i="4"/>
  <c r="AE25" i="4"/>
  <c r="CZ16" i="4"/>
  <c r="CQ20" i="4"/>
  <c r="S24" i="4"/>
  <c r="DT17" i="4"/>
  <c r="Z19" i="4"/>
  <c r="CZ25" i="4"/>
  <c r="AY25" i="4"/>
  <c r="DZ19" i="4"/>
  <c r="T24" i="4"/>
  <c r="CN18" i="4"/>
  <c r="CJ23" i="4"/>
  <c r="CW19" i="4"/>
  <c r="DT18" i="4"/>
  <c r="AL24" i="4"/>
  <c r="BL19" i="4"/>
  <c r="CV25" i="4"/>
  <c r="V25" i="4"/>
  <c r="J20" i="4"/>
  <c r="CE17" i="4"/>
  <c r="R20" i="4"/>
  <c r="AP25" i="4"/>
  <c r="BC17" i="4"/>
  <c r="DG21" i="4"/>
  <c r="DB24" i="4"/>
  <c r="DF23" i="4"/>
  <c r="DD19" i="4"/>
  <c r="AW19" i="4"/>
  <c r="AC19" i="4"/>
  <c r="DA17" i="4"/>
  <c r="AR19" i="4"/>
  <c r="AS17" i="4"/>
  <c r="BZ21" i="4"/>
  <c r="BH17" i="4"/>
  <c r="AU21" i="4"/>
  <c r="V16" i="4"/>
  <c r="L22" i="4"/>
  <c r="S22" i="4"/>
  <c r="P18" i="4"/>
  <c r="BR25" i="4"/>
  <c r="AO21" i="4"/>
  <c r="BH22" i="4"/>
  <c r="CW24" i="4"/>
  <c r="BA18" i="4"/>
  <c r="I25" i="4"/>
  <c r="EB25" i="4"/>
  <c r="BC19" i="4"/>
  <c r="AD24" i="4"/>
  <c r="S25" i="4"/>
  <c r="BX23" i="4"/>
  <c r="CB24" i="4"/>
  <c r="O22" i="4"/>
  <c r="EB19" i="4"/>
  <c r="AE23" i="4"/>
  <c r="AG19" i="4"/>
  <c r="R17" i="4"/>
  <c r="CH19" i="4"/>
  <c r="AV24" i="4"/>
  <c r="AQ23" i="4"/>
  <c r="AF23" i="4"/>
  <c r="Y21" i="4"/>
  <c r="ED21" i="4"/>
  <c r="DZ21" i="4"/>
  <c r="DC17" i="4"/>
  <c r="CP18" i="4"/>
  <c r="CQ19" i="4"/>
  <c r="H25" i="4"/>
  <c r="CW16" i="4"/>
  <c r="W24" i="4"/>
  <c r="CI24" i="4"/>
  <c r="CD23" i="4"/>
  <c r="CE19" i="4"/>
  <c r="DZ24" i="4"/>
  <c r="BT16" i="4"/>
  <c r="AA22" i="4"/>
  <c r="AO19" i="4"/>
  <c r="I20" i="4"/>
  <c r="CJ21" i="4"/>
  <c r="BB16" i="4"/>
  <c r="CL24" i="4"/>
  <c r="BG25" i="4"/>
  <c r="CA25" i="4"/>
  <c r="Z18" i="4"/>
  <c r="AY18" i="4"/>
  <c r="FD23" i="4" l="1"/>
  <c r="FD19" i="4"/>
  <c r="FU21" i="4"/>
  <c r="FU18" i="4"/>
  <c r="FC24" i="4"/>
  <c r="FH23" i="4"/>
  <c r="FC18" i="4"/>
  <c r="FH21" i="4"/>
  <c r="FI21" i="4" s="1"/>
  <c r="FU17" i="4"/>
  <c r="FQ25" i="4"/>
  <c r="FR19" i="4"/>
  <c r="FD18" i="4"/>
  <c r="FF18" i="4" s="1"/>
  <c r="FU23" i="4"/>
  <c r="FU19" i="4"/>
  <c r="BS25" i="4"/>
  <c r="FL19" i="4"/>
  <c r="FN19" i="4" s="1"/>
  <c r="FB17" i="4"/>
  <c r="FQ17" i="4"/>
  <c r="FQ19" i="4"/>
  <c r="BS17" i="4"/>
  <c r="FU20" i="4"/>
  <c r="FB20" i="4"/>
  <c r="BS24" i="4"/>
  <c r="FD20" i="4"/>
  <c r="FG20" i="4" s="1"/>
  <c r="FL22" i="4"/>
  <c r="EY16" i="4"/>
  <c r="EZ16" i="4" s="1"/>
  <c r="FA16" i="4"/>
  <c r="FR22" i="4"/>
  <c r="FB24" i="4"/>
  <c r="FD22" i="4"/>
  <c r="FD17" i="4"/>
  <c r="FC21" i="4"/>
  <c r="EY25" i="4"/>
  <c r="EZ25" i="4" s="1"/>
  <c r="FQ22" i="4"/>
  <c r="FH25" i="4"/>
  <c r="FI25" i="4" s="1"/>
  <c r="FH22" i="4"/>
  <c r="FK22" i="4" s="1"/>
  <c r="FD21" i="4"/>
  <c r="FL17" i="4"/>
  <c r="FD25" i="4"/>
  <c r="FH24" i="4"/>
  <c r="FJ24" i="4" s="1"/>
  <c r="EY19" i="4"/>
  <c r="EZ19" i="4" s="1"/>
  <c r="EY17" i="4"/>
  <c r="EZ17" i="4" s="1"/>
  <c r="FH16" i="4"/>
  <c r="FI16" i="4" s="1"/>
  <c r="FQ18" i="4"/>
  <c r="FL24" i="4"/>
  <c r="FO24" i="4" s="1"/>
  <c r="FB21" i="4"/>
  <c r="FC17" i="4"/>
  <c r="FQ23" i="4"/>
  <c r="FA19" i="4"/>
  <c r="FR17" i="4"/>
  <c r="FA17" i="4"/>
  <c r="FA25" i="4"/>
  <c r="BS21" i="4"/>
  <c r="FA18" i="4"/>
  <c r="EY18" i="4"/>
  <c r="EZ18" i="4" s="1"/>
  <c r="EY24" i="4"/>
  <c r="EZ24" i="4" s="1"/>
  <c r="FL23" i="4"/>
  <c r="FO23" i="4" s="1"/>
  <c r="FT17" i="4"/>
  <c r="FB19" i="4"/>
  <c r="FC20" i="4"/>
  <c r="FU25" i="4"/>
  <c r="FQ16" i="4"/>
  <c r="FR20" i="4"/>
  <c r="FB16" i="4"/>
  <c r="FA20" i="4"/>
  <c r="FR21" i="4"/>
  <c r="FR25" i="4"/>
  <c r="FB22" i="4"/>
  <c r="FB18" i="4"/>
  <c r="FL16" i="4"/>
  <c r="FM16" i="4" s="1"/>
  <c r="FT19" i="4"/>
  <c r="FU16" i="4"/>
  <c r="FH20" i="4"/>
  <c r="FK20" i="4" s="1"/>
  <c r="FH17" i="4"/>
  <c r="FI17" i="4" s="1"/>
  <c r="FR23" i="4"/>
  <c r="BS22" i="4"/>
  <c r="FC23" i="4"/>
  <c r="FQ24" i="4"/>
  <c r="FU24" i="4"/>
  <c r="BS19" i="4"/>
  <c r="FT18" i="4"/>
  <c r="FA21" i="4"/>
  <c r="BS18" i="4"/>
  <c r="FC16" i="4"/>
  <c r="EY20" i="4"/>
  <c r="EZ20" i="4" s="1"/>
  <c r="FC19" i="4"/>
  <c r="FA24" i="4"/>
  <c r="FB25" i="4"/>
  <c r="FA22" i="4"/>
  <c r="FC22" i="4"/>
  <c r="FD24" i="4"/>
  <c r="FG24" i="4" s="1"/>
  <c r="FR24" i="4"/>
  <c r="FL21" i="4"/>
  <c r="FP21" i="4" s="1"/>
  <c r="FH19" i="4"/>
  <c r="FK19" i="4" s="1"/>
  <c r="FT20" i="4"/>
  <c r="FB23" i="4"/>
  <c r="FC25" i="4"/>
  <c r="FL25" i="4"/>
  <c r="FN25" i="4" s="1"/>
  <c r="EY23" i="4"/>
  <c r="EZ23" i="4" s="1"/>
  <c r="FA23" i="4"/>
  <c r="FT24" i="4"/>
  <c r="FQ21" i="4"/>
  <c r="FT21" i="4"/>
  <c r="FQ20" i="4"/>
  <c r="FR16" i="4"/>
  <c r="FL20" i="4"/>
  <c r="FP20" i="4" s="1"/>
  <c r="FL18" i="4"/>
  <c r="FP18" i="4" s="1"/>
  <c r="FH18" i="4"/>
  <c r="FI18" i="4" s="1"/>
  <c r="FD16" i="4"/>
  <c r="FG16" i="4" s="1"/>
  <c r="BS20" i="4"/>
  <c r="FJ17" i="4"/>
  <c r="FN16" i="4"/>
  <c r="FP16" i="4"/>
  <c r="FO16" i="4"/>
  <c r="FP24" i="4"/>
  <c r="FN24" i="4"/>
  <c r="FE23" i="4"/>
  <c r="FG23" i="4"/>
  <c r="FF23" i="4"/>
  <c r="FJ25" i="4"/>
  <c r="FK25" i="4"/>
  <c r="FE17" i="4"/>
  <c r="FG17" i="4"/>
  <c r="FF17" i="4"/>
  <c r="FM20" i="4"/>
  <c r="FO22" i="4"/>
  <c r="FN22" i="4"/>
  <c r="FP22" i="4"/>
  <c r="FM22" i="4"/>
  <c r="FI20" i="4"/>
  <c r="FJ20" i="4"/>
  <c r="FM21" i="4"/>
  <c r="FM25" i="4"/>
  <c r="FM23" i="4"/>
  <c r="FP23" i="4"/>
  <c r="FF25" i="4"/>
  <c r="FE25" i="4"/>
  <c r="FG25" i="4"/>
  <c r="FE19" i="4"/>
  <c r="FG19" i="4"/>
  <c r="FF19" i="4"/>
  <c r="FK16" i="4"/>
  <c r="FJ16" i="4"/>
  <c r="FM18" i="4"/>
  <c r="FO18" i="4"/>
  <c r="FE24" i="4"/>
  <c r="FF24" i="4"/>
  <c r="FM19" i="4"/>
  <c r="FG22" i="4"/>
  <c r="FF22" i="4"/>
  <c r="FE22" i="4"/>
  <c r="FM17" i="4"/>
  <c r="FO17" i="4"/>
  <c r="FP17" i="4"/>
  <c r="FN17" i="4"/>
  <c r="FG21" i="4"/>
  <c r="FF21" i="4"/>
  <c r="FE21" i="4"/>
  <c r="FI23" i="4"/>
  <c r="FK23" i="4"/>
  <c r="FJ23" i="4"/>
  <c r="FE18" i="4"/>
  <c r="FE20" i="4"/>
  <c r="FF20" i="4" l="1"/>
  <c r="FO19" i="4"/>
  <c r="FK17" i="4"/>
  <c r="FK21" i="4"/>
  <c r="FJ21" i="4"/>
  <c r="FJ22" i="4"/>
  <c r="FG18" i="4"/>
  <c r="FP19" i="4"/>
  <c r="FJ18" i="4"/>
  <c r="FO25" i="4"/>
  <c r="FK24" i="4"/>
  <c r="FI19" i="4"/>
  <c r="FK18" i="4"/>
  <c r="FI22" i="4"/>
  <c r="FP25" i="4"/>
  <c r="FI24" i="4"/>
  <c r="FN20" i="4"/>
  <c r="FO21" i="4"/>
  <c r="FF16" i="4"/>
  <c r="FO20" i="4"/>
  <c r="FJ19" i="4"/>
  <c r="FN18" i="4"/>
  <c r="FN23" i="4"/>
  <c r="FN21" i="4"/>
  <c r="FE16" i="4"/>
  <c r="FM24" i="4"/>
  <c r="E73" i="1"/>
  <c r="J73" i="1"/>
  <c r="E74" i="1"/>
  <c r="E75" i="1"/>
  <c r="J120" i="1"/>
  <c r="K16" i="1"/>
  <c r="J75" i="1" l="1"/>
  <c r="J74" i="1"/>
  <c r="BL13" i="4"/>
  <c r="BL14" i="4"/>
  <c r="BL12" i="4"/>
  <c r="BB11" i="4"/>
  <c r="EW9" i="4" l="1"/>
  <c r="EV9" i="4"/>
  <c r="EU9" i="4"/>
  <c r="ET9" i="4"/>
  <c r="ES9" i="4"/>
  <c r="ER9" i="4"/>
  <c r="EQ9" i="4"/>
  <c r="EP9" i="4"/>
  <c r="EO9" i="4"/>
  <c r="EN9" i="4"/>
  <c r="EM9" i="4"/>
  <c r="EL9" i="4"/>
  <c r="EK9" i="4"/>
  <c r="EJ9" i="4"/>
  <c r="EI9" i="4"/>
  <c r="EH9" i="4"/>
  <c r="J30" i="1" l="1"/>
  <c r="C14" i="4" l="1"/>
  <c r="C13" i="4"/>
  <c r="C12" i="4"/>
  <c r="C11" i="4"/>
  <c r="C15" i="4"/>
  <c r="EI2" i="4" l="1"/>
  <c r="O134" i="1" l="1"/>
  <c r="O135" i="1" s="1"/>
  <c r="N134" i="1"/>
  <c r="N135" i="1" s="1"/>
  <c r="M134" i="1"/>
  <c r="M135" i="1" s="1"/>
  <c r="L134" i="1"/>
  <c r="L135" i="1" s="1"/>
  <c r="K134" i="1"/>
  <c r="K135" i="1" s="1"/>
  <c r="J134" i="1"/>
  <c r="J135" i="1" s="1"/>
  <c r="I134" i="1"/>
  <c r="I135" i="1" s="1"/>
  <c r="H134" i="1"/>
  <c r="H135" i="1" s="1"/>
  <c r="G134" i="1"/>
  <c r="G135" i="1" s="1"/>
  <c r="F134" i="1"/>
  <c r="F135" i="1" s="1"/>
  <c r="E134" i="1"/>
  <c r="E135" i="1" s="1"/>
  <c r="D134" i="1"/>
  <c r="D135" i="1" s="1"/>
  <c r="C134" i="1"/>
  <c r="C135" i="1" s="1"/>
  <c r="B134" i="1"/>
  <c r="B135" i="1" s="1"/>
  <c r="E49" i="1" l="1"/>
  <c r="J121" i="1" l="1"/>
  <c r="DU206" i="11" l="1"/>
  <c r="DU204" i="11"/>
  <c r="DU195" i="11"/>
  <c r="DU193" i="11"/>
  <c r="DU192" i="11"/>
  <c r="DU184" i="11"/>
  <c r="DU183" i="11"/>
  <c r="DU175" i="11"/>
  <c r="DU173" i="11"/>
  <c r="DU168" i="11"/>
  <c r="DU167" i="11"/>
  <c r="DU166" i="11"/>
  <c r="DU165" i="11"/>
  <c r="DU164" i="11"/>
  <c r="DU162" i="11"/>
  <c r="DU161" i="11"/>
  <c r="DU160" i="11"/>
  <c r="DU159" i="11"/>
  <c r="DU158" i="11"/>
  <c r="DU154" i="11"/>
  <c r="DU145" i="11"/>
  <c r="DU112" i="11"/>
  <c r="DU108" i="11"/>
  <c r="DU103" i="11"/>
  <c r="DU76" i="11"/>
  <c r="DU75" i="11"/>
  <c r="DU73" i="11"/>
  <c r="DU72" i="11"/>
  <c r="DU71" i="11"/>
  <c r="DU69" i="11"/>
  <c r="DU68" i="11"/>
  <c r="DU62" i="11"/>
  <c r="DU60" i="11"/>
  <c r="DU59" i="11"/>
  <c r="DU58" i="11"/>
  <c r="DU57" i="11"/>
  <c r="DU56" i="11"/>
  <c r="DU54" i="11"/>
  <c r="DU51" i="11"/>
  <c r="DU49" i="11"/>
  <c r="DU47" i="11"/>
  <c r="DU45" i="11"/>
  <c r="DU44" i="11"/>
  <c r="DU43" i="11"/>
  <c r="DU39" i="11"/>
  <c r="DU36" i="11"/>
  <c r="DU34" i="11"/>
  <c r="DU33" i="11"/>
  <c r="DU32" i="11"/>
  <c r="DU24" i="11"/>
  <c r="DU19" i="11"/>
  <c r="DU14" i="11"/>
  <c r="FS15" i="4" l="1"/>
  <c r="FS13" i="4"/>
  <c r="FS12" i="4"/>
  <c r="FS14" i="4"/>
  <c r="B284" i="11"/>
  <c r="B290" i="11" s="1"/>
  <c r="B282" i="11"/>
  <c r="B288" i="11" s="1"/>
  <c r="B283" i="11"/>
  <c r="B289" i="11" s="1"/>
  <c r="G172" i="11" l="1"/>
  <c r="F172" i="11"/>
  <c r="E172" i="11"/>
  <c r="D172" i="11"/>
  <c r="CE15" i="4"/>
  <c r="AG15" i="4"/>
  <c r="DJ15" i="4"/>
  <c r="AJ14" i="4"/>
  <c r="CK15" i="4"/>
  <c r="DJ13" i="4"/>
  <c r="BK14" i="4"/>
  <c r="CE13" i="4"/>
  <c r="DS12" i="4"/>
  <c r="DH13" i="4"/>
  <c r="DD13" i="4"/>
  <c r="EG13" i="4"/>
  <c r="BI13" i="4"/>
  <c r="DT15" i="4"/>
  <c r="T15" i="4"/>
  <c r="DK15" i="4"/>
  <c r="E12" i="4"/>
  <c r="CO13" i="4"/>
  <c r="AX14" i="4"/>
  <c r="CD13" i="4"/>
  <c r="CW13" i="4"/>
  <c r="W14" i="4"/>
  <c r="AP15" i="4"/>
  <c r="I14" i="4"/>
  <c r="DL12" i="4"/>
  <c r="DW15" i="4"/>
  <c r="CF12" i="4"/>
  <c r="DH12" i="4"/>
  <c r="Q14" i="4"/>
  <c r="CD15" i="4"/>
  <c r="BU14" i="4"/>
  <c r="DA14" i="4"/>
  <c r="Y13" i="4"/>
  <c r="DO12" i="4"/>
  <c r="DQ13" i="4"/>
  <c r="CI14" i="4"/>
  <c r="AQ12" i="4"/>
  <c r="AT15" i="4"/>
  <c r="AL12" i="4"/>
  <c r="V13" i="4"/>
  <c r="BV13" i="4"/>
  <c r="DP13" i="4"/>
  <c r="CZ15" i="4"/>
  <c r="DZ13" i="4"/>
  <c r="CA13" i="4"/>
  <c r="CF13" i="4"/>
  <c r="U15" i="4"/>
  <c r="BX13" i="4"/>
  <c r="K13" i="4"/>
  <c r="BC15" i="4"/>
  <c r="CI13" i="4"/>
  <c r="BC13" i="4"/>
  <c r="CD14" i="4"/>
  <c r="S14" i="4"/>
  <c r="AF12" i="4"/>
  <c r="BW14" i="4"/>
  <c r="CV14" i="4"/>
  <c r="AC12" i="4"/>
  <c r="DH15" i="4"/>
  <c r="BN15" i="4"/>
  <c r="L15" i="4"/>
  <c r="CQ12" i="4"/>
  <c r="V12" i="4"/>
  <c r="CU12" i="4"/>
  <c r="X12" i="4"/>
  <c r="AI12" i="4"/>
  <c r="G12" i="4"/>
  <c r="CH14" i="4"/>
  <c r="AD14" i="4"/>
  <c r="CW12" i="4"/>
  <c r="DP12" i="4"/>
  <c r="AW14" i="4"/>
  <c r="H14" i="4"/>
  <c r="BF12" i="4"/>
  <c r="BH12" i="4"/>
  <c r="DO15" i="4"/>
  <c r="CQ14" i="4"/>
  <c r="BW12" i="4"/>
  <c r="CC12" i="4"/>
  <c r="F15" i="4"/>
  <c r="BM14" i="4"/>
  <c r="BC12" i="4"/>
  <c r="CA12" i="4"/>
  <c r="DL14" i="4"/>
  <c r="AT14" i="4"/>
  <c r="CZ13" i="4"/>
  <c r="DU12" i="4"/>
  <c r="EB15" i="4"/>
  <c r="DF14" i="4"/>
  <c r="AJ12" i="4"/>
  <c r="CF15" i="4"/>
  <c r="P15" i="4"/>
  <c r="EA14" i="4"/>
  <c r="J14" i="4"/>
  <c r="CY14" i="4"/>
  <c r="BK15" i="4"/>
  <c r="AW13" i="4"/>
  <c r="BJ12" i="4"/>
  <c r="AC15" i="4"/>
  <c r="DX15" i="4"/>
  <c r="R14" i="4"/>
  <c r="J15" i="4"/>
  <c r="AZ12" i="4"/>
  <c r="DY15" i="4"/>
  <c r="BV14" i="4"/>
  <c r="K15" i="4"/>
  <c r="Y14" i="4"/>
  <c r="CO14" i="4"/>
  <c r="CD12" i="4"/>
  <c r="J13" i="4"/>
  <c r="AO13" i="4"/>
  <c r="DO13" i="4"/>
  <c r="T13" i="4"/>
  <c r="EC12" i="4"/>
  <c r="BH14" i="4"/>
  <c r="AL13" i="4"/>
  <c r="BH13" i="4"/>
  <c r="CO15" i="4"/>
  <c r="AD12" i="4"/>
  <c r="ED13" i="4"/>
  <c r="W15" i="4"/>
  <c r="AQ14" i="4"/>
  <c r="DE15" i="4"/>
  <c r="CN12" i="4"/>
  <c r="BB13" i="4"/>
  <c r="CM13" i="4"/>
  <c r="BU15" i="4"/>
  <c r="DU13" i="4"/>
  <c r="AD13" i="4"/>
  <c r="E13" i="4"/>
  <c r="DX12" i="4"/>
  <c r="BG13" i="4"/>
  <c r="AT12" i="4"/>
  <c r="T12" i="4"/>
  <c r="DT12" i="4"/>
  <c r="DH14" i="4"/>
  <c r="BD14" i="4"/>
  <c r="BD12" i="4"/>
  <c r="F14" i="4"/>
  <c r="EE14" i="4"/>
  <c r="AJ13" i="4"/>
  <c r="DD15" i="4"/>
  <c r="AI13" i="4"/>
  <c r="BG14" i="4"/>
  <c r="ED12" i="4"/>
  <c r="CB15" i="4"/>
  <c r="AF13" i="4"/>
  <c r="CJ14" i="4"/>
  <c r="BD13" i="4"/>
  <c r="DP14" i="4"/>
  <c r="CR12" i="4"/>
  <c r="CH13" i="4"/>
  <c r="BA13" i="4"/>
  <c r="DS13" i="4"/>
  <c r="DC14" i="4"/>
  <c r="AL15" i="4"/>
  <c r="DZ12" i="4"/>
  <c r="DG14" i="4"/>
  <c r="DX14" i="4"/>
  <c r="CV13" i="4"/>
  <c r="BF15" i="4"/>
  <c r="AJ15" i="4"/>
  <c r="D15" i="4"/>
  <c r="U13" i="4"/>
  <c r="EB12" i="4"/>
  <c r="CR15" i="4"/>
  <c r="Z13" i="4"/>
  <c r="W12" i="4"/>
  <c r="AB14" i="4"/>
  <c r="N13" i="4"/>
  <c r="DJ14" i="4"/>
  <c r="DT13" i="4"/>
  <c r="DZ15" i="4"/>
  <c r="EG14" i="4"/>
  <c r="EE15" i="4"/>
  <c r="BR12" i="4"/>
  <c r="DY14" i="4"/>
  <c r="AA14" i="4"/>
  <c r="DI13" i="4"/>
  <c r="EE13" i="4"/>
  <c r="M12" i="4"/>
  <c r="AI14" i="4"/>
  <c r="BQ14" i="4"/>
  <c r="AF15" i="4"/>
  <c r="AU15" i="4"/>
  <c r="AM14" i="4"/>
  <c r="AX13" i="4"/>
  <c r="BF14" i="4"/>
  <c r="DA13" i="4"/>
  <c r="DG12" i="4"/>
  <c r="AY12" i="4"/>
  <c r="AH12" i="4"/>
  <c r="DD12" i="4"/>
  <c r="CL13" i="4"/>
  <c r="CZ14" i="4"/>
  <c r="DW13" i="4"/>
  <c r="EC15" i="4"/>
  <c r="F13" i="4"/>
  <c r="DY13" i="4"/>
  <c r="AE12" i="4"/>
  <c r="AA13" i="4"/>
  <c r="I15" i="4"/>
  <c r="BN12" i="4"/>
  <c r="DD14" i="4"/>
  <c r="BW13" i="4"/>
  <c r="CM15" i="4"/>
  <c r="DF13" i="4"/>
  <c r="DV14" i="4"/>
  <c r="BI14" i="4"/>
  <c r="AZ14" i="4"/>
  <c r="CC13" i="4"/>
  <c r="D14" i="4"/>
  <c r="AW15" i="4"/>
  <c r="CU14" i="4"/>
  <c r="EA12" i="4"/>
  <c r="CY12" i="4"/>
  <c r="CE12" i="4"/>
  <c r="CG13" i="4"/>
  <c r="BY13" i="4"/>
  <c r="CW14" i="4"/>
  <c r="EA15" i="4"/>
  <c r="CQ15" i="4"/>
  <c r="BM13" i="4"/>
  <c r="L13" i="4"/>
  <c r="BY15" i="4"/>
  <c r="R15" i="4"/>
  <c r="AG14" i="4"/>
  <c r="I13" i="4"/>
  <c r="AM15" i="4"/>
  <c r="AL14" i="4"/>
  <c r="BX14" i="4"/>
  <c r="AA12" i="4"/>
  <c r="BJ14" i="4"/>
  <c r="L12" i="4"/>
  <c r="BV15" i="4"/>
  <c r="BY12" i="4"/>
  <c r="L14" i="4"/>
  <c r="CH15" i="4"/>
  <c r="AE14" i="4"/>
  <c r="Z14" i="4"/>
  <c r="CK12" i="4"/>
  <c r="CJ15" i="4"/>
  <c r="BA14" i="4"/>
  <c r="BU12" i="4"/>
  <c r="DI12" i="4"/>
  <c r="BI15" i="4"/>
  <c r="BR14" i="4"/>
  <c r="CJ13" i="4"/>
  <c r="AV15" i="4"/>
  <c r="DB15" i="4"/>
  <c r="BJ15" i="4"/>
  <c r="CJ12" i="4"/>
  <c r="V14" i="4"/>
  <c r="AI15" i="4"/>
  <c r="DQ14" i="4"/>
  <c r="BG12" i="4"/>
  <c r="DX13" i="4"/>
  <c r="AT13" i="4"/>
  <c r="CP13" i="4"/>
  <c r="AK12" i="4"/>
  <c r="DB12" i="4"/>
  <c r="BN13" i="4"/>
  <c r="CP12" i="4"/>
  <c r="DA15" i="4"/>
  <c r="DV13" i="4"/>
  <c r="AY13" i="4"/>
  <c r="BQ15" i="4"/>
  <c r="DU14" i="4"/>
  <c r="X13" i="4"/>
  <c r="CG15" i="4"/>
  <c r="DA12" i="4"/>
  <c r="AX15" i="4"/>
  <c r="O13" i="4"/>
  <c r="AZ13" i="4"/>
  <c r="AM13" i="4"/>
  <c r="BK13" i="4"/>
  <c r="BA12" i="4"/>
  <c r="DE14" i="4"/>
  <c r="AN15" i="4"/>
  <c r="CB12" i="4"/>
  <c r="CA14" i="4"/>
  <c r="CP15" i="4"/>
  <c r="R12" i="4"/>
  <c r="U12" i="4"/>
  <c r="BU13" i="4"/>
  <c r="AS13" i="4"/>
  <c r="AY14" i="4"/>
  <c r="AS15" i="4"/>
  <c r="BC14" i="4"/>
  <c r="AH13" i="4"/>
  <c r="CU15" i="4"/>
  <c r="M14" i="4"/>
  <c r="K12" i="4"/>
  <c r="AV14" i="4"/>
  <c r="I12" i="4"/>
  <c r="ED14" i="4"/>
  <c r="DE13" i="4"/>
  <c r="CB13" i="4"/>
  <c r="X14" i="4"/>
  <c r="DI14" i="4"/>
  <c r="AV12" i="4"/>
  <c r="DE12" i="4"/>
  <c r="AG12" i="4"/>
  <c r="N14" i="4"/>
  <c r="CN15" i="4"/>
  <c r="CR14" i="4"/>
  <c r="BD15" i="4"/>
  <c r="CC14" i="4"/>
  <c r="AK15" i="4"/>
  <c r="AB15" i="4"/>
  <c r="DG13" i="4"/>
  <c r="CG12" i="4"/>
  <c r="AZ15" i="4"/>
  <c r="CY13" i="4"/>
  <c r="BV12" i="4"/>
  <c r="BQ13" i="4"/>
  <c r="Z12" i="4"/>
  <c r="BT14" i="4"/>
  <c r="AR13" i="4"/>
  <c r="BX15" i="4"/>
  <c r="BM15" i="4"/>
  <c r="AP12" i="4"/>
  <c r="CY15" i="4"/>
  <c r="CQ13" i="4"/>
  <c r="AN12" i="4"/>
  <c r="AU12" i="4"/>
  <c r="AR15" i="4"/>
  <c r="BW15" i="4"/>
  <c r="D13" i="4"/>
  <c r="AX12" i="4"/>
  <c r="AU14" i="4"/>
  <c r="EF14" i="4"/>
  <c r="AH15" i="4"/>
  <c r="CO12" i="4"/>
  <c r="CG14" i="4"/>
  <c r="N12" i="4"/>
  <c r="AC13" i="4"/>
  <c r="CA15" i="4"/>
  <c r="BY14" i="4"/>
  <c r="BR13" i="4"/>
  <c r="AE13" i="4"/>
  <c r="Q15" i="4"/>
  <c r="G14" i="4"/>
  <c r="EE12" i="4"/>
  <c r="DS15" i="4"/>
  <c r="DL15" i="4"/>
  <c r="DK13" i="4"/>
  <c r="DW14" i="4"/>
  <c r="AW12" i="4"/>
  <c r="CN13" i="4"/>
  <c r="O12" i="4"/>
  <c r="W13" i="4"/>
  <c r="G15" i="4"/>
  <c r="S12" i="4"/>
  <c r="AS14" i="4"/>
  <c r="Y12" i="4"/>
  <c r="H12" i="4"/>
  <c r="H13" i="4"/>
  <c r="DO14" i="4"/>
  <c r="CK14" i="4"/>
  <c r="BE14" i="4"/>
  <c r="CW15" i="4"/>
  <c r="K14" i="4"/>
  <c r="DF12" i="4"/>
  <c r="AY15" i="4"/>
  <c r="CK13" i="4"/>
  <c r="S13" i="4"/>
  <c r="Z15" i="4"/>
  <c r="AU13" i="4"/>
  <c r="EA13" i="4"/>
  <c r="CV15" i="4"/>
  <c r="DJ12" i="4"/>
  <c r="DB13" i="4"/>
  <c r="AB13" i="4"/>
  <c r="BI12" i="4"/>
  <c r="BT12" i="4"/>
  <c r="BT13" i="4"/>
  <c r="CP14" i="4"/>
  <c r="EC13" i="4"/>
  <c r="AO12" i="4"/>
  <c r="AO15" i="4"/>
  <c r="BT15" i="4"/>
  <c r="CZ12" i="4"/>
  <c r="AR12" i="4"/>
  <c r="CM12" i="4"/>
  <c r="BG15" i="4"/>
  <c r="BZ12" i="4"/>
  <c r="EG15" i="4"/>
  <c r="AN13" i="4"/>
  <c r="EB14" i="4"/>
  <c r="DB14" i="4"/>
  <c r="AF14" i="4"/>
  <c r="CL15" i="4"/>
  <c r="V15" i="4"/>
  <c r="AS12" i="4"/>
  <c r="O14" i="4"/>
  <c r="DC13" i="4"/>
  <c r="DY12" i="4"/>
  <c r="DV12" i="4"/>
  <c r="P12" i="4"/>
  <c r="E15" i="4"/>
  <c r="BH15" i="4"/>
  <c r="CI12" i="4"/>
  <c r="BZ15" i="4"/>
  <c r="CM14" i="4"/>
  <c r="CR13" i="4"/>
  <c r="DQ12" i="4"/>
  <c r="DW12" i="4"/>
  <c r="E14" i="4"/>
  <c r="DV15" i="4"/>
  <c r="BB14" i="4"/>
  <c r="CL14" i="4"/>
  <c r="AK14" i="4"/>
  <c r="AE15" i="4"/>
  <c r="T14" i="4"/>
  <c r="R13" i="4"/>
  <c r="AG13" i="4"/>
  <c r="AR14" i="4"/>
  <c r="DS14" i="4"/>
  <c r="BA15" i="4"/>
  <c r="EF13" i="4"/>
  <c r="BM12" i="4"/>
  <c r="Y15" i="4"/>
  <c r="BK12" i="4"/>
  <c r="Q12" i="4"/>
  <c r="ED15" i="4"/>
  <c r="U14" i="4"/>
  <c r="EF15" i="4"/>
  <c r="DU15" i="4"/>
  <c r="AH14" i="4"/>
  <c r="DP15" i="4"/>
  <c r="BE12" i="4"/>
  <c r="AK13" i="4"/>
  <c r="P14" i="4"/>
  <c r="F12" i="4"/>
  <c r="DT14" i="4"/>
  <c r="DF15" i="4"/>
  <c r="BJ13" i="4"/>
  <c r="BN14" i="4"/>
  <c r="BE15" i="4"/>
  <c r="CC15" i="4"/>
  <c r="X15" i="4"/>
  <c r="CN14" i="4"/>
  <c r="DK14" i="4"/>
  <c r="BZ13" i="4"/>
  <c r="CU13" i="4"/>
  <c r="DC12" i="4"/>
  <c r="BX12" i="4"/>
  <c r="CF14" i="4"/>
  <c r="AO14" i="4"/>
  <c r="AP14" i="4"/>
  <c r="M13" i="4"/>
  <c r="CL12" i="4"/>
  <c r="H15" i="4"/>
  <c r="Q13" i="4"/>
  <c r="AB12" i="4"/>
  <c r="AP13" i="4"/>
  <c r="EF12" i="4"/>
  <c r="BE13" i="4"/>
  <c r="AV13" i="4"/>
  <c r="DK12" i="4"/>
  <c r="AM12" i="4"/>
  <c r="BQ12" i="4"/>
  <c r="DI15" i="4"/>
  <c r="AQ15" i="4"/>
  <c r="BB12" i="4"/>
  <c r="J12" i="4"/>
  <c r="BB15" i="4"/>
  <c r="BZ14" i="4"/>
  <c r="AD15" i="4"/>
  <c r="AQ13" i="4"/>
  <c r="CV12" i="4"/>
  <c r="G13" i="4"/>
  <c r="DZ14" i="4"/>
  <c r="M15" i="4"/>
  <c r="BR15" i="4"/>
  <c r="DQ15" i="4"/>
  <c r="BL15" i="4"/>
  <c r="N15" i="4"/>
  <c r="EG12" i="4"/>
  <c r="CH12" i="4"/>
  <c r="DL13" i="4"/>
  <c r="BF13" i="4"/>
  <c r="P13" i="4"/>
  <c r="CB14" i="4"/>
  <c r="EB13" i="4"/>
  <c r="AC14" i="4"/>
  <c r="EC14" i="4"/>
  <c r="CE14" i="4"/>
  <c r="CI15" i="4"/>
  <c r="S15" i="4"/>
  <c r="AA15" i="4"/>
  <c r="O15" i="4"/>
  <c r="AN14" i="4"/>
  <c r="DG15" i="4"/>
  <c r="D12" i="4"/>
  <c r="DC15" i="4"/>
  <c r="FR15" i="4" l="1"/>
  <c r="FC15" i="4"/>
  <c r="FD12" i="4"/>
  <c r="FU14" i="4"/>
  <c r="FQ15" i="4"/>
  <c r="FT14" i="4"/>
  <c r="FR12" i="4"/>
  <c r="FB12" i="4"/>
  <c r="FT15" i="4"/>
  <c r="EY12" i="4"/>
  <c r="EZ12" i="4" s="1"/>
  <c r="BS15" i="4"/>
  <c r="FD15" i="4"/>
  <c r="FA15" i="4"/>
  <c r="FA13" i="4"/>
  <c r="EY15" i="4"/>
  <c r="EZ15" i="4" s="1"/>
  <c r="FL12" i="4"/>
  <c r="FM12" i="4" s="1"/>
  <c r="FQ14" i="4"/>
  <c r="FL15" i="4"/>
  <c r="FR14" i="4"/>
  <c r="FH12" i="4"/>
  <c r="FH13" i="4"/>
  <c r="FB15" i="4"/>
  <c r="FH15" i="4"/>
  <c r="FD14" i="4"/>
  <c r="FA14" i="4"/>
  <c r="FB14" i="4"/>
  <c r="BS13" i="4"/>
  <c r="FL13" i="4"/>
  <c r="FN13" i="4" s="1"/>
  <c r="EY13" i="4"/>
  <c r="EZ13" i="4" s="1"/>
  <c r="FU13" i="4"/>
  <c r="FT13" i="4"/>
  <c r="FH14" i="4"/>
  <c r="FU12" i="4"/>
  <c r="FC13" i="4"/>
  <c r="FQ13" i="4"/>
  <c r="FC12" i="4"/>
  <c r="FA12" i="4"/>
  <c r="FQ12" i="4"/>
  <c r="BS12" i="4"/>
  <c r="FC14" i="4"/>
  <c r="BS14" i="4"/>
  <c r="FD13" i="4"/>
  <c r="FR13" i="4"/>
  <c r="FL14" i="4"/>
  <c r="EY14" i="4"/>
  <c r="EZ14" i="4" s="1"/>
  <c r="FU15" i="4"/>
  <c r="FB13" i="4"/>
  <c r="FT12" i="4"/>
  <c r="D133" i="11"/>
  <c r="C132" i="11" s="1"/>
  <c r="C133" i="11"/>
  <c r="A134" i="11"/>
  <c r="A122" i="11"/>
  <c r="A121" i="11"/>
  <c r="A120" i="11"/>
  <c r="A119" i="11"/>
  <c r="D109" i="11"/>
  <c r="C108" i="11" s="1"/>
  <c r="C109" i="11"/>
  <c r="C98" i="11"/>
  <c r="D98" i="11"/>
  <c r="C97" i="11" s="1"/>
  <c r="FO13" i="4" l="1"/>
  <c r="FO12" i="4"/>
  <c r="FP14" i="4"/>
  <c r="FN14" i="4"/>
  <c r="FO14" i="4"/>
  <c r="FM14" i="4"/>
  <c r="FJ14" i="4"/>
  <c r="FI14" i="4"/>
  <c r="FK14" i="4"/>
  <c r="FP13" i="4"/>
  <c r="FM13" i="4"/>
  <c r="FF14" i="4"/>
  <c r="FG14" i="4"/>
  <c r="FE14" i="4"/>
  <c r="FI12" i="4"/>
  <c r="FJ12" i="4"/>
  <c r="FK12" i="4"/>
  <c r="FP12" i="4"/>
  <c r="FN12" i="4"/>
  <c r="FE15" i="4"/>
  <c r="FG15" i="4"/>
  <c r="FF15" i="4"/>
  <c r="FI15" i="4"/>
  <c r="FJ15" i="4"/>
  <c r="FE12" i="4"/>
  <c r="FF12" i="4"/>
  <c r="FG12" i="4"/>
  <c r="FK15" i="4"/>
  <c r="FF13" i="4"/>
  <c r="FE13" i="4"/>
  <c r="FG13" i="4"/>
  <c r="FN15" i="4"/>
  <c r="FM15" i="4"/>
  <c r="FO15" i="4"/>
  <c r="FP15" i="4"/>
  <c r="FI13" i="4"/>
  <c r="FK13" i="4"/>
  <c r="FJ13" i="4"/>
  <c r="D132" i="11"/>
  <c r="C131" i="11" s="1"/>
  <c r="A131" i="11" s="1"/>
  <c r="D108" i="11"/>
  <c r="C107" i="11" s="1"/>
  <c r="A133" i="11"/>
  <c r="D97" i="11"/>
  <c r="C96" i="11" s="1"/>
  <c r="A132" i="11" l="1"/>
  <c r="A88" i="11" l="1"/>
  <c r="A87" i="11"/>
  <c r="A86" i="11"/>
  <c r="A85" i="11"/>
  <c r="A84" i="11"/>
  <c r="A110" i="11"/>
  <c r="A109" i="11"/>
  <c r="A108" i="11"/>
  <c r="A107" i="11"/>
  <c r="A96" i="11"/>
  <c r="A99" i="11"/>
  <c r="A97" i="11"/>
  <c r="A98" i="11"/>
  <c r="B1" i="4" l="1"/>
  <c r="C1" i="4" s="1"/>
  <c r="D1" i="4" s="1"/>
  <c r="D10" i="4" s="1"/>
  <c r="A10" i="4"/>
  <c r="B10" i="4" l="1"/>
  <c r="E1" i="4"/>
  <c r="F1" i="4" s="1"/>
  <c r="G1" i="4" s="1"/>
  <c r="H1" i="4" s="1"/>
  <c r="I1" i="4" s="1"/>
  <c r="J1" i="4" s="1"/>
  <c r="K1" i="4" s="1"/>
  <c r="L1" i="4" s="1"/>
  <c r="M1" i="4" s="1"/>
  <c r="N1" i="4" s="1"/>
  <c r="O1" i="4" s="1"/>
  <c r="P1" i="4" s="1"/>
  <c r="Q1" i="4" s="1"/>
  <c r="R1" i="4" s="1"/>
  <c r="S1" i="4" s="1"/>
  <c r="T1" i="4" s="1"/>
  <c r="U1" i="4" s="1"/>
  <c r="C10" i="4"/>
  <c r="J31" i="1"/>
  <c r="V1" i="4" l="1"/>
  <c r="V10" i="4" s="1"/>
  <c r="U10" i="4"/>
  <c r="E10" i="4"/>
  <c r="F10" i="4"/>
  <c r="W1" i="4" l="1"/>
  <c r="X1" i="4"/>
  <c r="W10" i="4"/>
  <c r="G10" i="4"/>
  <c r="Y1" i="4" l="1"/>
  <c r="X10" i="4"/>
  <c r="H10" i="4"/>
  <c r="Z1" i="4" l="1"/>
  <c r="Y10" i="4"/>
  <c r="I10" i="4"/>
  <c r="AA1" i="4" l="1"/>
  <c r="Z10" i="4"/>
  <c r="J10" i="4"/>
  <c r="B1" i="1"/>
  <c r="C1" i="1" s="1"/>
  <c r="D1" i="1" s="1"/>
  <c r="E1" i="1" s="1"/>
  <c r="F1" i="1" s="1"/>
  <c r="G1" i="1" s="1"/>
  <c r="H1" i="1" s="1"/>
  <c r="I1" i="1" s="1"/>
  <c r="J1" i="1" s="1"/>
  <c r="K1" i="1" s="1"/>
  <c r="L1" i="1" s="1"/>
  <c r="M1" i="1" s="1"/>
  <c r="N1" i="1" s="1"/>
  <c r="O1" i="1" s="1"/>
  <c r="P1" i="1" s="1"/>
  <c r="K12" i="1"/>
  <c r="AB1" i="4" l="1"/>
  <c r="AA10" i="4"/>
  <c r="E121" i="1"/>
  <c r="K10" i="4"/>
  <c r="AB10" i="4" l="1"/>
  <c r="AC1" i="4"/>
  <c r="L10" i="4"/>
  <c r="AD1" i="4" l="1"/>
  <c r="AC10" i="4"/>
  <c r="M10" i="4"/>
  <c r="AE1" i="4" l="1"/>
  <c r="AD10" i="4"/>
  <c r="N10" i="4"/>
  <c r="B3" i="4"/>
  <c r="A3" i="4"/>
  <c r="AF1" i="4" l="1"/>
  <c r="AE10" i="4"/>
  <c r="O10" i="4"/>
  <c r="A2" i="1"/>
  <c r="AG1" i="4" l="1"/>
  <c r="AF10" i="4"/>
  <c r="P10" i="4"/>
  <c r="AH1" i="4" l="1"/>
  <c r="AG10" i="4"/>
  <c r="Q10" i="4"/>
  <c r="C13" i="2"/>
  <c r="C14" i="2"/>
  <c r="C11" i="2"/>
  <c r="C12" i="2"/>
  <c r="A3" i="1"/>
  <c r="AI1" i="4" l="1"/>
  <c r="AH10" i="4"/>
  <c r="R10" i="4"/>
  <c r="A4" i="1"/>
  <c r="G53" i="1"/>
  <c r="H37" i="1"/>
  <c r="I37" i="1" s="1"/>
  <c r="J28" i="1"/>
  <c r="I16" i="1"/>
  <c r="L15" i="1"/>
  <c r="K14" i="1"/>
  <c r="I14" i="1"/>
  <c r="L13" i="1"/>
  <c r="I12" i="1"/>
  <c r="L11" i="1"/>
  <c r="J19" i="1" l="1"/>
  <c r="AJ1" i="4"/>
  <c r="AI10" i="4"/>
  <c r="C9" i="2"/>
  <c r="C10" i="2"/>
  <c r="C7" i="2"/>
  <c r="C8" i="2"/>
  <c r="C6" i="2"/>
  <c r="S10" i="4"/>
  <c r="A5" i="1"/>
  <c r="E8" i="4"/>
  <c r="F8" i="4"/>
  <c r="D8" i="4"/>
  <c r="G8" i="4"/>
  <c r="I8" i="4"/>
  <c r="H8" i="4"/>
  <c r="E2" i="4" l="1"/>
  <c r="J27" i="1"/>
  <c r="J29" i="1"/>
  <c r="AK1" i="4"/>
  <c r="AJ10" i="4"/>
  <c r="D2" i="4"/>
  <c r="F2" i="4"/>
  <c r="H2" i="4"/>
  <c r="I2" i="4"/>
  <c r="G2" i="4"/>
  <c r="T10" i="4"/>
  <c r="A6" i="1"/>
  <c r="J11" i="4"/>
  <c r="L11" i="4"/>
  <c r="G11" i="4"/>
  <c r="D11" i="4"/>
  <c r="H11" i="4"/>
  <c r="F11" i="4"/>
  <c r="K11" i="4"/>
  <c r="I11" i="4"/>
  <c r="E11" i="4"/>
  <c r="L9" i="4" l="1"/>
  <c r="I9" i="4"/>
  <c r="A13" i="11" s="1"/>
  <c r="G9" i="4"/>
  <c r="K9" i="4"/>
  <c r="H9" i="4"/>
  <c r="J9" i="4"/>
  <c r="E9" i="4"/>
  <c r="F9" i="4"/>
  <c r="D9" i="4"/>
  <c r="AL1" i="4"/>
  <c r="AK10" i="4"/>
  <c r="C5" i="2"/>
  <c r="A7" i="1"/>
  <c r="D14" i="11"/>
  <c r="AM1" i="4" l="1"/>
  <c r="AL10" i="4"/>
  <c r="A8" i="1"/>
  <c r="AN1" i="4" l="1"/>
  <c r="AM10" i="4"/>
  <c r="A9" i="1"/>
  <c r="AO1" i="4" l="1"/>
  <c r="AN10" i="4"/>
  <c r="A10" i="1"/>
  <c r="AP1" i="4" l="1"/>
  <c r="AO10" i="4"/>
  <c r="A11" i="1"/>
  <c r="AA11" i="4"/>
  <c r="AA8" i="4"/>
  <c r="U11" i="4"/>
  <c r="M11" i="4"/>
  <c r="U8" i="4"/>
  <c r="U9" i="4" l="1"/>
  <c r="M9" i="4"/>
  <c r="AA9" i="4"/>
  <c r="AQ1" i="4"/>
  <c r="AP10" i="4"/>
  <c r="A12" i="1"/>
  <c r="N11" i="4"/>
  <c r="V11" i="4"/>
  <c r="V8" i="4"/>
  <c r="V9" i="4" l="1"/>
  <c r="N9" i="4"/>
  <c r="AR1" i="4"/>
  <c r="AQ10" i="4"/>
  <c r="A13" i="1"/>
  <c r="AB11" i="4"/>
  <c r="W8" i="4"/>
  <c r="AB8" i="4"/>
  <c r="W11" i="4"/>
  <c r="AB9" i="4" l="1"/>
  <c r="W9" i="4"/>
  <c r="AS1" i="4"/>
  <c r="AT1" i="4" s="1"/>
  <c r="AU1" i="4" s="1"/>
  <c r="AV1" i="4" s="1"/>
  <c r="AW1" i="4" s="1"/>
  <c r="AX1" i="4" s="1"/>
  <c r="AY1" i="4" s="1"/>
  <c r="AZ1" i="4" s="1"/>
  <c r="BA1" i="4" s="1"/>
  <c r="BB1" i="4" s="1"/>
  <c r="BC1" i="4" s="1"/>
  <c r="BD1" i="4" s="1"/>
  <c r="BE1" i="4" s="1"/>
  <c r="BF1" i="4" s="1"/>
  <c r="BG1" i="4" s="1"/>
  <c r="BH1" i="4" s="1"/>
  <c r="AR10" i="4"/>
  <c r="A14" i="1"/>
  <c r="X8" i="4"/>
  <c r="X11" i="4"/>
  <c r="X9" i="4" l="1"/>
  <c r="BH10" i="4"/>
  <c r="BI1" i="4"/>
  <c r="V2" i="4"/>
  <c r="A15" i="1"/>
  <c r="Y8" i="4"/>
  <c r="AC11" i="4"/>
  <c r="O11" i="4"/>
  <c r="AC8" i="4"/>
  <c r="Y11" i="4"/>
  <c r="AC9" i="4" l="1"/>
  <c r="Y9" i="4"/>
  <c r="O9" i="4"/>
  <c r="BJ1" i="4"/>
  <c r="BI10" i="4"/>
  <c r="A16" i="1"/>
  <c r="Z8" i="4"/>
  <c r="Z11" i="4"/>
  <c r="P11" i="4"/>
  <c r="P9" i="4" l="1"/>
  <c r="Z9" i="4"/>
  <c r="BJ10" i="4"/>
  <c r="BK1" i="4"/>
  <c r="BL1" i="4" s="1"/>
  <c r="BM1" i="4" s="1"/>
  <c r="BN1" i="4" s="1"/>
  <c r="BO1" i="4" s="1"/>
  <c r="BP1" i="4" s="1"/>
  <c r="BQ1" i="4" s="1"/>
  <c r="BR1" i="4" s="1"/>
  <c r="BS1" i="4" s="1"/>
  <c r="A17" i="1"/>
  <c r="Q11" i="4"/>
  <c r="Q9" i="4" l="1"/>
  <c r="BT1" i="4"/>
  <c r="BU1" i="4" s="1"/>
  <c r="BS10" i="4"/>
  <c r="A18" i="1"/>
  <c r="R11" i="4"/>
  <c r="R9" i="4" l="1"/>
  <c r="BU10" i="4"/>
  <c r="BV1" i="4"/>
  <c r="BW1" i="4" s="1"/>
  <c r="BX1" i="4" s="1"/>
  <c r="BY1" i="4" s="1"/>
  <c r="BZ1" i="4" s="1"/>
  <c r="CA1" i="4" s="1"/>
  <c r="CB1" i="4" s="1"/>
  <c r="CC1" i="4" s="1"/>
  <c r="CD1" i="4" s="1"/>
  <c r="CE1" i="4" s="1"/>
  <c r="A19" i="1"/>
  <c r="AD11" i="4"/>
  <c r="S11" i="4"/>
  <c r="AD8" i="4"/>
  <c r="AD9" i="4" l="1"/>
  <c r="S9" i="4"/>
  <c r="CF1" i="4"/>
  <c r="CG1" i="4" s="1"/>
  <c r="CH1" i="4" s="1"/>
  <c r="CI1" i="4" s="1"/>
  <c r="CJ1" i="4" s="1"/>
  <c r="CK1" i="4" s="1"/>
  <c r="CL1" i="4" s="1"/>
  <c r="CM1" i="4" s="1"/>
  <c r="CN1" i="4" s="1"/>
  <c r="CO1" i="4" s="1"/>
  <c r="CP1" i="4" s="1"/>
  <c r="CQ1" i="4" s="1"/>
  <c r="CR1" i="4" s="1"/>
  <c r="CS1" i="4" s="1"/>
  <c r="CT1" i="4" s="1"/>
  <c r="CU1" i="4" s="1"/>
  <c r="CV1" i="4" s="1"/>
  <c r="CW1" i="4" s="1"/>
  <c r="CX1" i="4" s="1"/>
  <c r="CY1" i="4" s="1"/>
  <c r="CZ1" i="4" s="1"/>
  <c r="DA1" i="4" s="1"/>
  <c r="DB1" i="4" s="1"/>
  <c r="DC1" i="4" s="1"/>
  <c r="DD1" i="4" s="1"/>
  <c r="DE1" i="4" s="1"/>
  <c r="DF1" i="4" s="1"/>
  <c r="DG1" i="4" s="1"/>
  <c r="DH1" i="4" s="1"/>
  <c r="DI1" i="4" s="1"/>
  <c r="DJ1" i="4" s="1"/>
  <c r="DK1" i="4" s="1"/>
  <c r="DL1" i="4" s="1"/>
  <c r="DM1" i="4" s="1"/>
  <c r="DN1" i="4" s="1"/>
  <c r="DO1" i="4" s="1"/>
  <c r="DP1" i="4" s="1"/>
  <c r="DQ1" i="4" s="1"/>
  <c r="DR1" i="4" s="1"/>
  <c r="DS1" i="4" s="1"/>
  <c r="DT1" i="4" s="1"/>
  <c r="DU1" i="4" s="1"/>
  <c r="DV1" i="4" s="1"/>
  <c r="DW1" i="4" s="1"/>
  <c r="DX1" i="4" s="1"/>
  <c r="CE10" i="4"/>
  <c r="A20" i="1"/>
  <c r="T11" i="4"/>
  <c r="AE11" i="4"/>
  <c r="AE8" i="4"/>
  <c r="AE9" i="4" l="1"/>
  <c r="T9" i="4"/>
  <c r="FC11" i="4"/>
  <c r="DY1" i="4"/>
  <c r="DX10" i="4"/>
  <c r="A21" i="1"/>
  <c r="AF11" i="4"/>
  <c r="AF8" i="4"/>
  <c r="AF9" i="4" l="1"/>
  <c r="DZ1" i="4"/>
  <c r="DY10" i="4"/>
  <c r="A22" i="1"/>
  <c r="EA1" i="4" l="1"/>
  <c r="DZ10" i="4"/>
  <c r="A23" i="1"/>
  <c r="EB1" i="4" l="1"/>
  <c r="EA10" i="4"/>
  <c r="A24" i="1"/>
  <c r="EC1" i="4" l="1"/>
  <c r="EB10" i="4"/>
  <c r="A25" i="1"/>
  <c r="ED1" i="4" l="1"/>
  <c r="EC10" i="4"/>
  <c r="A26" i="1"/>
  <c r="AG11" i="4"/>
  <c r="AG8" i="4"/>
  <c r="AG9" i="4" l="1"/>
  <c r="EE1" i="4"/>
  <c r="ED10" i="4"/>
  <c r="AF2" i="4"/>
  <c r="A27" i="1"/>
  <c r="AN11" i="4"/>
  <c r="AN8" i="4"/>
  <c r="AH11" i="4"/>
  <c r="AH8" i="4"/>
  <c r="AN9" i="4" l="1"/>
  <c r="AH9" i="4"/>
  <c r="EF1" i="4"/>
  <c r="EE10" i="4"/>
  <c r="AG2" i="4"/>
  <c r="A28" i="1"/>
  <c r="AI11" i="4"/>
  <c r="AO8" i="4"/>
  <c r="AI8" i="4"/>
  <c r="AO11" i="4"/>
  <c r="AI9" i="4" l="1"/>
  <c r="AO9" i="4"/>
  <c r="EF10" i="4"/>
  <c r="EG1" i="4"/>
  <c r="AH2" i="4"/>
  <c r="A29" i="1"/>
  <c r="AP11" i="4"/>
  <c r="AP8" i="4"/>
  <c r="AP9" i="4" l="1"/>
  <c r="AP2" i="4"/>
  <c r="EG10" i="4"/>
  <c r="EH1" i="4"/>
  <c r="EI1" i="4" s="1"/>
  <c r="EJ1" i="4" s="1"/>
  <c r="EK1" i="4" s="1"/>
  <c r="EL1" i="4" s="1"/>
  <c r="EM1" i="4" s="1"/>
  <c r="EN1" i="4" s="1"/>
  <c r="EO1" i="4" s="1"/>
  <c r="EP1" i="4" s="1"/>
  <c r="EQ1" i="4" s="1"/>
  <c r="ER1" i="4" s="1"/>
  <c r="ES1" i="4" s="1"/>
  <c r="ET1" i="4" s="1"/>
  <c r="EU1" i="4" s="1"/>
  <c r="EV1" i="4" s="1"/>
  <c r="EW1" i="4" s="1"/>
  <c r="EX1" i="4" s="1"/>
  <c r="AN2" i="4"/>
  <c r="AS10" i="4"/>
  <c r="A30" i="1"/>
  <c r="AQ8" i="4"/>
  <c r="AJ8" i="4"/>
  <c r="AJ11" i="4"/>
  <c r="AQ11" i="4"/>
  <c r="AJ9" i="4" l="1"/>
  <c r="AQ9" i="4"/>
  <c r="AQ2" i="4"/>
  <c r="EY1" i="4"/>
  <c r="EX10" i="4"/>
  <c r="EX9" i="4" s="1"/>
  <c r="AO2" i="4"/>
  <c r="AI2" i="4"/>
  <c r="AT10" i="4"/>
  <c r="A31" i="1"/>
  <c r="AK11" i="4"/>
  <c r="AR8" i="4"/>
  <c r="AR11" i="4"/>
  <c r="AK8" i="4"/>
  <c r="AR9" i="4" l="1"/>
  <c r="AK9" i="4"/>
  <c r="AR2" i="4"/>
  <c r="EX2" i="4"/>
  <c r="EZ1" i="4"/>
  <c r="EY10" i="4"/>
  <c r="AJ2" i="4"/>
  <c r="AU10" i="4"/>
  <c r="A32" i="1"/>
  <c r="A33" i="1" s="1"/>
  <c r="AL8" i="4"/>
  <c r="AL11" i="4"/>
  <c r="AL9" i="4" l="1"/>
  <c r="FA1" i="4"/>
  <c r="EZ10" i="4"/>
  <c r="AK2" i="4"/>
  <c r="AV10" i="4"/>
  <c r="FB1" i="4" l="1"/>
  <c r="FA10" i="4"/>
  <c r="AL2" i="4"/>
  <c r="AW10" i="4"/>
  <c r="A34" i="1"/>
  <c r="FC1" i="4" l="1"/>
  <c r="FD1" i="4" s="1"/>
  <c r="FE1" i="4" s="1"/>
  <c r="FF1" i="4" s="1"/>
  <c r="FB10" i="4"/>
  <c r="AX10" i="4"/>
  <c r="A35" i="1"/>
  <c r="FC10" i="4" l="1"/>
  <c r="FC9" i="4" s="1"/>
  <c r="AY10" i="4"/>
  <c r="A36" i="1"/>
  <c r="FC2" i="4" l="1"/>
  <c r="FE10" i="4"/>
  <c r="AZ10" i="4"/>
  <c r="A37" i="1"/>
  <c r="FG1" i="4" l="1"/>
  <c r="FF10" i="4"/>
  <c r="BA10" i="4"/>
  <c r="A38" i="1"/>
  <c r="FG10" i="4" l="1"/>
  <c r="FH1" i="4"/>
  <c r="BB10" i="4"/>
  <c r="A39" i="1"/>
  <c r="FH10" i="4" l="1"/>
  <c r="FI1" i="4"/>
  <c r="BC10" i="4"/>
  <c r="A40" i="1"/>
  <c r="FJ1" i="4" l="1"/>
  <c r="FI10" i="4"/>
  <c r="BD10" i="4"/>
  <c r="A41" i="1"/>
  <c r="FJ10" i="4" l="1"/>
  <c r="FK1" i="4"/>
  <c r="BE10" i="4"/>
  <c r="A42" i="1"/>
  <c r="FL1" i="4" l="1"/>
  <c r="FK10" i="4"/>
  <c r="BF10" i="4"/>
  <c r="A43" i="1"/>
  <c r="FM1" i="4" l="1"/>
  <c r="FL10" i="4"/>
  <c r="BG10" i="4"/>
  <c r="A44" i="1"/>
  <c r="FM10" i="4" l="1"/>
  <c r="FN1" i="4"/>
  <c r="A45" i="1"/>
  <c r="FN10" i="4" l="1"/>
  <c r="FO1" i="4"/>
  <c r="A46" i="1"/>
  <c r="FP1" i="4" l="1"/>
  <c r="FO10" i="4"/>
  <c r="A47" i="1"/>
  <c r="FP10" i="4" l="1"/>
  <c r="FQ1" i="4"/>
  <c r="BK10" i="4"/>
  <c r="A48" i="1"/>
  <c r="FQ10" i="4" l="1"/>
  <c r="FR1" i="4"/>
  <c r="BL10" i="4"/>
  <c r="A49" i="1"/>
  <c r="FS1" i="4" l="1"/>
  <c r="FR10" i="4"/>
  <c r="BM10" i="4"/>
  <c r="A50" i="1"/>
  <c r="FT1" i="4" l="1"/>
  <c r="FS10" i="4"/>
  <c r="BN10" i="4"/>
  <c r="A51" i="1"/>
  <c r="FU1" i="4" l="1"/>
  <c r="FU10" i="4" s="1"/>
  <c r="FT10" i="4"/>
  <c r="A52" i="1"/>
  <c r="A53" i="1" l="1"/>
  <c r="BQ10" i="4" l="1"/>
  <c r="A54" i="1"/>
  <c r="BR10" i="4" l="1"/>
  <c r="A55" i="1"/>
  <c r="A56" i="1" l="1"/>
  <c r="BT10" i="4" l="1"/>
  <c r="A57" i="1"/>
  <c r="A58" i="1" l="1"/>
  <c r="BV10" i="4" l="1"/>
  <c r="A59" i="1"/>
  <c r="BW10" i="4" l="1"/>
  <c r="A60" i="1"/>
  <c r="BX10" i="4" l="1"/>
  <c r="A61" i="1"/>
  <c r="BY10" i="4" l="1"/>
  <c r="A62" i="1"/>
  <c r="BZ10" i="4" l="1"/>
  <c r="A63" i="1"/>
  <c r="CA10" i="4" l="1"/>
  <c r="A64" i="1"/>
  <c r="CB10" i="4" l="1"/>
  <c r="A65" i="1"/>
  <c r="CC10" i="4" l="1"/>
  <c r="A66" i="1"/>
  <c r="A67" i="1" l="1"/>
  <c r="CD10" i="4"/>
  <c r="A68" i="1" l="1"/>
  <c r="A69" i="1" l="1"/>
  <c r="CF10" i="4"/>
  <c r="A70" i="1" l="1"/>
  <c r="CG10" i="4"/>
  <c r="A71" i="1" l="1"/>
  <c r="CH10" i="4"/>
  <c r="A72" i="1" l="1"/>
  <c r="CI10" i="4"/>
  <c r="A73" i="1" l="1"/>
  <c r="CJ10" i="4"/>
  <c r="A74" i="1" l="1"/>
  <c r="CK10" i="4"/>
  <c r="A75" i="1" l="1"/>
  <c r="CL10" i="4"/>
  <c r="A76" i="1" l="1"/>
  <c r="CM10" i="4"/>
  <c r="A77" i="1" l="1"/>
  <c r="CN10" i="4"/>
  <c r="A78" i="1" l="1"/>
  <c r="CO10" i="4"/>
  <c r="A79" i="1" l="1"/>
  <c r="CP10" i="4"/>
  <c r="A80" i="1" l="1"/>
  <c r="CQ10" i="4"/>
  <c r="A81" i="1" l="1"/>
  <c r="CR10" i="4"/>
  <c r="A82" i="1" l="1"/>
  <c r="CS10" i="4"/>
  <c r="A83" i="1" l="1"/>
  <c r="CT10" i="4"/>
  <c r="A84" i="1" l="1"/>
  <c r="CU10" i="4"/>
  <c r="A85" i="1" l="1"/>
  <c r="CV10" i="4"/>
  <c r="A86" i="1" l="1"/>
  <c r="CW10" i="4"/>
  <c r="A87" i="1" l="1"/>
  <c r="A88" i="1" l="1"/>
  <c r="CY10" i="4"/>
  <c r="A89" i="1" l="1"/>
  <c r="CZ10" i="4"/>
  <c r="A90" i="1" l="1"/>
  <c r="DA10" i="4"/>
  <c r="A91" i="1" l="1"/>
  <c r="DB10" i="4"/>
  <c r="A92" i="1" l="1"/>
  <c r="DC10" i="4"/>
  <c r="A93" i="1" l="1"/>
  <c r="DD10" i="4"/>
  <c r="A94" i="1" l="1"/>
  <c r="DE10" i="4"/>
  <c r="A95" i="1" l="1"/>
  <c r="DF10" i="4"/>
  <c r="A96" i="1" l="1"/>
  <c r="DG10" i="4"/>
  <c r="A97" i="1" l="1"/>
  <c r="DH10" i="4"/>
  <c r="A98" i="1" l="1"/>
  <c r="DI10" i="4"/>
  <c r="A99" i="1" l="1"/>
  <c r="DJ10" i="4"/>
  <c r="A100" i="1" l="1"/>
  <c r="DK10" i="4"/>
  <c r="A101" i="1" l="1"/>
  <c r="DL10" i="4"/>
  <c r="A102" i="1" l="1"/>
  <c r="DM10" i="4"/>
  <c r="A103" i="1" l="1"/>
  <c r="DN10" i="4"/>
  <c r="A104" i="1" l="1"/>
  <c r="DO10" i="4"/>
  <c r="A105" i="1" l="1"/>
  <c r="DP10" i="4"/>
  <c r="A106" i="1" l="1"/>
  <c r="DQ10" i="4"/>
  <c r="A107" i="1" l="1"/>
  <c r="EH2" i="4"/>
  <c r="DR10" i="4"/>
  <c r="A108" i="1" l="1"/>
  <c r="DS10" i="4"/>
  <c r="A109" i="1" l="1"/>
  <c r="DT10" i="4"/>
  <c r="A110" i="1" l="1"/>
  <c r="DU10" i="4"/>
  <c r="A111" i="1" l="1"/>
  <c r="DW10" i="4"/>
  <c r="DV10" i="4"/>
  <c r="S8" i="4"/>
  <c r="K8" i="4"/>
  <c r="M8" i="4"/>
  <c r="P8" i="4"/>
  <c r="O8" i="4"/>
  <c r="N8" i="4"/>
  <c r="Q8" i="4"/>
  <c r="J8" i="4"/>
  <c r="L8" i="4"/>
  <c r="T8" i="4"/>
  <c r="R8" i="4"/>
  <c r="A112" i="1" l="1"/>
  <c r="A53" i="11"/>
  <c r="A52" i="11"/>
  <c r="A80" i="11"/>
  <c r="AE2" i="4"/>
  <c r="P2" i="4"/>
  <c r="AD2" i="4"/>
  <c r="Z2" i="4"/>
  <c r="W2" i="4"/>
  <c r="M2" i="4"/>
  <c r="U2" i="4"/>
  <c r="AC2" i="4"/>
  <c r="AA2" i="4"/>
  <c r="R2" i="4"/>
  <c r="Y2" i="4"/>
  <c r="T2" i="4"/>
  <c r="O2" i="4"/>
  <c r="Q2" i="4"/>
  <c r="S2" i="4"/>
  <c r="N2" i="4"/>
  <c r="AB2" i="4"/>
  <c r="X2" i="4"/>
  <c r="L2" i="4"/>
  <c r="K2" i="4"/>
  <c r="J2" i="4"/>
  <c r="K47" i="11"/>
  <c r="A77" i="11"/>
  <c r="S17" i="11"/>
  <c r="K48" i="11"/>
  <c r="K50" i="11"/>
  <c r="K51" i="11"/>
  <c r="K49" i="11"/>
  <c r="F48" i="11"/>
  <c r="E96" i="11"/>
  <c r="J17" i="11"/>
  <c r="A113" i="1" l="1"/>
  <c r="B53" i="11"/>
  <c r="K53" i="11"/>
  <c r="B52" i="11"/>
  <c r="K52" i="11"/>
  <c r="K15" i="11"/>
  <c r="D51" i="11"/>
  <c r="R15" i="11"/>
  <c r="F50" i="11"/>
  <c r="N17" i="11"/>
  <c r="I51" i="11"/>
  <c r="J49" i="11"/>
  <c r="E88" i="11"/>
  <c r="D49" i="11"/>
  <c r="C51" i="11"/>
  <c r="D20" i="11"/>
  <c r="D48" i="11"/>
  <c r="D17" i="11"/>
  <c r="F49" i="11"/>
  <c r="K17" i="11"/>
  <c r="G51" i="11"/>
  <c r="D15" i="11"/>
  <c r="H48" i="11"/>
  <c r="F51" i="11"/>
  <c r="R17" i="11"/>
  <c r="P17" i="11"/>
  <c r="L20" i="11"/>
  <c r="P15" i="11"/>
  <c r="J50" i="11"/>
  <c r="N20" i="11"/>
  <c r="O17" i="11"/>
  <c r="E85" i="11"/>
  <c r="E48" i="11"/>
  <c r="N15" i="11"/>
  <c r="K20" i="11"/>
  <c r="J51" i="11"/>
  <c r="E50" i="11"/>
  <c r="M17" i="11"/>
  <c r="G50" i="11"/>
  <c r="E86" i="11"/>
  <c r="D18" i="11"/>
  <c r="D16" i="11"/>
  <c r="I53" i="11"/>
  <c r="E84" i="11"/>
  <c r="D50" i="11"/>
  <c r="L15" i="11"/>
  <c r="E87" i="11"/>
  <c r="I50" i="11"/>
  <c r="P20" i="11"/>
  <c r="H51" i="11"/>
  <c r="D21" i="11"/>
  <c r="E51" i="11"/>
  <c r="C48" i="11"/>
  <c r="O15" i="11"/>
  <c r="J48" i="11"/>
  <c r="C49" i="11"/>
  <c r="O20" i="11"/>
  <c r="G49" i="11"/>
  <c r="E49" i="11"/>
  <c r="H49" i="11"/>
  <c r="I49" i="11"/>
  <c r="J15" i="11"/>
  <c r="J20" i="11"/>
  <c r="M15" i="11"/>
  <c r="Q15" i="11"/>
  <c r="I48" i="11"/>
  <c r="H50" i="11"/>
  <c r="M20" i="11"/>
  <c r="Q20" i="11"/>
  <c r="Q17" i="11"/>
  <c r="G48" i="11"/>
  <c r="R20" i="11"/>
  <c r="L17" i="11"/>
  <c r="D19" i="11"/>
  <c r="C50" i="11"/>
  <c r="D22" i="11"/>
  <c r="I52" i="11"/>
  <c r="A114" i="1" l="1"/>
  <c r="D270" i="11"/>
  <c r="E14" i="11"/>
  <c r="E21" i="11"/>
  <c r="E18" i="11"/>
  <c r="E24" i="11"/>
  <c r="E20" i="11"/>
  <c r="E19" i="11"/>
  <c r="E16" i="11"/>
  <c r="E17" i="11"/>
  <c r="E15" i="11"/>
  <c r="E22" i="11"/>
  <c r="F86" i="11"/>
  <c r="F84" i="11"/>
  <c r="F85" i="11"/>
  <c r="F87" i="11"/>
  <c r="F88" i="11"/>
  <c r="D53" i="11"/>
  <c r="C53" i="11"/>
  <c r="E52" i="11"/>
  <c r="H52" i="11"/>
  <c r="J53" i="11"/>
  <c r="J52" i="11"/>
  <c r="E53" i="11"/>
  <c r="G52" i="11"/>
  <c r="D52" i="11"/>
  <c r="F52" i="11"/>
  <c r="H53" i="11"/>
  <c r="G53" i="11"/>
  <c r="C52" i="11"/>
  <c r="F53" i="11"/>
  <c r="A115" i="1" l="1"/>
  <c r="A116" i="1" l="1"/>
  <c r="A117" i="1" l="1"/>
  <c r="A118" i="1" l="1"/>
  <c r="A119" i="1" l="1"/>
  <c r="A120" i="1" l="1"/>
  <c r="A121" i="1" l="1"/>
  <c r="A122" i="1" l="1"/>
  <c r="A123" i="1" l="1"/>
  <c r="A124" i="1" l="1"/>
  <c r="A125" i="1" l="1"/>
  <c r="A126" i="1" l="1"/>
  <c r="A127" i="1" l="1"/>
  <c r="A128" i="1" l="1"/>
  <c r="A129" i="1" l="1"/>
  <c r="A130" i="1" l="1"/>
  <c r="A131" i="1" l="1"/>
  <c r="A132" i="1" l="1"/>
  <c r="A133" i="1" l="1"/>
  <c r="A134" i="1" l="1"/>
  <c r="A135" i="1" l="1"/>
  <c r="DX11" i="4"/>
  <c r="BL11" i="4"/>
  <c r="AV8" i="4"/>
  <c r="CZ8" i="4"/>
  <c r="CJ8" i="4"/>
  <c r="DB11" i="4"/>
  <c r="EB11" i="4"/>
  <c r="DZ8" i="4"/>
  <c r="BM8" i="4"/>
  <c r="AZ11" i="4"/>
  <c r="BL8" i="4"/>
  <c r="CO8" i="4"/>
  <c r="DP11" i="4"/>
  <c r="CZ11" i="4"/>
  <c r="BB8" i="4"/>
  <c r="BZ11" i="4"/>
  <c r="DW8" i="4"/>
  <c r="EG8" i="4"/>
  <c r="BH8" i="4"/>
  <c r="DT8" i="4"/>
  <c r="DZ11" i="4"/>
  <c r="DH11" i="4"/>
  <c r="BT11" i="4"/>
  <c r="BK8" i="4"/>
  <c r="EE8" i="4"/>
  <c r="CO11" i="4"/>
  <c r="CL11" i="4"/>
  <c r="DJ11" i="4"/>
  <c r="DB8" i="4"/>
  <c r="AM8" i="4"/>
  <c r="DX8" i="4"/>
  <c r="AW11" i="4"/>
  <c r="CF8" i="4"/>
  <c r="BG8" i="4"/>
  <c r="CB11" i="4"/>
  <c r="BU8" i="4"/>
  <c r="BT8" i="4"/>
  <c r="BV11" i="4"/>
  <c r="BQ8" i="4"/>
  <c r="ED8" i="4"/>
  <c r="CI11" i="4"/>
  <c r="EF11" i="4"/>
  <c r="DC8" i="4"/>
  <c r="EC8" i="4"/>
  <c r="DY8" i="4"/>
  <c r="DI11" i="4"/>
  <c r="DI8" i="4"/>
  <c r="BU11" i="4"/>
  <c r="BC8" i="4"/>
  <c r="DL8" i="4"/>
  <c r="DF11" i="4"/>
  <c r="BX8" i="4"/>
  <c r="AX8" i="4"/>
  <c r="CK11" i="4"/>
  <c r="ED11" i="4"/>
  <c r="BZ8" i="4"/>
  <c r="BN11" i="4"/>
  <c r="EC11" i="4"/>
  <c r="BS8" i="4"/>
  <c r="BA8" i="4"/>
  <c r="DW11" i="4"/>
  <c r="BV8" i="4"/>
  <c r="CG8" i="4"/>
  <c r="AS11" i="4"/>
  <c r="CH11" i="4"/>
  <c r="CU8" i="4"/>
  <c r="EA8" i="4"/>
  <c r="CQ11" i="4"/>
  <c r="CD8" i="4"/>
  <c r="DA8" i="4"/>
  <c r="DG8" i="4"/>
  <c r="CJ11" i="4"/>
  <c r="CU11" i="4"/>
  <c r="BN8" i="4"/>
  <c r="AZ8" i="4"/>
  <c r="BI11" i="4"/>
  <c r="AW8" i="4"/>
  <c r="DA11" i="4"/>
  <c r="DU8" i="4"/>
  <c r="DL11" i="4"/>
  <c r="BC11" i="4"/>
  <c r="DK11" i="4"/>
  <c r="AU8" i="4"/>
  <c r="DP8" i="4"/>
  <c r="BD11" i="4"/>
  <c r="AT8" i="4"/>
  <c r="CI8" i="4"/>
  <c r="BE8" i="4"/>
  <c r="CG11" i="4"/>
  <c r="CM8" i="4"/>
  <c r="CQ8" i="4"/>
  <c r="BF8" i="4"/>
  <c r="BE11" i="4"/>
  <c r="AT11" i="4"/>
  <c r="CN8" i="4"/>
  <c r="CV11" i="4"/>
  <c r="CC11" i="4"/>
  <c r="DS11" i="4"/>
  <c r="DO11" i="4"/>
  <c r="AX11" i="4"/>
  <c r="CA8" i="4"/>
  <c r="DT11" i="4"/>
  <c r="EF8" i="4"/>
  <c r="BA11" i="4"/>
  <c r="CE8" i="4"/>
  <c r="BX11" i="4"/>
  <c r="BK11" i="4"/>
  <c r="DQ11" i="4"/>
  <c r="CP11" i="4"/>
  <c r="AS8" i="4"/>
  <c r="AM11" i="4"/>
  <c r="BY8" i="4"/>
  <c r="BR11" i="4"/>
  <c r="CN11" i="4"/>
  <c r="CR8" i="4"/>
  <c r="CV8" i="4"/>
  <c r="DH8" i="4"/>
  <c r="DV8" i="4"/>
  <c r="BQ11" i="4"/>
  <c r="DU11" i="4"/>
  <c r="AY8" i="4"/>
  <c r="CD11" i="4"/>
  <c r="CL8" i="4"/>
  <c r="DD11" i="4"/>
  <c r="DY11" i="4"/>
  <c r="DV11" i="4"/>
  <c r="DJ8" i="4"/>
  <c r="CC8" i="4"/>
  <c r="CF11" i="4"/>
  <c r="DQ8" i="4"/>
  <c r="BM11" i="4"/>
  <c r="BJ8" i="4"/>
  <c r="BG11" i="4"/>
  <c r="CR11" i="4"/>
  <c r="BY11" i="4"/>
  <c r="AY11" i="4"/>
  <c r="BW8" i="4"/>
  <c r="DK8" i="4"/>
  <c r="DF8" i="4"/>
  <c r="CH8" i="4"/>
  <c r="CP8" i="4"/>
  <c r="DG11" i="4"/>
  <c r="DC11" i="4"/>
  <c r="BF11" i="4"/>
  <c r="EE11" i="4"/>
  <c r="AV11" i="4"/>
  <c r="CM11" i="4"/>
  <c r="EG11" i="4"/>
  <c r="EA11" i="4"/>
  <c r="DS8" i="4"/>
  <c r="DO8" i="4"/>
  <c r="CE11" i="4"/>
  <c r="BJ11" i="4"/>
  <c r="BH11" i="4"/>
  <c r="BI8" i="4"/>
  <c r="BD8" i="4"/>
  <c r="DE8" i="4"/>
  <c r="CA11" i="4"/>
  <c r="EB8" i="4"/>
  <c r="AU11" i="4"/>
  <c r="CK8" i="4"/>
  <c r="BR8" i="4"/>
  <c r="BW11" i="4"/>
  <c r="CB8" i="4"/>
  <c r="DE11" i="4"/>
  <c r="DD8" i="4"/>
  <c r="K56" i="11" l="1"/>
  <c r="K55" i="11"/>
  <c r="K54" i="11"/>
  <c r="EG9" i="4"/>
  <c r="DK9" i="4"/>
  <c r="EF2" i="4"/>
  <c r="DK2" i="4"/>
  <c r="EF9" i="4"/>
  <c r="DH2" i="4"/>
  <c r="EC2" i="4"/>
  <c r="DF9" i="4"/>
  <c r="EA9" i="4"/>
  <c r="EA2" i="4"/>
  <c r="DF2" i="4"/>
  <c r="DY2" i="4"/>
  <c r="DD2" i="4"/>
  <c r="DY9" i="4"/>
  <c r="DD9" i="4"/>
  <c r="BN2" i="4"/>
  <c r="BE2" i="4"/>
  <c r="BI2" i="4"/>
  <c r="BB2" i="4"/>
  <c r="AZ2" i="4"/>
  <c r="AX2" i="4"/>
  <c r="BM2" i="4"/>
  <c r="BF2" i="4"/>
  <c r="BK2" i="4"/>
  <c r="AV2" i="4"/>
  <c r="BG2" i="4"/>
  <c r="BD2" i="4"/>
  <c r="BJ2" i="4"/>
  <c r="BC2" i="4"/>
  <c r="BA2" i="4"/>
  <c r="AU2" i="4"/>
  <c r="AY2" i="4"/>
  <c r="BL2" i="4"/>
  <c r="AW2" i="4"/>
  <c r="BH2" i="4"/>
  <c r="DW2" i="4"/>
  <c r="DB9" i="4"/>
  <c r="DW9" i="4"/>
  <c r="DM2" i="4"/>
  <c r="DB2" i="4"/>
  <c r="DM9" i="4"/>
  <c r="DA9" i="4"/>
  <c r="FL11" i="4"/>
  <c r="DU2" i="4"/>
  <c r="DA2" i="4"/>
  <c r="DU9" i="4"/>
  <c r="FQ11" i="4"/>
  <c r="CZ2" i="4"/>
  <c r="DT2" i="4"/>
  <c r="CZ9" i="4"/>
  <c r="FU11" i="4"/>
  <c r="DT9" i="4"/>
  <c r="DR2" i="4"/>
  <c r="FS11" i="4"/>
  <c r="DR9" i="4"/>
  <c r="CX2" i="4"/>
  <c r="CV2" i="4"/>
  <c r="DP9" i="4"/>
  <c r="DP2" i="4"/>
  <c r="CV9" i="4"/>
  <c r="DN9" i="4"/>
  <c r="CT9" i="4"/>
  <c r="CT2" i="4"/>
  <c r="DN2" i="4"/>
  <c r="CP9" i="4"/>
  <c r="CP2" i="4"/>
  <c r="CA9" i="4"/>
  <c r="CN9" i="4"/>
  <c r="CA2" i="4"/>
  <c r="CN2" i="4"/>
  <c r="CL9" i="4"/>
  <c r="CL2" i="4"/>
  <c r="BY9" i="4"/>
  <c r="BY2" i="4"/>
  <c r="BX2" i="4"/>
  <c r="CJ9" i="4"/>
  <c r="FH11" i="4"/>
  <c r="BX9" i="4"/>
  <c r="FD11" i="4"/>
  <c r="CJ2" i="4"/>
  <c r="BW2" i="4"/>
  <c r="CI9" i="4"/>
  <c r="CI2" i="4"/>
  <c r="BW9" i="4"/>
  <c r="BS11" i="4"/>
  <c r="BS9" i="4" s="1"/>
  <c r="BU2" i="4"/>
  <c r="CG9" i="4"/>
  <c r="BU9" i="4"/>
  <c r="CG2" i="4"/>
  <c r="BS2" i="4"/>
  <c r="CE2" i="4"/>
  <c r="CE9" i="4"/>
  <c r="BM9" i="4"/>
  <c r="BJ9" i="4"/>
  <c r="BL9" i="4"/>
  <c r="BN9" i="4"/>
  <c r="BG9" i="4"/>
  <c r="A227" i="11" s="1"/>
  <c r="BF9" i="4"/>
  <c r="AY9" i="4"/>
  <c r="AW9" i="4"/>
  <c r="O146" i="11" s="1"/>
  <c r="AU9" i="4"/>
  <c r="O145" i="11" s="1"/>
  <c r="AS2" i="4"/>
  <c r="AS9" i="4"/>
  <c r="O144" i="11" s="1"/>
  <c r="AM9" i="4"/>
  <c r="AM2" i="4"/>
  <c r="A104" i="11"/>
  <c r="A94" i="11"/>
  <c r="A116" i="11"/>
  <c r="A202" i="11"/>
  <c r="A128" i="11"/>
  <c r="S18" i="11"/>
  <c r="AT9" i="4"/>
  <c r="A143" i="11" s="1"/>
  <c r="AT2" i="4"/>
  <c r="AV9" i="4"/>
  <c r="A144" i="11" s="1"/>
  <c r="BE9" i="4"/>
  <c r="A228" i="11" s="1"/>
  <c r="AX9" i="4"/>
  <c r="A203" i="11" s="1"/>
  <c r="EY11" i="4"/>
  <c r="AZ9" i="4"/>
  <c r="A196" i="11" s="1"/>
  <c r="FA11" i="4"/>
  <c r="BB9" i="4"/>
  <c r="BH9" i="4"/>
  <c r="BC9" i="4"/>
  <c r="A172" i="11" s="1"/>
  <c r="BA9" i="4"/>
  <c r="A204" i="11" s="1"/>
  <c r="BD9" i="4"/>
  <c r="I170" i="11" s="1"/>
  <c r="BK9" i="4"/>
  <c r="BI9" i="4"/>
  <c r="FB11" i="4"/>
  <c r="BQ9" i="4"/>
  <c r="BQ2" i="4"/>
  <c r="CD2" i="4"/>
  <c r="BR2" i="4"/>
  <c r="BR9" i="4"/>
  <c r="CD9" i="4"/>
  <c r="BT9" i="4"/>
  <c r="BT2" i="4"/>
  <c r="CF2" i="4"/>
  <c r="CF9" i="4"/>
  <c r="CH2" i="4"/>
  <c r="BV9" i="4"/>
  <c r="BV2" i="4"/>
  <c r="CH9" i="4"/>
  <c r="CC2" i="4"/>
  <c r="CC9" i="4"/>
  <c r="CK9" i="4"/>
  <c r="CK2" i="4"/>
  <c r="CM2" i="4"/>
  <c r="BZ9" i="4"/>
  <c r="BZ2" i="4"/>
  <c r="CM9" i="4"/>
  <c r="CO9" i="4"/>
  <c r="CB9" i="4"/>
  <c r="CO2" i="4"/>
  <c r="CB2" i="4"/>
  <c r="CQ2" i="4"/>
  <c r="CQ9" i="4"/>
  <c r="CR2" i="4"/>
  <c r="CR9" i="4"/>
  <c r="CS2" i="4"/>
  <c r="CU2" i="4"/>
  <c r="DO9" i="4"/>
  <c r="DO2" i="4"/>
  <c r="CU9" i="4"/>
  <c r="FR11" i="4"/>
  <c r="DQ9" i="4"/>
  <c r="CW2" i="4"/>
  <c r="DQ2" i="4"/>
  <c r="CY2" i="4"/>
  <c r="DS2" i="4"/>
  <c r="FT11" i="4"/>
  <c r="DS9" i="4"/>
  <c r="EC9" i="4"/>
  <c r="DH9" i="4"/>
  <c r="DL2" i="4"/>
  <c r="DV2" i="4"/>
  <c r="ED9" i="4"/>
  <c r="DL9" i="4"/>
  <c r="DV9" i="4"/>
  <c r="DI9" i="4"/>
  <c r="DX2" i="4"/>
  <c r="DC9" i="4"/>
  <c r="DX9" i="4"/>
  <c r="DC2" i="4"/>
  <c r="DZ2" i="4"/>
  <c r="DZ9" i="4"/>
  <c r="DE9" i="4"/>
  <c r="DE2" i="4"/>
  <c r="EB2" i="4"/>
  <c r="DG9" i="4"/>
  <c r="DG2" i="4"/>
  <c r="EB9" i="4"/>
  <c r="ED2" i="4"/>
  <c r="DI2" i="4"/>
  <c r="DJ9" i="4"/>
  <c r="EE9" i="4"/>
  <c r="EE2" i="4"/>
  <c r="DJ2" i="4"/>
  <c r="EG2" i="4"/>
  <c r="J56" i="11"/>
  <c r="G203" i="11"/>
  <c r="I56" i="11"/>
  <c r="H55" i="11"/>
  <c r="D238" i="11"/>
  <c r="D143" i="11"/>
  <c r="H54" i="11"/>
  <c r="H203" i="11"/>
  <c r="J54" i="11"/>
  <c r="D55" i="11"/>
  <c r="D240" i="11"/>
  <c r="E133" i="11"/>
  <c r="G54" i="11"/>
  <c r="I55" i="11"/>
  <c r="D144" i="11"/>
  <c r="F54" i="11"/>
  <c r="D239" i="11"/>
  <c r="J145" i="11"/>
  <c r="E202" i="11"/>
  <c r="C237" i="11"/>
  <c r="J146" i="11"/>
  <c r="Q18" i="11"/>
  <c r="E55" i="11"/>
  <c r="D230" i="11"/>
  <c r="K146" i="11"/>
  <c r="G173" i="11"/>
  <c r="Q21" i="11"/>
  <c r="M172" i="11"/>
  <c r="F202" i="11"/>
  <c r="E107" i="11"/>
  <c r="E99" i="11"/>
  <c r="D202" i="11"/>
  <c r="N172" i="11"/>
  <c r="G56" i="11"/>
  <c r="D234" i="11"/>
  <c r="E120" i="11"/>
  <c r="H56" i="11"/>
  <c r="O172" i="11"/>
  <c r="E173" i="11"/>
  <c r="E122" i="11"/>
  <c r="D235" i="11"/>
  <c r="F56" i="11"/>
  <c r="N146" i="11"/>
  <c r="D231" i="11"/>
  <c r="H202" i="11"/>
  <c r="N145" i="11"/>
  <c r="J55" i="11"/>
  <c r="D196" i="11"/>
  <c r="D229" i="11"/>
  <c r="E131" i="11"/>
  <c r="E54" i="11"/>
  <c r="D233" i="11"/>
  <c r="M145" i="11"/>
  <c r="M146" i="11"/>
  <c r="D232" i="11"/>
  <c r="D236" i="11"/>
  <c r="E110" i="11"/>
  <c r="L145" i="11"/>
  <c r="D203" i="11"/>
  <c r="D54" i="11"/>
  <c r="G55" i="11"/>
  <c r="G202" i="11"/>
  <c r="K145" i="11"/>
  <c r="M21" i="11"/>
  <c r="F55" i="11"/>
  <c r="D173" i="11"/>
  <c r="L172" i="11"/>
  <c r="E56" i="11"/>
  <c r="D237" i="11"/>
  <c r="F173" i="11"/>
  <c r="I54" i="11"/>
  <c r="F203" i="11"/>
  <c r="E109" i="11"/>
  <c r="E121" i="11"/>
  <c r="D56" i="11"/>
  <c r="E119" i="11"/>
  <c r="E132" i="11"/>
  <c r="E134" i="11"/>
  <c r="E108" i="11"/>
  <c r="C55" i="11"/>
  <c r="C56" i="11"/>
  <c r="E203" i="11"/>
  <c r="C54" i="11"/>
  <c r="L146" i="11"/>
  <c r="E97" i="11"/>
  <c r="O18" i="11"/>
  <c r="C235" i="11"/>
  <c r="F204" i="11"/>
  <c r="O233" i="11" l="1"/>
  <c r="O232" i="11"/>
  <c r="C148" i="11"/>
  <c r="F121" i="11"/>
  <c r="F122" i="11"/>
  <c r="F120" i="11"/>
  <c r="F119" i="11"/>
  <c r="F132" i="11"/>
  <c r="F133" i="11"/>
  <c r="F134" i="11"/>
  <c r="F131" i="11"/>
  <c r="N173" i="11"/>
  <c r="M173" i="11"/>
  <c r="L173" i="11"/>
  <c r="O173" i="11"/>
  <c r="M148" i="11"/>
  <c r="D148" i="11"/>
  <c r="M22" i="11"/>
  <c r="Q22" i="11"/>
  <c r="D174" i="11"/>
  <c r="F174" i="11"/>
  <c r="G174" i="11"/>
  <c r="E174" i="11"/>
  <c r="F107" i="11"/>
  <c r="F108" i="11"/>
  <c r="F110" i="11"/>
  <c r="F109" i="11"/>
  <c r="FR9" i="4"/>
  <c r="A406" i="11" s="1"/>
  <c r="FR2" i="4"/>
  <c r="FT9" i="4"/>
  <c r="A408" i="11" s="1"/>
  <c r="FT2" i="4"/>
  <c r="EY9" i="4"/>
  <c r="EY2" i="4"/>
  <c r="EZ11" i="4"/>
  <c r="FK11" i="4"/>
  <c r="FI11" i="4"/>
  <c r="FH9" i="4"/>
  <c r="FJ11" i="4"/>
  <c r="FH2" i="4"/>
  <c r="FB9" i="4"/>
  <c r="A271" i="11" s="1"/>
  <c r="FB2" i="4"/>
  <c r="FA9" i="4"/>
  <c r="L195" i="11" s="1"/>
  <c r="FA2" i="4"/>
  <c r="FD9" i="4"/>
  <c r="FG11" i="4"/>
  <c r="FE11" i="4"/>
  <c r="FF11" i="4"/>
  <c r="FD2" i="4"/>
  <c r="FS9" i="4"/>
  <c r="A407" i="11" s="1"/>
  <c r="FS2" i="4"/>
  <c r="FU9" i="4"/>
  <c r="A409" i="11" s="1"/>
  <c r="FU2" i="4"/>
  <c r="FQ9" i="4"/>
  <c r="FQ2" i="4"/>
  <c r="FL9" i="4"/>
  <c r="FN11" i="4"/>
  <c r="FP11" i="4"/>
  <c r="FL2" i="4"/>
  <c r="C234" i="11"/>
  <c r="D204" i="11"/>
  <c r="C239" i="11"/>
  <c r="E98" i="11"/>
  <c r="C233" i="11"/>
  <c r="R18" i="11"/>
  <c r="M18" i="11"/>
  <c r="K18" i="11"/>
  <c r="C229" i="11"/>
  <c r="J233" i="11"/>
  <c r="G409" i="11"/>
  <c r="L233" i="11"/>
  <c r="M233" i="11"/>
  <c r="K232" i="11"/>
  <c r="J232" i="11"/>
  <c r="E409" i="11"/>
  <c r="D407" i="11"/>
  <c r="I408" i="11"/>
  <c r="L232" i="11"/>
  <c r="M232" i="11"/>
  <c r="C236" i="11"/>
  <c r="R21" i="11"/>
  <c r="P18" i="11"/>
  <c r="J144" i="11"/>
  <c r="N21" i="11"/>
  <c r="C231" i="11"/>
  <c r="O21" i="11"/>
  <c r="N144" i="11"/>
  <c r="L18" i="11"/>
  <c r="J18" i="11"/>
  <c r="C232" i="11"/>
  <c r="L144" i="11"/>
  <c r="J21" i="11"/>
  <c r="C230" i="11"/>
  <c r="N18" i="11"/>
  <c r="M144" i="11"/>
  <c r="L21" i="11"/>
  <c r="G406" i="11"/>
  <c r="H409" i="11"/>
  <c r="K233" i="11"/>
  <c r="F409" i="11"/>
  <c r="D409" i="11"/>
  <c r="N233" i="11"/>
  <c r="I409" i="11"/>
  <c r="D271" i="11"/>
  <c r="G204" i="11"/>
  <c r="E204" i="11"/>
  <c r="H204" i="11"/>
  <c r="C240" i="11"/>
  <c r="C238" i="11"/>
  <c r="K21" i="11"/>
  <c r="K144" i="11"/>
  <c r="P21" i="11"/>
  <c r="K196" i="11"/>
  <c r="P22" i="11" l="1"/>
  <c r="K22" i="11"/>
  <c r="K197" i="11"/>
  <c r="L22" i="11"/>
  <c r="J22" i="11"/>
  <c r="O22" i="11"/>
  <c r="N22" i="11"/>
  <c r="R22" i="11"/>
  <c r="F99" i="11"/>
  <c r="F97" i="11"/>
  <c r="F96" i="11"/>
  <c r="F98" i="11"/>
  <c r="L236" i="11"/>
  <c r="M236" i="11"/>
  <c r="K236" i="11"/>
  <c r="J236" i="11"/>
  <c r="M237" i="11"/>
  <c r="K237" i="11"/>
  <c r="L237" i="11"/>
  <c r="J237" i="11"/>
  <c r="N237" i="11"/>
  <c r="E148" i="11"/>
  <c r="E271" i="11"/>
  <c r="FN9" i="4"/>
  <c r="A374" i="11" s="1"/>
  <c r="FN2" i="4"/>
  <c r="FI2" i="4"/>
  <c r="FI9" i="4"/>
  <c r="A340" i="11" s="1"/>
  <c r="FF9" i="4"/>
  <c r="A308" i="11" s="1"/>
  <c r="FF2" i="4"/>
  <c r="FK9" i="4"/>
  <c r="A342" i="11" s="1"/>
  <c r="FK2" i="4"/>
  <c r="FE9" i="4"/>
  <c r="A307" i="11" s="1"/>
  <c r="FE2" i="4"/>
  <c r="FJ9" i="4"/>
  <c r="A341" i="11" s="1"/>
  <c r="FJ2" i="4"/>
  <c r="EZ9" i="4"/>
  <c r="Q203" i="11" s="1"/>
  <c r="EZ2" i="4"/>
  <c r="FP9" i="4"/>
  <c r="A376" i="11" s="1"/>
  <c r="FP2" i="4"/>
  <c r="FG9" i="4"/>
  <c r="A309" i="11" s="1"/>
  <c r="FG2" i="4"/>
  <c r="H407" i="11"/>
  <c r="I407" i="11"/>
  <c r="G407" i="11"/>
  <c r="G374" i="11"/>
  <c r="E374" i="11"/>
  <c r="H408" i="11"/>
  <c r="I406" i="11"/>
  <c r="E406" i="11"/>
  <c r="N232" i="11"/>
  <c r="H341" i="11"/>
  <c r="F408" i="11"/>
  <c r="E407" i="11"/>
  <c r="G342" i="11"/>
  <c r="G408" i="11"/>
  <c r="F406" i="11"/>
  <c r="D374" i="11"/>
  <c r="D408" i="11"/>
  <c r="G308" i="11"/>
  <c r="H406" i="11"/>
  <c r="D406" i="11"/>
  <c r="I374" i="11"/>
  <c r="E408" i="11"/>
  <c r="F407" i="11"/>
  <c r="E340" i="11"/>
  <c r="D340" i="11"/>
  <c r="I376" i="11"/>
  <c r="F309" i="11"/>
  <c r="F308" i="11"/>
  <c r="G307" i="11"/>
  <c r="M203" i="11"/>
  <c r="N236" i="11" l="1"/>
  <c r="I405" i="11"/>
  <c r="H342" i="11"/>
  <c r="I340" i="11"/>
  <c r="D342" i="11"/>
  <c r="D309" i="11"/>
  <c r="F341" i="11"/>
  <c r="D308" i="11"/>
  <c r="N203" i="11"/>
  <c r="H374" i="11"/>
  <c r="E341" i="11"/>
  <c r="G341" i="11"/>
  <c r="G309" i="11"/>
  <c r="H309" i="11"/>
  <c r="D341" i="11"/>
  <c r="G340" i="11"/>
  <c r="D307" i="11"/>
  <c r="I309" i="11"/>
  <c r="E308" i="11"/>
  <c r="I342" i="11"/>
  <c r="I308" i="11"/>
  <c r="E309" i="11"/>
  <c r="F376" i="11"/>
  <c r="D376" i="11"/>
  <c r="I307" i="11"/>
  <c r="F374" i="11"/>
  <c r="G376" i="11"/>
  <c r="I341" i="11"/>
  <c r="O203" i="11"/>
  <c r="L203" i="11"/>
  <c r="E307" i="11"/>
  <c r="H376" i="11"/>
  <c r="E342" i="11"/>
  <c r="E376" i="11"/>
  <c r="P203" i="11"/>
  <c r="H340" i="11"/>
  <c r="H307" i="11"/>
  <c r="H308" i="11"/>
  <c r="F342" i="11"/>
  <c r="F307" i="11"/>
  <c r="F340" i="11"/>
  <c r="I339" i="11" l="1"/>
  <c r="I306" i="11"/>
  <c r="CW11" i="4"/>
  <c r="CY11" i="4"/>
  <c r="CS9" i="4" l="1"/>
  <c r="CW9" i="4"/>
  <c r="CY9" i="4"/>
  <c r="FO11" i="4"/>
  <c r="FM11" i="4"/>
  <c r="FM9" i="4" s="1"/>
  <c r="A373" i="11" s="1"/>
  <c r="I373" i="11"/>
  <c r="FM2" i="4" l="1"/>
  <c r="FO2" i="4"/>
  <c r="D280" i="11" s="1"/>
  <c r="FO9" i="4"/>
  <c r="A375" i="11" s="1"/>
  <c r="D373" i="11"/>
  <c r="H373" i="11"/>
  <c r="G373" i="11"/>
  <c r="E373" i="11"/>
  <c r="F373" i="11"/>
  <c r="D284" i="11"/>
  <c r="H375" i="11"/>
  <c r="E280" i="11" l="1"/>
  <c r="C280" i="11"/>
  <c r="F273" i="11"/>
  <c r="D273" i="11"/>
  <c r="E273" i="11"/>
  <c r="C273" i="11"/>
  <c r="G273" i="11"/>
  <c r="D283" i="11"/>
  <c r="E275" i="11"/>
  <c r="D375" i="11"/>
  <c r="F275" i="11"/>
  <c r="G375" i="11"/>
  <c r="C275" i="11"/>
  <c r="D282" i="11"/>
  <c r="E375" i="11"/>
  <c r="I375" i="11"/>
  <c r="E282" i="11"/>
  <c r="F375" i="11"/>
  <c r="C283" i="11"/>
  <c r="D275" i="11"/>
  <c r="G275" i="11"/>
  <c r="I372" i="11" l="1"/>
  <c r="F276" i="11"/>
  <c r="D276" i="11"/>
  <c r="G276" i="11"/>
  <c r="C276" i="11"/>
  <c r="E276" i="11"/>
  <c r="C282" i="11"/>
  <c r="E283" i="11"/>
  <c r="E284" i="11"/>
  <c r="C284" i="11"/>
  <c r="C290" i="11" l="1"/>
  <c r="C288" i="11"/>
  <c r="D288" i="11"/>
  <c r="C289" i="11"/>
  <c r="D289" i="11"/>
  <c r="D290" i="11"/>
  <c r="E288" i="11"/>
  <c r="E289" i="11"/>
  <c r="E290" i="11"/>
</calcChain>
</file>

<file path=xl/comments1.xml><?xml version="1.0" encoding="utf-8"?>
<comments xmlns="http://schemas.openxmlformats.org/spreadsheetml/2006/main">
  <authors>
    <author>Mili</author>
  </authors>
  <commentList>
    <comment ref="BA8" authorId="0" shapeId="0">
      <text>
        <r>
          <rPr>
            <b/>
            <sz val="9"/>
            <color indexed="81"/>
            <rFont val="Tahoma"/>
            <family val="2"/>
          </rPr>
          <t>Mili:</t>
        </r>
        <r>
          <rPr>
            <sz val="9"/>
            <color indexed="81"/>
            <rFont val="Tahoma"/>
            <family val="2"/>
          </rPr>
          <t xml:space="preserve">
En esta celda cambia en relación a la planilla 15-16</t>
        </r>
      </text>
    </comment>
    <comment ref="BQ8" authorId="0" shapeId="0">
      <text>
        <r>
          <rPr>
            <b/>
            <sz val="9"/>
            <color indexed="81"/>
            <rFont val="Tahoma"/>
            <family val="2"/>
          </rPr>
          <t>Mili:</t>
        </r>
        <r>
          <rPr>
            <sz val="9"/>
            <color indexed="81"/>
            <rFont val="Tahoma"/>
            <family val="2"/>
          </rPr>
          <t xml:space="preserve">
Igual ubicación que la celda de prod. De carne de planilla 15-16</t>
        </r>
      </text>
    </comment>
  </commentList>
</comments>
</file>

<file path=xl/sharedStrings.xml><?xml version="1.0" encoding="utf-8"?>
<sst xmlns="http://schemas.openxmlformats.org/spreadsheetml/2006/main" count="4602" uniqueCount="662">
  <si>
    <t>Planilla Ganadera CREA</t>
  </si>
  <si>
    <t>Casillas a completar</t>
  </si>
  <si>
    <t>Casillas que se autocompletan</t>
  </si>
  <si>
    <t>Período</t>
  </si>
  <si>
    <t>Empresa/CUIC</t>
  </si>
  <si>
    <t>Establecimiento</t>
  </si>
  <si>
    <t>CREA</t>
  </si>
  <si>
    <t>Región</t>
  </si>
  <si>
    <t>Modelo Productivo</t>
  </si>
  <si>
    <t>Otro</t>
  </si>
  <si>
    <t>Georreferencia del establecimiento</t>
  </si>
  <si>
    <t>2014-15</t>
  </si>
  <si>
    <t>Invernada de Compra</t>
  </si>
  <si>
    <t>Superficies</t>
  </si>
  <si>
    <t>Superfice total de la unidad productiva</t>
  </si>
  <si>
    <t>Sup. total de la unidad de producción</t>
  </si>
  <si>
    <t>ha</t>
  </si>
  <si>
    <t>Superfice de ha que comparten recursos durante el año</t>
  </si>
  <si>
    <t>Según Norma CREA</t>
  </si>
  <si>
    <t xml:space="preserve">Sup. sembrada con verdeos de invierno  </t>
  </si>
  <si>
    <t>ha asignadas a verdeos de acuerdo al tiempo que está el mismo</t>
  </si>
  <si>
    <t>Superfice en ganadería propia y alquilada</t>
  </si>
  <si>
    <t xml:space="preserve">Sup. sembrada con verdeos verano y diferidos </t>
  </si>
  <si>
    <t>ha asignadas según el tiempo que está en uso para los verdeos y diferidos</t>
  </si>
  <si>
    <t xml:space="preserve">Superficie campo natural limpio  </t>
  </si>
  <si>
    <t>Superficie de monte</t>
  </si>
  <si>
    <t xml:space="preserve">Superficie rastrojos y otros  </t>
  </si>
  <si>
    <t>ha destinadas a ganadería según el tipo que se usaron los rastrojos</t>
  </si>
  <si>
    <t>Sup. praderas en producción</t>
  </si>
  <si>
    <t>Sup. praderas en implantación</t>
  </si>
  <si>
    <t>Superficies totales, según Normas CREA</t>
  </si>
  <si>
    <t>Superficie en ganadería</t>
  </si>
  <si>
    <t>Indicadores físicos productivos (Contempla todos los animales del establecimiento)</t>
  </si>
  <si>
    <t>Inventario inicial</t>
  </si>
  <si>
    <t>cab</t>
  </si>
  <si>
    <t>Resultados</t>
  </si>
  <si>
    <t xml:space="preserve">Inventario final </t>
  </si>
  <si>
    <t xml:space="preserve">Mortandad </t>
  </si>
  <si>
    <t>%</t>
  </si>
  <si>
    <t>Eficiencia de stock</t>
  </si>
  <si>
    <t xml:space="preserve">Producción de Carne </t>
  </si>
  <si>
    <t>kg totales</t>
  </si>
  <si>
    <t>Kg producidos por persona</t>
  </si>
  <si>
    <t>Carga media</t>
  </si>
  <si>
    <t>Personal operativo asignado a ganadería</t>
  </si>
  <si>
    <t>Indicadores de cría</t>
  </si>
  <si>
    <t>Servicio</t>
  </si>
  <si>
    <t>Tacto-Parto</t>
  </si>
  <si>
    <t>Destete</t>
  </si>
  <si>
    <t>Vacas</t>
  </si>
  <si>
    <t>Vaquillonas</t>
  </si>
  <si>
    <t>Edad al primer servicio</t>
  </si>
  <si>
    <t>meses</t>
  </si>
  <si>
    <t>¿% del rodeo en IA en vaquillonas?</t>
  </si>
  <si>
    <t>Fecha inicio del servicio ppal</t>
  </si>
  <si>
    <t>Duración del servicio ppal</t>
  </si>
  <si>
    <t>Fecha inicio del servicio alternativo</t>
  </si>
  <si>
    <t>Duración del servicio alternativo</t>
  </si>
  <si>
    <t>Peso medio del destete</t>
  </si>
  <si>
    <t>kg/cab</t>
  </si>
  <si>
    <t>Indicadores  de recría e invernada</t>
  </si>
  <si>
    <t>Recría a pasto</t>
  </si>
  <si>
    <t>días</t>
  </si>
  <si>
    <t>Producción Total</t>
  </si>
  <si>
    <t>kg totales producidos</t>
  </si>
  <si>
    <t>Principal recurso forrajero</t>
  </si>
  <si>
    <t>Suplementación energética</t>
  </si>
  <si>
    <t>% dieta en MS</t>
  </si>
  <si>
    <t xml:space="preserve">ADPV </t>
  </si>
  <si>
    <t>kg/cab.día</t>
  </si>
  <si>
    <t>Indicadores de corrales</t>
  </si>
  <si>
    <t>Si no está discriminado, completar directamente en Corrales de Terminación</t>
  </si>
  <si>
    <t>Capacidad de corrales</t>
  </si>
  <si>
    <t>Personal operativo</t>
  </si>
  <si>
    <t>Corrales de recría</t>
  </si>
  <si>
    <t>Corrales de terminación</t>
  </si>
  <si>
    <t>Kg MS totales ofrecidos</t>
  </si>
  <si>
    <t>kg MS/año</t>
  </si>
  <si>
    <t xml:space="preserve">Granos </t>
  </si>
  <si>
    <t xml:space="preserve">Concentrado Comercial </t>
  </si>
  <si>
    <t xml:space="preserve">Silos </t>
  </si>
  <si>
    <t xml:space="preserve">Rollos </t>
  </si>
  <si>
    <t>Pellets</t>
  </si>
  <si>
    <t xml:space="preserve">Otros </t>
  </si>
  <si>
    <t>% de la producción de la recría a corral</t>
  </si>
  <si>
    <t>% de la producción terminada a corral</t>
  </si>
  <si>
    <t>% de cabezas con recría a corral</t>
  </si>
  <si>
    <t>% de cabezas terminadas a corral</t>
  </si>
  <si>
    <t>Horas de ayuno</t>
  </si>
  <si>
    <t xml:space="preserve"> % desbaste</t>
  </si>
  <si>
    <t>&lt; de 4 hs.</t>
  </si>
  <si>
    <t>4 a 8 hs.</t>
  </si>
  <si>
    <t>8 a 16 hs.</t>
  </si>
  <si>
    <t>16 a 24 hs.</t>
  </si>
  <si>
    <t>&gt; de 24 hs.</t>
  </si>
  <si>
    <t>Validaciones</t>
  </si>
  <si>
    <t>Suplementación Cría</t>
  </si>
  <si>
    <t>desbaste</t>
  </si>
  <si>
    <t>rango para formula</t>
  </si>
  <si>
    <t>% desb.</t>
  </si>
  <si>
    <t>Fecha inicio del servicio</t>
  </si>
  <si>
    <t>2010-11</t>
  </si>
  <si>
    <t>Sin suplementación</t>
  </si>
  <si>
    <t>X</t>
  </si>
  <si>
    <t>Campo Natural</t>
  </si>
  <si>
    <t>Ene</t>
  </si>
  <si>
    <t>1 mes</t>
  </si>
  <si>
    <t>2011-12</t>
  </si>
  <si>
    <t>Supl. Energética</t>
  </si>
  <si>
    <t>Monte</t>
  </si>
  <si>
    <t>Feb</t>
  </si>
  <si>
    <t>2 meses</t>
  </si>
  <si>
    <t>2012-13</t>
  </si>
  <si>
    <t>Supl. Mineral</t>
  </si>
  <si>
    <t>Praderas perennes</t>
  </si>
  <si>
    <t>Mar</t>
  </si>
  <si>
    <t>3 meses</t>
  </si>
  <si>
    <t>2013-14</t>
  </si>
  <si>
    <t>Supl. Proteíca</t>
  </si>
  <si>
    <t>Verdeos de invierno</t>
  </si>
  <si>
    <t>Abr</t>
  </si>
  <si>
    <t>4 meses</t>
  </si>
  <si>
    <t>Verdeos de verano</t>
  </si>
  <si>
    <t>May</t>
  </si>
  <si>
    <t>2015-16</t>
  </si>
  <si>
    <t>Diferido</t>
  </si>
  <si>
    <t>Jun</t>
  </si>
  <si>
    <t>Jul</t>
  </si>
  <si>
    <t>Ago</t>
  </si>
  <si>
    <t>Región CREA</t>
  </si>
  <si>
    <t>Sep</t>
  </si>
  <si>
    <t>CEN</t>
  </si>
  <si>
    <t>Oct</t>
  </si>
  <si>
    <t>Nov</t>
  </si>
  <si>
    <t>COR</t>
  </si>
  <si>
    <t>Córdoba Norte</t>
  </si>
  <si>
    <t>Dic</t>
  </si>
  <si>
    <t>EST</t>
  </si>
  <si>
    <t>Este</t>
  </si>
  <si>
    <t>LIN</t>
  </si>
  <si>
    <t>Litoral Norte</t>
  </si>
  <si>
    <t>LIS</t>
  </si>
  <si>
    <t>Litoral Sur</t>
  </si>
  <si>
    <t>MYS</t>
  </si>
  <si>
    <t>Mar y Sierras</t>
  </si>
  <si>
    <t>NBA</t>
  </si>
  <si>
    <t>Norte de Buenos Aires</t>
  </si>
  <si>
    <t>NOA</t>
  </si>
  <si>
    <t>NSF</t>
  </si>
  <si>
    <t>Norte  Santa Fe</t>
  </si>
  <si>
    <t>OAR</t>
  </si>
  <si>
    <t>Oeste Arenoso</t>
  </si>
  <si>
    <t>OES</t>
  </si>
  <si>
    <t>Oeste</t>
  </si>
  <si>
    <t>SAR</t>
  </si>
  <si>
    <t>Semiárida</t>
  </si>
  <si>
    <t>SFC</t>
  </si>
  <si>
    <t>Santa Fe Centro</t>
  </si>
  <si>
    <t>SSF</t>
  </si>
  <si>
    <t>Sur de Santa Fe</t>
  </si>
  <si>
    <t>SUE</t>
  </si>
  <si>
    <t>Sudeste</t>
  </si>
  <si>
    <t>SUO</t>
  </si>
  <si>
    <t>Sudoeste</t>
  </si>
  <si>
    <t>VAC</t>
  </si>
  <si>
    <t>Valles cordilleranos</t>
  </si>
  <si>
    <t>Modelo productivo</t>
  </si>
  <si>
    <t>Cría</t>
  </si>
  <si>
    <t>Recría</t>
  </si>
  <si>
    <t>Invernada</t>
  </si>
  <si>
    <t>Cabaña</t>
  </si>
  <si>
    <t>Feedlot</t>
  </si>
  <si>
    <t>Cría + Recría</t>
  </si>
  <si>
    <t>Modelo de producción por tipo de rodeo</t>
  </si>
  <si>
    <t>Pastoril</t>
  </si>
  <si>
    <t>Pastoril + Suplementación</t>
  </si>
  <si>
    <t>Pastoril + Feedlot</t>
  </si>
  <si>
    <t>No</t>
  </si>
  <si>
    <t>si/no</t>
  </si>
  <si>
    <t>Sí</t>
  </si>
  <si>
    <t>Actividades que realiza:</t>
  </si>
  <si>
    <t>Cría + recría</t>
  </si>
  <si>
    <t>Cría + recría + invernada</t>
  </si>
  <si>
    <t>Recría + Invernada</t>
  </si>
  <si>
    <t>Otras</t>
  </si>
  <si>
    <t>Suplementación en cría</t>
  </si>
  <si>
    <t>Carga media Kg/Ha</t>
  </si>
  <si>
    <t>Prod. de Carne kg/ha. Año</t>
  </si>
  <si>
    <t>Utiliza suplementeción:</t>
  </si>
  <si>
    <t>Grano</t>
  </si>
  <si>
    <t xml:space="preserve">Silo </t>
  </si>
  <si>
    <t>Heno</t>
  </si>
  <si>
    <t>Marcar con un cruz si corresponde</t>
  </si>
  <si>
    <t>Supl. Proteica</t>
  </si>
  <si>
    <t>Duración media</t>
  </si>
  <si>
    <t>CC</t>
  </si>
  <si>
    <t>CC + Inv. De Compra</t>
  </si>
  <si>
    <t>C</t>
  </si>
  <si>
    <t>CN</t>
  </si>
  <si>
    <t>Praderas</t>
  </si>
  <si>
    <t>VI</t>
  </si>
  <si>
    <t>Rastrojos</t>
  </si>
  <si>
    <t>VV y dif.</t>
  </si>
  <si>
    <t>P. Impl.</t>
  </si>
  <si>
    <t>A</t>
  </si>
  <si>
    <t>B</t>
  </si>
  <si>
    <t>D</t>
  </si>
  <si>
    <t>E</t>
  </si>
  <si>
    <t>F</t>
  </si>
  <si>
    <t>G</t>
  </si>
  <si>
    <t>H</t>
  </si>
  <si>
    <t>I</t>
  </si>
  <si>
    <t>J</t>
  </si>
  <si>
    <t>K</t>
  </si>
  <si>
    <t>L</t>
  </si>
  <si>
    <t>M</t>
  </si>
  <si>
    <t>N</t>
  </si>
  <si>
    <t>O</t>
  </si>
  <si>
    <t>P</t>
  </si>
  <si>
    <t>Q</t>
  </si>
  <si>
    <t>R</t>
  </si>
  <si>
    <t>S</t>
  </si>
  <si>
    <t>T</t>
  </si>
  <si>
    <t>U</t>
  </si>
  <si>
    <t>V</t>
  </si>
  <si>
    <t>W</t>
  </si>
  <si>
    <t>Y</t>
  </si>
  <si>
    <t>Z</t>
  </si>
  <si>
    <t xml:space="preserve">CONTAR </t>
  </si>
  <si>
    <t>Por dudas, consultas o sugerencias sobre la planilla contactarse con el asesor o representante de la mesa ganadera en la zona  o a los mails:</t>
  </si>
  <si>
    <t>msobredo@crea.org.ar</t>
  </si>
  <si>
    <t>Milagros Sobredo</t>
  </si>
  <si>
    <t>Matías Bodini</t>
  </si>
  <si>
    <t>mbodini@crea.org.ar</t>
  </si>
  <si>
    <t>Casillas grises, que deben ser completadas. Al ubicarse sobre la celda a completar, saldrá un cartel con la explicación del dato solicitado</t>
  </si>
  <si>
    <t>Casillas en amarillo que se autocompleta.</t>
  </si>
  <si>
    <t>INSTRUCTIVO</t>
  </si>
  <si>
    <t>ET</t>
  </si>
  <si>
    <t>EC</t>
  </si>
  <si>
    <t>ED</t>
  </si>
  <si>
    <t>EP</t>
  </si>
  <si>
    <t>DE</t>
  </si>
  <si>
    <t>ER</t>
  </si>
  <si>
    <t>EF</t>
  </si>
  <si>
    <t>DJ</t>
  </si>
  <si>
    <t>FM</t>
  </si>
  <si>
    <t>CO</t>
  </si>
  <si>
    <t>DC</t>
  </si>
  <si>
    <t>FR</t>
  </si>
  <si>
    <t>DB</t>
  </si>
  <si>
    <t>CONTAR CASOS</t>
  </si>
  <si>
    <t>Proporción de establecimientos por modelo productivo</t>
  </si>
  <si>
    <t>% de establecimientos</t>
  </si>
  <si>
    <t>Cantidad de establecimientos:</t>
  </si>
  <si>
    <t>Cantidad de casos</t>
  </si>
  <si>
    <t xml:space="preserve">Superficies promedios de los establecimientos </t>
  </si>
  <si>
    <t>Promedio de las hectáreas por establecimiento, aptitud y uso.</t>
  </si>
  <si>
    <t>MODELOS PRODUCTIVOS, SUPERFICIES DE LOS ESTABLECIMIENTOS Y APTITUDES DE SUELO</t>
  </si>
  <si>
    <t>RECURSOS FORRAJEROS</t>
  </si>
  <si>
    <t/>
  </si>
  <si>
    <t>Rango para el gráfico</t>
  </si>
  <si>
    <t>CONTAR</t>
  </si>
  <si>
    <t>Promedio</t>
  </si>
  <si>
    <t>Apertura</t>
  </si>
  <si>
    <t>Máx</t>
  </si>
  <si>
    <t>Mín</t>
  </si>
  <si>
    <t>Cierre</t>
  </si>
  <si>
    <t>1° Cuartil</t>
  </si>
  <si>
    <t>Cantidad de cabezas en servicio</t>
  </si>
  <si>
    <t>(cab.)</t>
  </si>
  <si>
    <t>3°Cuartil</t>
  </si>
  <si>
    <t>Cabezas entoradas</t>
  </si>
  <si>
    <t>CUENTAS</t>
  </si>
  <si>
    <t>Pérdida Preñez-destete</t>
  </si>
  <si>
    <t>Pérdida Preñez-destete S/E</t>
  </si>
  <si>
    <t>Pérdidas preñez - destete</t>
  </si>
  <si>
    <t>&gt;24</t>
  </si>
  <si>
    <t>25%-50%</t>
  </si>
  <si>
    <t>&gt;25%</t>
  </si>
  <si>
    <t>50%-75%</t>
  </si>
  <si>
    <t>% del rodeo en IA en vaquillonas</t>
  </si>
  <si>
    <t>% del rodeo con IA</t>
  </si>
  <si>
    <t>Año</t>
  </si>
  <si>
    <t>Pérdida preñez-destete</t>
  </si>
  <si>
    <t>Terneros Destetados</t>
  </si>
  <si>
    <t>Cant. Total</t>
  </si>
  <si>
    <t>Peso medio</t>
  </si>
  <si>
    <t>Terneros destetados</t>
  </si>
  <si>
    <t>Casos</t>
  </si>
  <si>
    <t>% de los casos</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</si>
  <si>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</si>
  <si>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</si>
  <si>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</si>
  <si>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</si>
  <si>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</si>
  <si>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</si>
  <si>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</si>
  <si>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</si>
  <si>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</si>
  <si>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</si>
  <si>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</si>
  <si>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</si>
  <si>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</si>
  <si>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</si>
  <si>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</si>
  <si>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</si>
  <si>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</si>
  <si>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</si>
  <si>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</si>
  <si>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</si>
  <si>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</si>
  <si>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</si>
  <si>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</si>
  <si>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</si>
  <si>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</si>
  <si>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</si>
  <si>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</si>
  <si>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BB</t>
  </si>
  <si>
    <t>BC</t>
  </si>
  <si>
    <t>BD</t>
  </si>
  <si>
    <t>BE</t>
  </si>
  <si>
    <t>BF</t>
  </si>
  <si>
    <t>BG</t>
  </si>
  <si>
    <t>BH</t>
  </si>
  <si>
    <t>BI</t>
  </si>
  <si>
    <t>BJ</t>
  </si>
  <si>
    <t>BK</t>
  </si>
  <si>
    <t>BL</t>
  </si>
  <si>
    <t>BM</t>
  </si>
  <si>
    <t>BN</t>
  </si>
  <si>
    <t>BO</t>
  </si>
  <si>
    <t>BP</t>
  </si>
  <si>
    <t>BQ</t>
  </si>
  <si>
    <t>BR</t>
  </si>
  <si>
    <t>BS</t>
  </si>
  <si>
    <t>BT</t>
  </si>
  <si>
    <t>BU</t>
  </si>
  <si>
    <t>BV</t>
  </si>
  <si>
    <t>BW</t>
  </si>
  <si>
    <t>BX</t>
  </si>
  <si>
    <t>BY</t>
  </si>
  <si>
    <t>BZ</t>
  </si>
  <si>
    <t>CA</t>
  </si>
  <si>
    <t>CB</t>
  </si>
  <si>
    <t>CD</t>
  </si>
  <si>
    <t>CE</t>
  </si>
  <si>
    <t>CF</t>
  </si>
  <si>
    <t>CG</t>
  </si>
  <si>
    <t>CH</t>
  </si>
  <si>
    <t>CI</t>
  </si>
  <si>
    <t>CJ</t>
  </si>
  <si>
    <t>CK</t>
  </si>
  <si>
    <t>CL</t>
  </si>
  <si>
    <t>CM</t>
  </si>
  <si>
    <t>CP</t>
  </si>
  <si>
    <t>CQ</t>
  </si>
  <si>
    <t>CR</t>
  </si>
  <si>
    <t>CS</t>
  </si>
  <si>
    <t>CT</t>
  </si>
  <si>
    <t>CU</t>
  </si>
  <si>
    <t>CV</t>
  </si>
  <si>
    <t>CW</t>
  </si>
  <si>
    <t>CX</t>
  </si>
  <si>
    <t>CY</t>
  </si>
  <si>
    <t>CZ</t>
  </si>
  <si>
    <t>DA</t>
  </si>
  <si>
    <t>DD</t>
  </si>
  <si>
    <t>DF</t>
  </si>
  <si>
    <t>DG</t>
  </si>
  <si>
    <t>DH</t>
  </si>
  <si>
    <t>DI</t>
  </si>
  <si>
    <t>DK</t>
  </si>
  <si>
    <t>DL</t>
  </si>
  <si>
    <t>DM</t>
  </si>
  <si>
    <t>DN</t>
  </si>
  <si>
    <t>DO</t>
  </si>
  <si>
    <t>DP</t>
  </si>
  <si>
    <t>DQ</t>
  </si>
  <si>
    <t>DR</t>
  </si>
  <si>
    <t>DS</t>
  </si>
  <si>
    <t>DT</t>
  </si>
  <si>
    <t>DU</t>
  </si>
  <si>
    <t>DV</t>
  </si>
  <si>
    <t>DW</t>
  </si>
  <si>
    <t>DX</t>
  </si>
  <si>
    <t>DY</t>
  </si>
  <si>
    <t>DZ</t>
  </si>
  <si>
    <t>EA</t>
  </si>
  <si>
    <t>EB</t>
  </si>
  <si>
    <t>EE</t>
  </si>
  <si>
    <t>EG</t>
  </si>
  <si>
    <t>EH</t>
  </si>
  <si>
    <t>EI</t>
  </si>
  <si>
    <t>EJ</t>
  </si>
  <si>
    <t>EK</t>
  </si>
  <si>
    <t>EL</t>
  </si>
  <si>
    <t>EM</t>
  </si>
  <si>
    <t>EN</t>
  </si>
  <si>
    <t>EO</t>
  </si>
  <si>
    <t>EQ</t>
  </si>
  <si>
    <t>ES</t>
  </si>
  <si>
    <t>EU</t>
  </si>
  <si>
    <t>EV</t>
  </si>
  <si>
    <t>EW</t>
  </si>
  <si>
    <t>EX</t>
  </si>
  <si>
    <t>EY</t>
  </si>
  <si>
    <t>EZ</t>
  </si>
  <si>
    <t>FA</t>
  </si>
  <si>
    <t>FB</t>
  </si>
  <si>
    <t>FC</t>
  </si>
  <si>
    <t>FD</t>
  </si>
  <si>
    <t>FE</t>
  </si>
  <si>
    <t>FF</t>
  </si>
  <si>
    <t>FG</t>
  </si>
  <si>
    <t>FH</t>
  </si>
  <si>
    <t>FI</t>
  </si>
  <si>
    <t>FJ</t>
  </si>
  <si>
    <t>FK</t>
  </si>
  <si>
    <t>FL</t>
  </si>
  <si>
    <t>FN</t>
  </si>
  <si>
    <t>FO</t>
  </si>
  <si>
    <t>FP</t>
  </si>
  <si>
    <t>FQ</t>
  </si>
  <si>
    <t>FS</t>
  </si>
  <si>
    <t>FT</t>
  </si>
  <si>
    <t>FU</t>
  </si>
  <si>
    <t>FV</t>
  </si>
  <si>
    <t>FW</t>
  </si>
  <si>
    <t>FX</t>
  </si>
  <si>
    <t>FY</t>
  </si>
  <si>
    <t>FZ</t>
  </si>
  <si>
    <t>CRIA</t>
  </si>
  <si>
    <t>MS</t>
  </si>
  <si>
    <t>x</t>
  </si>
  <si>
    <t>Porcentaje de uso</t>
  </si>
  <si>
    <t>% MS de la dieta</t>
  </si>
  <si>
    <t>CASOS</t>
  </si>
  <si>
    <t>PORCENTUAL</t>
  </si>
  <si>
    <t>para grafico</t>
  </si>
  <si>
    <t>Sumatoria de ha en cada recurso forrajero, para los diferentes modelos productivos de los establecimientos</t>
  </si>
  <si>
    <r>
      <t xml:space="preserve">Indicadores físicos productivos </t>
    </r>
    <r>
      <rPr>
        <b/>
        <sz val="12"/>
        <color theme="0"/>
        <rFont val="Calibri"/>
        <family val="2"/>
        <scheme val="minor"/>
      </rPr>
      <t>- contempla todos los animales del establecimiento -</t>
    </r>
  </si>
  <si>
    <t>Se muestran las tablas con datos desde donde se toman los datos para graficar parámetros.</t>
  </si>
  <si>
    <t>En títulos con fondo negro se dividen las secciones de análisis.</t>
  </si>
  <si>
    <t>SELECCIONAR EL MODELO PRODUCTIO A GRAFICAR</t>
  </si>
  <si>
    <t>←←←</t>
  </si>
  <si>
    <t>↓↓↓</t>
  </si>
  <si>
    <t>RANGOS A MODIFICAR</t>
  </si>
  <si>
    <t>inferior</t>
  </si>
  <si>
    <t>Límite</t>
  </si>
  <si>
    <t>superior</t>
  </si>
  <si>
    <t>Diferencia</t>
  </si>
  <si>
    <t>% de casos</t>
  </si>
  <si>
    <t>Duración de los servicios y fechas de inicio</t>
  </si>
  <si>
    <t xml:space="preserve">Cantida de cabezas </t>
  </si>
  <si>
    <t>por establecimiento</t>
  </si>
  <si>
    <t>Caracterización de los establecimiento por tamaño de los roedos</t>
  </si>
  <si>
    <t>Caracterización de los establecimiento por rangos de productividad</t>
  </si>
  <si>
    <t>Caracterización de los establecimiento por eficiencia de stock</t>
  </si>
  <si>
    <t>Caracterización de los establecimiento por producción por persona</t>
  </si>
  <si>
    <t>Cantidad establecimientos con cría</t>
  </si>
  <si>
    <t>Porcentaje</t>
  </si>
  <si>
    <t>N°de Columna título</t>
  </si>
  <si>
    <t>N°de Columna dato</t>
  </si>
  <si>
    <t>N° Fila dato</t>
  </si>
  <si>
    <t>N° Fila título</t>
  </si>
  <si>
    <t>TEMA (concatenado con el titula de columna)</t>
  </si>
  <si>
    <t>Sin dato</t>
  </si>
  <si>
    <t>1) se irán compilando las respuestas de todas las hojas, dando como resultado una planilla sábana con todos los datos de los establecimientos en una misma hoja.</t>
  </si>
  <si>
    <t>Sólo en los espacios amarillos señalado por flechas rojas podrán modificarse opciones</t>
  </si>
  <si>
    <t>&gt;75%</t>
  </si>
  <si>
    <t>MES</t>
  </si>
  <si>
    <t>PRINCIPAL</t>
  </si>
  <si>
    <t>ALTERNATIVO</t>
  </si>
  <si>
    <t>Duración de los servicios</t>
  </si>
  <si>
    <t>cant. casos</t>
  </si>
  <si>
    <t>Fecha de inicio de los servicios</t>
  </si>
  <si>
    <t>Gráficos de ánálisis rápido de los datos</t>
  </si>
  <si>
    <t>ALGUNAS NORMAS PARA TENER EN CUENTA:</t>
  </si>
  <si>
    <r>
      <t xml:space="preserve">PRODUCCIÓN DE CARNE (kg) </t>
    </r>
    <r>
      <rPr>
        <b/>
        <sz val="11"/>
        <color theme="1"/>
        <rFont val="Calibri"/>
        <family val="2"/>
        <scheme val="minor"/>
      </rPr>
      <t xml:space="preserve">: </t>
    </r>
    <r>
      <rPr>
        <sz val="11"/>
        <color theme="1"/>
        <rFont val="Calibri"/>
        <family val="2"/>
        <scheme val="minor"/>
      </rPr>
      <t>balance total de la carne que se encuentra al final respecto a la de inicio del ejercicio. Es decir: cantidad de cabezas por sus pesos (inventario final e inicial) más los kilos salidos menos los kilos entrados.</t>
    </r>
  </si>
  <si>
    <t>Producción de carne (kg) = Diferencia de inventario en Kg + Kg Salidos – Kg entrados.</t>
  </si>
  <si>
    <r>
      <t>Salidas:</t>
    </r>
    <r>
      <rPr>
        <sz val="11"/>
        <color theme="1"/>
        <rFont val="Calibri"/>
        <family val="2"/>
        <scheme val="minor"/>
      </rPr>
      <t xml:space="preserve"> por ventas, traslados a otros destinos y consumo del establecimiento.</t>
    </r>
  </si>
  <si>
    <r>
      <t>Entradas</t>
    </r>
    <r>
      <rPr>
        <sz val="11"/>
        <color theme="1"/>
        <rFont val="Calibri"/>
        <family val="2"/>
        <scheme val="minor"/>
      </rPr>
      <t>: por compras, y traslados  de otras procedencias.</t>
    </r>
    <r>
      <rPr>
        <b/>
        <u/>
        <sz val="11"/>
        <color theme="1"/>
        <rFont val="Calibri"/>
        <family val="2"/>
        <scheme val="minor"/>
      </rPr>
      <t xml:space="preserve"> </t>
    </r>
  </si>
  <si>
    <r>
      <t>Diferencia entre inventario:</t>
    </r>
    <r>
      <rPr>
        <b/>
        <u/>
        <sz val="11"/>
        <color theme="1"/>
        <rFont val="Calibri"/>
        <family val="2"/>
        <scheme val="minor"/>
      </rPr>
      <t xml:space="preserve"> </t>
    </r>
    <r>
      <rPr>
        <sz val="11"/>
        <color theme="1"/>
        <rFont val="Calibri"/>
        <family val="2"/>
        <scheme val="minor"/>
      </rPr>
      <t>inicial y final.</t>
    </r>
  </si>
  <si>
    <t>La mortandad se encuentra incluida en los inventarios, por lo tanto no se deben incorporare en la ecuación.</t>
  </si>
  <si>
    <t>Fechas del ejercicio: del  1ero de julio al 30 de junio.</t>
  </si>
  <si>
    <t>PESADAS:</t>
  </si>
  <si>
    <t>En la entrada de animales,  esperar de 3-7 días de su ingreso al campo para pesar, a fin de eliminar las diferentes variaciones de llenado y desbastes previos.  En la salida debe tomarse el peso del animal en destino desbastado.</t>
  </si>
  <si>
    <t>En todas las pesadas los animales pueden pesarse de potrero a balanza s a la mañana temprano o bien con encierre durante la tarde anterior. Es recomendable la primera alternativa para simplificar manejos y trabajos posteriores. Mantener siempre la misma metodología.</t>
  </si>
  <si>
    <t>Es conveniente controlar la balanza a medida que se va pesando (a causa del barro y el bosteo de animales); por ejemplo cada 10 animales si se trata de una balanza de a uno.</t>
  </si>
  <si>
    <t>Las pesadas correspondientes a los inventarios es conveniente hacerlas sobre el total de animales. En caso de contar con lotes muy numerosos o de tener balanzas chicas, puede optarse por pesar una muestra de la población total de deberá ser del 20% del total en rodeos con menos de 100 cabezas y del 10% en rodeos de más de 500 animales.</t>
  </si>
  <si>
    <t>CARGA ANIMAL</t>
  </si>
  <si>
    <t>Carga media de stock medido en kg totales dentro del establecimiento. No es conveniente utilizar el promedio entre inventarios porque puede resultar muy diferente al promedio mensual</t>
  </si>
  <si>
    <t>CORRALES:</t>
  </si>
  <si>
    <r>
      <t xml:space="preserve">PESOS: </t>
    </r>
    <r>
      <rPr>
        <sz val="11"/>
        <color theme="1"/>
        <rFont val="Calibri"/>
        <family val="2"/>
        <scheme val="minor"/>
      </rPr>
      <t>la pesada debe realizarse en forma previa a la comida de la mañana.</t>
    </r>
  </si>
  <si>
    <r>
      <t>·</t>
    </r>
    <r>
      <rPr>
        <sz val="7"/>
        <color theme="1"/>
        <rFont val="Times New Roman"/>
        <family val="1"/>
      </rPr>
      <t xml:space="preserve">         </t>
    </r>
    <r>
      <rPr>
        <b/>
        <u/>
        <sz val="11"/>
        <color theme="1"/>
        <rFont val="Calibri"/>
        <family val="2"/>
        <scheme val="minor"/>
      </rPr>
      <t>Peso Inicial (</t>
    </r>
    <r>
      <rPr>
        <i/>
        <sz val="11"/>
        <color theme="1"/>
        <rFont val="Calibri"/>
        <family val="2"/>
        <scheme val="minor"/>
      </rPr>
      <t>PV</t>
    </r>
    <r>
      <rPr>
        <i/>
        <vertAlign val="subscript"/>
        <sz val="11"/>
        <color theme="1"/>
        <rFont val="Calibri"/>
        <family val="2"/>
        <scheme val="minor"/>
      </rPr>
      <t xml:space="preserve">i0 </t>
    </r>
    <r>
      <rPr>
        <i/>
        <sz val="11"/>
        <color theme="1"/>
        <rFont val="Calibri"/>
        <family val="2"/>
        <scheme val="minor"/>
      </rPr>
      <t xml:space="preserve">): </t>
    </r>
    <r>
      <rPr>
        <sz val="11"/>
        <color theme="1"/>
        <rFont val="Calibri"/>
        <family val="2"/>
        <scheme val="minor"/>
      </rPr>
      <t>peso al inicio del engorde (muy útil para comparar producción de carne a corral y elementos de eficiencia global).</t>
    </r>
  </si>
  <si>
    <r>
      <t>·</t>
    </r>
    <r>
      <rPr>
        <sz val="7"/>
        <color theme="1"/>
        <rFont val="Times New Roman"/>
        <family val="1"/>
      </rPr>
      <t xml:space="preserve">         </t>
    </r>
    <r>
      <rPr>
        <b/>
        <u/>
        <sz val="11"/>
        <color theme="1"/>
        <rFont val="Calibri"/>
        <family val="2"/>
        <scheme val="minor"/>
      </rPr>
      <t>Peso pos acostumbramiento</t>
    </r>
    <r>
      <rPr>
        <sz val="11"/>
        <color theme="1"/>
        <rFont val="Calibri"/>
        <family val="2"/>
        <scheme val="minor"/>
      </rPr>
      <t xml:space="preserve"> (</t>
    </r>
    <r>
      <rPr>
        <i/>
        <sz val="11"/>
        <color theme="1"/>
        <rFont val="Calibri"/>
        <family val="2"/>
        <scheme val="minor"/>
      </rPr>
      <t>PV</t>
    </r>
    <r>
      <rPr>
        <i/>
        <vertAlign val="subscript"/>
        <sz val="11"/>
        <color theme="1"/>
        <rFont val="Calibri"/>
        <family val="2"/>
        <scheme val="minor"/>
      </rPr>
      <t>i15</t>
    </r>
    <r>
      <rPr>
        <sz val="11"/>
        <color theme="1"/>
        <rFont val="Calibri"/>
        <family val="2"/>
        <scheme val="minor"/>
      </rPr>
      <t>) peso vivo luego de un periodo de acostumbramiento. Se sugiere considerar el peso 15 días después de haber ingresado al sistema de confinamiento. Cuando se quiere evaluar una dieta debería tomarse este peso como inicial. Si el ganado viene de otro establecimiento, debe hacerse un desbaste como en el cuadro 2.</t>
    </r>
  </si>
  <si>
    <r>
      <t>·</t>
    </r>
    <r>
      <rPr>
        <sz val="7"/>
        <color theme="1"/>
        <rFont val="Times New Roman"/>
        <family val="1"/>
      </rPr>
      <t xml:space="preserve">         </t>
    </r>
    <r>
      <rPr>
        <b/>
        <u/>
        <sz val="11"/>
        <color theme="1"/>
        <rFont val="Calibri"/>
        <family val="2"/>
        <scheme val="minor"/>
      </rPr>
      <t>Peso Final:</t>
    </r>
    <r>
      <rPr>
        <sz val="11"/>
        <color theme="1"/>
        <rFont val="Calibri"/>
        <family val="2"/>
        <scheme val="minor"/>
      </rPr>
      <t xml:space="preserve"> peso de los animales cuando egresan de corral. Dicho peso debe ser corregido por desbaste tomando como referencia el  tiempo transcurrido entre la última oferta de alimento más dos horas y el momento de la pesada en el campo o en el frigorífico.</t>
    </r>
  </si>
  <si>
    <r>
      <t>Ejemplo</t>
    </r>
    <r>
      <rPr>
        <sz val="11"/>
        <color theme="1"/>
        <rFont val="Calibri"/>
        <family val="2"/>
        <scheme val="minor"/>
      </rPr>
      <t>: Suministro alimento a las 17. Pesada a las 9 horas del día siguiente.</t>
    </r>
  </si>
  <si>
    <t>Cálculo:</t>
  </si>
  <si>
    <t>Comienza ayuno=17 horas + 2 horas= 19 horas.</t>
  </si>
  <si>
    <r>
      <t>·</t>
    </r>
    <r>
      <rPr>
        <sz val="7"/>
        <color theme="1"/>
        <rFont val="Times New Roman"/>
        <family val="1"/>
      </rPr>
      <t xml:space="preserve">         </t>
    </r>
    <r>
      <rPr>
        <sz val="11"/>
        <color theme="1"/>
        <rFont val="Calibri"/>
        <family val="2"/>
        <scheme val="minor"/>
      </rPr>
      <t>Tiempo de ayuno= (24 – 19) + 9= 14 horas. (3% de desbaste).</t>
    </r>
  </si>
  <si>
    <t>Para hacer seguimiento de ganancia de peso, pesar como mucho cada 30 días. Si no se pesa todo el lote, pesar el 15% del lote, con animales representativos.</t>
  </si>
  <si>
    <r>
      <t xml:space="preserve">Duración de engordes: </t>
    </r>
    <r>
      <rPr>
        <sz val="11"/>
        <color theme="1"/>
        <rFont val="Calibri"/>
        <family val="2"/>
        <scheme val="minor"/>
      </rPr>
      <t>Días transcurridos desde el momento de ingreso al corral hasta la salida de los animales, incluyendo el periodo de acostumbramiento.</t>
    </r>
  </si>
  <si>
    <r>
      <t>La hoja para completar (hoja "</t>
    </r>
    <r>
      <rPr>
        <b/>
        <i/>
        <sz val="12"/>
        <color theme="1"/>
        <rFont val="Calibri"/>
        <family val="2"/>
        <scheme val="minor"/>
      </rPr>
      <t>1</t>
    </r>
    <r>
      <rPr>
        <b/>
        <sz val="12"/>
        <color theme="1"/>
        <rFont val="Calibri"/>
        <family val="2"/>
        <scheme val="minor"/>
      </rPr>
      <t>")  contiene:</t>
    </r>
  </si>
  <si>
    <r>
      <t>Por cada establecimiento se deberá completar una planilla (Hoja "</t>
    </r>
    <r>
      <rPr>
        <i/>
        <sz val="12"/>
        <color theme="1"/>
        <rFont val="Calibri"/>
        <family val="2"/>
        <scheme val="minor"/>
      </rPr>
      <t>1</t>
    </r>
    <r>
      <rPr>
        <sz val="12"/>
        <color theme="1"/>
        <rFont val="Calibri"/>
        <family val="2"/>
        <scheme val="minor"/>
      </rPr>
      <t>")</t>
    </r>
  </si>
  <si>
    <r>
      <t>Si desea completar los datos de más de un establecimiento, utilizar otra hoja. Si hace falta más hojas, duplicar la hoja "</t>
    </r>
    <r>
      <rPr>
        <i/>
        <sz val="12"/>
        <color theme="1"/>
        <rFont val="Calibri"/>
        <family val="2"/>
        <scheme val="minor"/>
      </rPr>
      <t>1</t>
    </r>
    <r>
      <rPr>
        <sz val="12"/>
        <color theme="1"/>
        <rFont val="Calibri"/>
        <family val="2"/>
        <scheme val="minor"/>
      </rPr>
      <t>" y colocarle el número "13". Repetir esta operación las veces que sea necesario siempre asigandondole a la hoja números correlativos.</t>
    </r>
  </si>
  <si>
    <r>
      <rPr>
        <b/>
        <sz val="12"/>
        <color theme="1"/>
        <rFont val="Calibri"/>
        <family val="2"/>
        <scheme val="minor"/>
      </rPr>
      <t xml:space="preserve">En la hoja </t>
    </r>
    <r>
      <rPr>
        <b/>
        <i/>
        <sz val="12"/>
        <color theme="1"/>
        <rFont val="Calibri"/>
        <family val="2"/>
        <scheme val="minor"/>
      </rPr>
      <t>"Consolidado":</t>
    </r>
  </si>
  <si>
    <r>
      <t>2) en la columna A de la hoja "</t>
    </r>
    <r>
      <rPr>
        <i/>
        <sz val="12"/>
        <color theme="1"/>
        <rFont val="Calibri"/>
        <family val="2"/>
        <scheme val="minor"/>
      </rPr>
      <t>Consolidado</t>
    </r>
    <r>
      <rPr>
        <sz val="12"/>
        <color theme="1"/>
        <rFont val="Calibri"/>
        <family val="2"/>
        <scheme val="minor"/>
      </rPr>
      <t>", rellenar con números correlativos hasta la cantidad de hojas de establecimientos que haya cargadas. Por ejemplo, si hay 10 planillas (una en cada hoja, con números correlativos hasta el 10), en la columna A de la hoja "</t>
    </r>
    <r>
      <rPr>
        <i/>
        <sz val="12"/>
        <color theme="1"/>
        <rFont val="Calibri"/>
        <family val="2"/>
        <scheme val="minor"/>
      </rPr>
      <t>Consolidado</t>
    </r>
    <r>
      <rPr>
        <sz val="12"/>
        <color theme="1"/>
        <rFont val="Calibri"/>
        <family val="2"/>
        <scheme val="minor"/>
      </rPr>
      <t>" debe rellenarse hasta el número 10 (Fila 20)</t>
    </r>
  </si>
  <si>
    <t>% preñez de vacas '16 (servicio '15)</t>
  </si>
  <si>
    <t>Vacas en servicio '15</t>
  </si>
  <si>
    <t>% preñez vaq de 1° (servicio '15)</t>
  </si>
  <si>
    <t>Vaquillonas de 1° (servicio '15)</t>
  </si>
  <si>
    <t>Rodeo total de cría servicio ´15</t>
  </si>
  <si>
    <t>Si no está discriminado recría de invernada completar directamente en invernadas a pasto</t>
  </si>
  <si>
    <t>Sup. en agricultura</t>
  </si>
  <si>
    <t>u$s/ha</t>
  </si>
  <si>
    <t>Prod. de Carne Cab/Año</t>
  </si>
  <si>
    <t>Valor promedio de la ha de ocupada para ganadería</t>
  </si>
  <si>
    <t>en cab</t>
  </si>
  <si>
    <t>Prod. de Carne kg/cab</t>
  </si>
  <si>
    <t>Peso entrada</t>
  </si>
  <si>
    <t>Peso de salida</t>
  </si>
  <si>
    <t>Categoría</t>
  </si>
  <si>
    <t>Ppal recurso forrajero</t>
  </si>
  <si>
    <t>Categoría Recría e invernada</t>
  </si>
  <si>
    <t>MH</t>
  </si>
  <si>
    <t>221-280</t>
  </si>
  <si>
    <t>&gt;340</t>
  </si>
  <si>
    <t>281-340</t>
  </si>
  <si>
    <t>Terminación</t>
  </si>
  <si>
    <t>&lt;160</t>
  </si>
  <si>
    <t>&lt;320</t>
  </si>
  <si>
    <t>321-380</t>
  </si>
  <si>
    <t>380-440</t>
  </si>
  <si>
    <t>440-500</t>
  </si>
  <si>
    <t>&gt;500</t>
  </si>
  <si>
    <t>PET</t>
  </si>
  <si>
    <t>PST</t>
  </si>
  <si>
    <t>PER</t>
  </si>
  <si>
    <t>PSR</t>
  </si>
  <si>
    <t>Dieta</t>
  </si>
  <si>
    <t>Dieta en % MS</t>
  </si>
  <si>
    <t>&lt;5%</t>
  </si>
  <si>
    <t>5% - 10%</t>
  </si>
  <si>
    <t>10% - 30%</t>
  </si>
  <si>
    <t>&gt; 30%</t>
  </si>
  <si>
    <t>&lt;20%</t>
  </si>
  <si>
    <t>20%-40%</t>
  </si>
  <si>
    <t>40%-60%</t>
  </si>
  <si>
    <t>60%-80%</t>
  </si>
  <si>
    <t>&gt;80%</t>
  </si>
  <si>
    <t>Índice de conversión</t>
  </si>
  <si>
    <t>Notas</t>
  </si>
  <si>
    <t>&lt;220</t>
  </si>
  <si>
    <t>&lt; 120</t>
  </si>
  <si>
    <t>121-160</t>
  </si>
  <si>
    <t>161-200</t>
  </si>
  <si>
    <t>201-240</t>
  </si>
  <si>
    <t>&gt;240</t>
  </si>
  <si>
    <t>240-300</t>
  </si>
  <si>
    <t>300-360</t>
  </si>
  <si>
    <t>360-400</t>
  </si>
  <si>
    <t>&gt;400</t>
  </si>
  <si>
    <t>Descripción general de la recría a corral</t>
  </si>
  <si>
    <r>
      <rPr>
        <b/>
        <i/>
        <sz val="11"/>
        <color theme="1"/>
        <rFont val="Calibri"/>
        <family val="2"/>
        <scheme val="minor"/>
      </rPr>
      <t xml:space="preserve">Importante: </t>
    </r>
    <r>
      <rPr>
        <i/>
        <sz val="11"/>
        <color theme="1"/>
        <rFont val="Calibri"/>
        <family val="2"/>
        <scheme val="minor"/>
      </rPr>
      <t>La caracterización es genérica y responde a agrupar sistemas similares</t>
    </r>
  </si>
  <si>
    <r>
      <rPr>
        <b/>
        <i/>
        <sz val="11"/>
        <color theme="1"/>
        <rFont val="Calibri"/>
        <family val="2"/>
        <scheme val="minor"/>
      </rPr>
      <t>Importante:</t>
    </r>
    <r>
      <rPr>
        <i/>
        <sz val="11"/>
        <color theme="1"/>
        <rFont val="Calibri"/>
        <family val="2"/>
        <scheme val="minor"/>
      </rPr>
      <t>La caracterización es genérica y responde a agrupar sistemas similares</t>
    </r>
  </si>
  <si>
    <t>¿Engorde vacas?</t>
  </si>
  <si>
    <t>Engorde a pasto:</t>
  </si>
  <si>
    <t>Descripción general de la terminación a corral</t>
  </si>
  <si>
    <t>Macho mayoritariamente</t>
  </si>
  <si>
    <t>Hembra mayoritariamente</t>
  </si>
  <si>
    <t>Macho y hembra en prop. similares</t>
  </si>
  <si>
    <t>Descripción general del engorde a campo para la campaña 15-16</t>
  </si>
  <si>
    <t>Descripción general de la recría a campo para la campaña 15-16</t>
  </si>
  <si>
    <t>Si la recría es mixta con encierre a corral, completar la parte de corral en el siguiente bloque</t>
  </si>
  <si>
    <t>% de la sup. en ganadería con aptitud agrícla</t>
  </si>
  <si>
    <t>$A$1:$P$150</t>
  </si>
  <si>
    <t xml:space="preserve">% destete  de rodeo de cría (servicio '14) </t>
  </si>
  <si>
    <t>% preñez rodeo de cría (servicio '14)</t>
  </si>
  <si>
    <t>Número de cabezas en servicio '14</t>
  </si>
  <si>
    <t>Sup. en ganadería con aptitud agrícla</t>
  </si>
  <si>
    <t>Superficie con aptitud ganadera</t>
  </si>
  <si>
    <t>PROMEDIO SUPERFICIE</t>
  </si>
  <si>
    <t>SUMA DE SUPERFICIES</t>
  </si>
  <si>
    <t>Superfice con aptitud agrícola</t>
  </si>
  <si>
    <t>Datos de servicio 2015</t>
  </si>
  <si>
    <t>Preñez servicio '15</t>
  </si>
  <si>
    <t>% preñez rodeo de Cría '16 (servicio '15)</t>
  </si>
  <si>
    <t>Datos de servicio de vaquillonas 2015</t>
  </si>
  <si>
    <t>Edad al primer servicio de vaquilllonas (servicio '15)</t>
  </si>
  <si>
    <t>Datos de servicio de 2014: Preñez y destete</t>
  </si>
  <si>
    <t>Preñez y destete servicio '14</t>
  </si>
  <si>
    <t>invernada</t>
  </si>
  <si>
    <t>más de 4 meses</t>
  </si>
  <si>
    <t>Supl</t>
  </si>
  <si>
    <t>SISTEMAS DE RECRÍA A PASTO</t>
  </si>
  <si>
    <t>RECRÍA</t>
  </si>
  <si>
    <t>Resultados productivos</t>
  </si>
  <si>
    <t>Eficiencia de stock RP</t>
  </si>
  <si>
    <t>Prod. de Carne kg/cab RP</t>
  </si>
  <si>
    <t>ADPV</t>
  </si>
  <si>
    <t>Eficiencia de Stock</t>
  </si>
  <si>
    <t>RP</t>
  </si>
  <si>
    <t>ADPV RP</t>
  </si>
  <si>
    <t>&amp; recría</t>
  </si>
  <si>
    <t>RECRÍA A PASTO</t>
  </si>
  <si>
    <t>SISTEMAS DE INVERNADA A PASTO</t>
  </si>
  <si>
    <t>&amp; invernada</t>
  </si>
  <si>
    <t>IP</t>
  </si>
  <si>
    <t>ADPV IP</t>
  </si>
  <si>
    <t>Prod. de Carne kg/cab IP</t>
  </si>
  <si>
    <t>Eficiencia de stock IP</t>
  </si>
  <si>
    <t>INVERNADA A PASTO</t>
  </si>
  <si>
    <t>SISTEMAS DE RECRÍA A CORRAL</t>
  </si>
  <si>
    <t>RECRÍA A CORRAL</t>
  </si>
  <si>
    <t>Recria corral</t>
  </si>
  <si>
    <t>&amp; recría corral</t>
  </si>
  <si>
    <t>ADPV RC</t>
  </si>
  <si>
    <t>Eficiencia de stock RC</t>
  </si>
  <si>
    <t>Prod. de Carne kg/cab RC</t>
  </si>
  <si>
    <t>RC</t>
  </si>
  <si>
    <t>SISTEMAS DE TERMINACIÓN A CORRAL</t>
  </si>
  <si>
    <t>TERMINACIÓN A CORRAL</t>
  </si>
  <si>
    <t>Índice de conversión RC</t>
  </si>
  <si>
    <t>&amp; invernada corral</t>
  </si>
  <si>
    <t>Invernada corral</t>
  </si>
  <si>
    <t>IC</t>
  </si>
  <si>
    <t>ADPV IC</t>
  </si>
  <si>
    <t>Eficiencia de stock IC</t>
  </si>
  <si>
    <t>Prod. de Carne kg/cab IC</t>
  </si>
  <si>
    <t>Índice de conversión IC</t>
  </si>
  <si>
    <t>3) Copiar la fórmula de la fila 11 desde la columna C hasta la columna FU, en pegarla en las filas sucesivas. De esta manera se habrá consolidado la base.</t>
  </si>
  <si>
    <t>% preñez de vacas '17 (servicio '16)</t>
  </si>
  <si>
    <t>Vacas en servicio '16</t>
  </si>
  <si>
    <t>% preñez vaq de 1° (servicio '16)</t>
  </si>
  <si>
    <t>Vaquillonas de 1° (servicio '16)</t>
  </si>
  <si>
    <t>Rodeo total de cría servicio ´16</t>
  </si>
  <si>
    <t>% preñez rodeo de cría '17 (servicio '16)</t>
  </si>
  <si>
    <t>¿% del rodeo en IA en vacas? (servicio '15)</t>
  </si>
  <si>
    <r>
      <t xml:space="preserve">% destete  de </t>
    </r>
    <r>
      <rPr>
        <b/>
        <sz val="12"/>
        <color theme="1"/>
        <rFont val="Calibri"/>
        <family val="2"/>
        <scheme val="minor"/>
      </rPr>
      <t xml:space="preserve">rodeo de cría </t>
    </r>
    <r>
      <rPr>
        <sz val="12"/>
        <color theme="1"/>
        <rFont val="Calibri"/>
        <family val="2"/>
        <scheme val="minor"/>
      </rPr>
      <t xml:space="preserve">(servicio '15) </t>
    </r>
  </si>
  <si>
    <r>
      <t xml:space="preserve">% preñez </t>
    </r>
    <r>
      <rPr>
        <b/>
        <sz val="12"/>
        <color theme="1"/>
        <rFont val="Calibri"/>
        <family val="2"/>
        <scheme val="minor"/>
      </rPr>
      <t xml:space="preserve">rodeo de cría </t>
    </r>
    <r>
      <rPr>
        <sz val="12"/>
        <color theme="1"/>
        <rFont val="Calibri"/>
        <family val="2"/>
        <scheme val="minor"/>
      </rPr>
      <t>(servicio '15)</t>
    </r>
  </si>
  <si>
    <r>
      <rPr>
        <b/>
        <sz val="12"/>
        <color theme="1"/>
        <rFont val="Calibri"/>
        <family val="2"/>
        <scheme val="minor"/>
      </rPr>
      <t xml:space="preserve">Número de cabezas </t>
    </r>
    <r>
      <rPr>
        <sz val="12"/>
        <color theme="1"/>
        <rFont val="Calibri"/>
        <family val="2"/>
        <scheme val="minor"/>
      </rPr>
      <t>en servicio '15</t>
    </r>
  </si>
  <si>
    <t>¿% del rodeo en IA en vaquillonas? (servicio '15)</t>
  </si>
  <si>
    <r>
      <rPr>
        <b/>
        <sz val="12"/>
        <color theme="1"/>
        <rFont val="Calibri"/>
        <family val="2"/>
        <scheme val="minor"/>
      </rPr>
      <t>Número de cabezas paridas (</t>
    </r>
    <r>
      <rPr>
        <sz val="12"/>
        <color theme="1"/>
        <rFont val="Calibri"/>
        <family val="2"/>
        <scheme val="minor"/>
      </rPr>
      <t>servicio '15)</t>
    </r>
  </si>
  <si>
    <t>Edad media al destete</t>
  </si>
  <si>
    <t>Fecha de inicio</t>
  </si>
  <si>
    <t>Duración</t>
  </si>
  <si>
    <t>Servicio principal</t>
  </si>
  <si>
    <t>Servicio alternativo</t>
  </si>
  <si>
    <t>2016-2017</t>
  </si>
  <si>
    <t>2 a 4 meses</t>
  </si>
  <si>
    <t>4 a 6 meses</t>
  </si>
  <si>
    <t>6  a 10 meses</t>
  </si>
  <si>
    <t>&gt; de 10 meses</t>
  </si>
  <si>
    <t>&lt; de 2 meses</t>
  </si>
  <si>
    <t>Kg/cab</t>
  </si>
  <si>
    <t>ha efecivas para verdeo de invierno de acuerdo al tiempo de ocupación</t>
  </si>
  <si>
    <t>ha efecivas para verdeo de verano de acuerdo al tiempo de ocupación</t>
  </si>
  <si>
    <t>ha efecivas para rastrojos y otros de acuerdo al tiempo de ocupación</t>
  </si>
  <si>
    <t>Planilla Ganadera CREA 16-17</t>
  </si>
  <si>
    <t>ADPV promedio del ciclo</t>
  </si>
  <si>
    <t>Salidas - Entradas + Dif. Inventario</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</si>
</sst>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_ * #,##0.00_ ;_ * \-#,##0.00_ ;_ * &quot;-&quot;??_ ;_ @_ "/>
    <numFmt numFmtId="165" formatCode="0.0"/>
    <numFmt numFmtId="166" formatCode="#,##0.0"/>
    <numFmt numFmtId="167" formatCode="dd\-mm"/>
    <numFmt numFmtId="168" formatCode="_ * #,##0_ ;_ * \-#,##0_ ;_ * &quot;-&quot;??_ ;_ @_ "/>
    <numFmt numFmtId="169" formatCode="0.0%"/>
    <numFmt numFmtId="170" formatCode="_ * #,##0.0_ ;_ * \-#,##0.0_ ;_ * &quot;-&quot;??_ ;_ @_ "/>
    <numFmt numFmtId="171" formatCode="&quot;$&quot;\ #,##0.00"/>
  </numFmts>
  <fonts count="58" x14ac:knownFonts="1">
    <font>
      <sz val="11"/>
      <color theme="1"/>
      <name val="Calibri"/>
      <family val="2"/>
      <scheme val="minor"/>
    </font>
    <font>
      <sz val="11"/>
      <color theme="1"/>
      <name val="Calibri"/>
      <family val="2"/>
      <scheme val="minor"/>
    </font>
    <font>
      <b/>
      <sz val="11"/>
      <color theme="1"/>
      <name val="Calibri"/>
      <family val="2"/>
      <scheme val="minor"/>
    </font>
    <font>
      <sz val="12"/>
      <color theme="1"/>
      <name val="Calibri"/>
      <family val="2"/>
      <scheme val="minor"/>
    </font>
    <font>
      <sz val="12"/>
      <color theme="1"/>
      <name val="Trebuchet MS"/>
      <family val="2"/>
    </font>
    <font>
      <b/>
      <sz val="12"/>
      <color theme="1"/>
      <name val="Calibri"/>
      <family val="2"/>
      <scheme val="minor"/>
    </font>
    <font>
      <sz val="12"/>
      <name val="Calibri"/>
      <family val="2"/>
      <scheme val="minor"/>
    </font>
    <font>
      <sz val="12"/>
      <color rgb="FFFF0000"/>
      <name val="Calibri"/>
      <family val="2"/>
      <scheme val="minor"/>
    </font>
    <font>
      <i/>
      <sz val="11"/>
      <color theme="1"/>
      <name val="Calibri"/>
      <family val="2"/>
      <scheme val="minor"/>
    </font>
    <font>
      <b/>
      <sz val="12"/>
      <color rgb="FFFF0000"/>
      <name val="Calibri"/>
      <family val="2"/>
      <scheme val="minor"/>
    </font>
    <font>
      <i/>
      <sz val="12"/>
      <color theme="1"/>
      <name val="Calibri"/>
      <family val="2"/>
      <scheme val="minor"/>
    </font>
    <font>
      <u/>
      <sz val="11"/>
      <color theme="10"/>
      <name val="Calibri"/>
      <family val="2"/>
      <scheme val="minor"/>
    </font>
    <font>
      <sz val="12"/>
      <color rgb="FF000000"/>
      <name val="Calibri"/>
      <family val="2"/>
    </font>
    <font>
      <sz val="10"/>
      <name val="Arial"/>
      <family val="2"/>
    </font>
    <font>
      <sz val="11"/>
      <color theme="1"/>
      <name val="Maiandra GD"/>
      <family val="2"/>
    </font>
    <font>
      <b/>
      <sz val="11"/>
      <color theme="1"/>
      <name val="Maiandra GD"/>
      <family val="2"/>
    </font>
    <font>
      <sz val="11"/>
      <color theme="0"/>
      <name val="Calibri"/>
      <family val="2"/>
      <scheme val="minor"/>
    </font>
    <font>
      <sz val="11"/>
      <color theme="0" tint="-4.9989318521683403E-2"/>
      <name val="Calibri"/>
      <family val="2"/>
      <scheme val="minor"/>
    </font>
    <font>
      <sz val="11"/>
      <color theme="0" tint="-0.249977111117893"/>
      <name val="Calibri"/>
      <family val="2"/>
      <scheme val="minor"/>
    </font>
    <font>
      <b/>
      <u/>
      <sz val="11"/>
      <color theme="1"/>
      <name val="Calibri"/>
      <family val="2"/>
      <scheme val="minor"/>
    </font>
    <font>
      <b/>
      <sz val="11"/>
      <color theme="0"/>
      <name val="Calibri"/>
      <family val="2"/>
      <scheme val="minor"/>
    </font>
    <font>
      <sz val="11"/>
      <color theme="0" tint="-0.14999847407452621"/>
      <name val="Calibri"/>
      <family val="2"/>
      <scheme val="minor"/>
    </font>
    <font>
      <sz val="10"/>
      <color theme="1"/>
      <name val="Calibri"/>
      <family val="2"/>
      <scheme val="minor"/>
    </font>
    <font>
      <sz val="9"/>
      <color theme="1"/>
      <name val="Calibri"/>
      <family val="2"/>
      <scheme val="minor"/>
    </font>
    <font>
      <b/>
      <sz val="18"/>
      <color theme="1"/>
      <name val="Calibri"/>
      <family val="2"/>
      <scheme val="minor"/>
    </font>
    <font>
      <sz val="8"/>
      <color theme="0" tint="-0.34998626667073579"/>
      <name val="Calibri"/>
      <family val="2"/>
      <scheme val="minor"/>
    </font>
    <font>
      <b/>
      <sz val="11"/>
      <color theme="0"/>
      <name val="Trebuchet MS"/>
      <family val="2"/>
    </font>
    <font>
      <b/>
      <sz val="10"/>
      <color theme="1"/>
      <name val="Calibri"/>
      <family val="2"/>
      <scheme val="minor"/>
    </font>
    <font>
      <sz val="10"/>
      <color theme="0" tint="-0.14999847407452621"/>
      <name val="Calibri"/>
      <family val="2"/>
      <scheme val="minor"/>
    </font>
    <font>
      <b/>
      <sz val="12"/>
      <color theme="0"/>
      <name val="Calibri"/>
      <family val="2"/>
      <scheme val="minor"/>
    </font>
    <font>
      <b/>
      <sz val="16"/>
      <color theme="0"/>
      <name val="Calibri"/>
      <family val="2"/>
      <scheme val="minor"/>
    </font>
    <font>
      <sz val="11"/>
      <name val="Calibri"/>
      <family val="2"/>
      <scheme val="minor"/>
    </font>
    <font>
      <b/>
      <sz val="11"/>
      <name val="Calibri"/>
      <family val="2"/>
      <scheme val="minor"/>
    </font>
    <font>
      <b/>
      <u/>
      <sz val="12"/>
      <color theme="1"/>
      <name val="Calibri"/>
      <family val="2"/>
      <scheme val="minor"/>
    </font>
    <font>
      <b/>
      <sz val="11"/>
      <color rgb="FFFF0000"/>
      <name val="Calibri"/>
      <family val="2"/>
    </font>
    <font>
      <sz val="11"/>
      <color rgb="FFFF0000"/>
      <name val="Calibri"/>
      <family val="2"/>
    </font>
    <font>
      <sz val="11"/>
      <color rgb="FFFF0000"/>
      <name val="Calibri"/>
      <family val="2"/>
      <scheme val="minor"/>
    </font>
    <font>
      <b/>
      <u/>
      <sz val="11"/>
      <color rgb="FFFF0000"/>
      <name val="Calibri"/>
      <family val="2"/>
      <scheme val="minor"/>
    </font>
    <font>
      <sz val="11"/>
      <color theme="9" tint="0.59999389629810485"/>
      <name val="Calibri"/>
      <family val="2"/>
      <scheme val="minor"/>
    </font>
    <font>
      <u/>
      <sz val="18"/>
      <color theme="1"/>
      <name val="Calibri"/>
      <family val="2"/>
      <scheme val="minor"/>
    </font>
    <font>
      <sz val="12"/>
      <color theme="0" tint="-4.9989318521683403E-2"/>
      <name val="Calibri"/>
      <family val="2"/>
      <scheme val="minor"/>
    </font>
    <font>
      <b/>
      <sz val="14"/>
      <color theme="1"/>
      <name val="Calibri"/>
      <family val="2"/>
      <scheme val="minor"/>
    </font>
    <font>
      <b/>
      <u/>
      <sz val="14"/>
      <color theme="1"/>
      <name val="Calibri"/>
      <family val="2"/>
      <scheme val="minor"/>
    </font>
    <font>
      <sz val="14"/>
      <color theme="1"/>
      <name val="Calibri"/>
      <family val="2"/>
      <scheme val="minor"/>
    </font>
    <font>
      <sz val="16"/>
      <color theme="1"/>
      <name val="Calibri"/>
      <family val="2"/>
      <scheme val="minor"/>
    </font>
    <font>
      <b/>
      <i/>
      <sz val="11"/>
      <color theme="1"/>
      <name val="Calibri"/>
      <family val="2"/>
      <scheme val="minor"/>
    </font>
    <font>
      <b/>
      <u/>
      <sz val="18"/>
      <color theme="1"/>
      <name val="Calibri"/>
      <family val="2"/>
      <scheme val="minor"/>
    </font>
    <font>
      <sz val="11"/>
      <color theme="1"/>
      <name val="Symbol"/>
      <family val="1"/>
      <charset val="2"/>
    </font>
    <font>
      <sz val="7"/>
      <color theme="1"/>
      <name val="Times New Roman"/>
      <family val="1"/>
    </font>
    <font>
      <i/>
      <vertAlign val="subscript"/>
      <sz val="11"/>
      <color theme="1"/>
      <name val="Calibri"/>
      <family val="2"/>
      <scheme val="minor"/>
    </font>
    <font>
      <b/>
      <i/>
      <sz val="12"/>
      <color theme="1"/>
      <name val="Calibri"/>
      <family val="2"/>
      <scheme val="minor"/>
    </font>
    <font>
      <u/>
      <sz val="12"/>
      <color theme="10"/>
      <name val="Calibri"/>
      <family val="2"/>
      <scheme val="minor"/>
    </font>
    <font>
      <b/>
      <sz val="12"/>
      <name val="Calibri"/>
      <family val="2"/>
      <scheme val="minor"/>
    </font>
    <font>
      <sz val="12"/>
      <color theme="0"/>
      <name val="Calibri"/>
      <family val="2"/>
      <scheme val="minor"/>
    </font>
    <font>
      <b/>
      <i/>
      <sz val="12"/>
      <color rgb="FF222222"/>
      <name val="Calibri"/>
      <family val="2"/>
      <scheme val="minor"/>
    </font>
    <font>
      <sz val="12"/>
      <color rgb="FF222222"/>
      <name val="Calibri"/>
      <family val="2"/>
      <scheme val="minor"/>
    </font>
    <font>
      <sz val="9"/>
      <color indexed="81"/>
      <name val="Tahoma"/>
      <family val="2"/>
    </font>
    <font>
      <b/>
      <sz val="9"/>
      <color indexed="81"/>
      <name val="Tahoma"/>
      <family val="2"/>
    </font>
  </fonts>
  <fills count="21">
    <fill>
      <patternFill patternType="none"/>
    </fill>
    <fill>
      <patternFill patternType="gray125"/>
    </fill>
    <fill>
      <patternFill patternType="gray125">
        <fgColor theme="0" tint="-0.34998626667073579"/>
        <bgColor theme="0" tint="-4.9989318521683403E-2"/>
      </patternFill>
    </fill>
    <fill>
      <patternFill patternType="solid">
        <fgColor theme="0" tint="-4.9989318521683403E-2"/>
        <bgColor indexed="64"/>
      </patternFill>
    </fill>
    <fill>
      <patternFill patternType="solid">
        <fgColor rgb="FFFFFF99"/>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1"/>
        <bgColor indexed="64"/>
      </patternFill>
    </fill>
    <fill>
      <patternFill patternType="solid">
        <fgColor theme="0" tint="-0.499984740745262"/>
        <bgColor indexed="64"/>
      </patternFill>
    </fill>
    <fill>
      <patternFill patternType="solid">
        <fgColor rgb="FFFFFFFF"/>
        <bgColor indexed="64"/>
      </patternFill>
    </fill>
    <fill>
      <patternFill patternType="solid">
        <fgColor rgb="FFFFFF00"/>
        <bgColor indexed="64"/>
      </patternFill>
    </fill>
    <fill>
      <patternFill patternType="solid">
        <fgColor rgb="FFF79646"/>
        <bgColor indexed="64"/>
      </patternFill>
    </fill>
    <fill>
      <patternFill patternType="solid">
        <fgColor theme="0"/>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6" tint="-0.249977111117893"/>
        <bgColor indexed="64"/>
      </patternFill>
    </fill>
    <fill>
      <patternFill patternType="solid">
        <fgColor theme="6"/>
        <bgColor indexed="64"/>
      </patternFill>
    </fill>
    <fill>
      <patternFill patternType="solid">
        <fgColor theme="9"/>
        <bgColor indexed="64"/>
      </patternFill>
    </fill>
    <fill>
      <patternFill patternType="solid">
        <fgColor rgb="FFC00000"/>
        <bgColor indexed="64"/>
      </patternFill>
    </fill>
    <fill>
      <patternFill patternType="solid">
        <fgColor theme="1" tint="0.499984740745262"/>
        <bgColor indexed="64"/>
      </patternFill>
    </fill>
  </fills>
  <borders count="46">
    <border>
      <left/>
      <right/>
      <top/>
      <bottom/>
      <diagonal/>
    </border>
    <border>
      <left/>
      <right/>
      <top/>
      <bottom style="thin">
        <color theme="0"/>
      </bottom>
      <diagonal/>
    </border>
    <border>
      <left style="thin">
        <color theme="0"/>
      </left>
      <right/>
      <top style="thin">
        <color theme="0"/>
      </top>
      <bottom/>
      <diagonal/>
    </border>
    <border>
      <left/>
      <right/>
      <top style="thin">
        <color theme="0"/>
      </top>
      <bottom style="thin">
        <color theme="0"/>
      </bottom>
      <diagonal/>
    </border>
    <border>
      <left style="thin">
        <color theme="0"/>
      </left>
      <right/>
      <top style="thin">
        <color theme="0"/>
      </top>
      <bottom style="thin">
        <color theme="0"/>
      </bottom>
      <diagonal/>
    </border>
    <border>
      <left style="thin">
        <color theme="0"/>
      </left>
      <right/>
      <top/>
      <bottom/>
      <diagonal/>
    </border>
    <border>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right/>
      <top style="thin">
        <color indexed="64"/>
      </top>
      <bottom/>
      <diagonal/>
    </border>
    <border>
      <left/>
      <right style="thin">
        <color theme="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medium">
        <color rgb="FF000000"/>
      </right>
      <top style="thin">
        <color indexed="64"/>
      </top>
      <bottom style="medium">
        <color rgb="FF000000"/>
      </bottom>
      <diagonal/>
    </border>
    <border>
      <left style="medium">
        <color rgb="FF000000"/>
      </left>
      <right style="thin">
        <color indexed="64"/>
      </right>
      <top style="thin">
        <color indexed="64"/>
      </top>
      <bottom style="medium">
        <color rgb="FF000000"/>
      </bottom>
      <diagonal/>
    </border>
    <border>
      <left style="thin">
        <color indexed="64"/>
      </left>
      <right style="medium">
        <color rgb="FF000000"/>
      </right>
      <top style="medium">
        <color rgb="FF000000"/>
      </top>
      <bottom style="medium">
        <color rgb="FF000000"/>
      </bottom>
      <diagonal/>
    </border>
    <border>
      <left style="medium">
        <color rgb="FF000000"/>
      </left>
      <right style="thin">
        <color indexed="64"/>
      </right>
      <top style="medium">
        <color rgb="FF000000"/>
      </top>
      <bottom style="medium">
        <color rgb="FF000000"/>
      </bottom>
      <diagonal/>
    </border>
    <border>
      <left style="thin">
        <color indexed="64"/>
      </left>
      <right style="medium">
        <color rgb="FF000000"/>
      </right>
      <top style="medium">
        <color rgb="FF000000"/>
      </top>
      <bottom style="thin">
        <color indexed="64"/>
      </bottom>
      <diagonal/>
    </border>
    <border>
      <left style="medium">
        <color rgb="FF000000"/>
      </left>
      <right style="thin">
        <color indexed="64"/>
      </right>
      <top style="medium">
        <color rgb="FF000000"/>
      </top>
      <bottom style="thin">
        <color indexed="64"/>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theme="0"/>
      </top>
      <bottom/>
      <diagonal/>
    </border>
    <border>
      <left/>
      <right/>
      <top/>
      <bottom style="hair">
        <color theme="1" tint="0.499984740745262"/>
      </bottom>
      <diagonal/>
    </border>
    <border>
      <left/>
      <right/>
      <top style="hair">
        <color theme="1" tint="0.499984740745262"/>
      </top>
      <bottom/>
      <diagonal/>
    </border>
    <border>
      <left/>
      <right style="thin">
        <color theme="0"/>
      </right>
      <top/>
      <bottom style="thin">
        <color theme="0"/>
      </bottom>
      <diagonal/>
    </border>
  </borders>
  <cellStyleXfs count="6">
    <xf numFmtId="0" fontId="0" fillId="0" borderId="0"/>
    <xf numFmtId="9" fontId="1" fillId="0" borderId="0" applyFont="0" applyFill="0" applyBorder="0" applyAlignment="0" applyProtection="0"/>
    <xf numFmtId="0" fontId="1" fillId="0" borderId="0"/>
    <xf numFmtId="0" fontId="11" fillId="0" borderId="0" applyNumberFormat="0" applyFill="0" applyBorder="0" applyAlignment="0" applyProtection="0"/>
    <xf numFmtId="0" fontId="13" fillId="0" borderId="0"/>
    <xf numFmtId="164" fontId="1" fillId="0" borderId="0" applyFont="0" applyFill="0" applyBorder="0" applyAlignment="0" applyProtection="0"/>
  </cellStyleXfs>
  <cellXfs count="407">
    <xf numFmtId="0" fontId="0" fillId="0" borderId="0" xfId="0"/>
    <xf numFmtId="0" fontId="3" fillId="0" borderId="0" xfId="0" applyFont="1"/>
    <xf numFmtId="0" fontId="5" fillId="0" borderId="0" xfId="0" applyFont="1"/>
    <xf numFmtId="0" fontId="3" fillId="0" borderId="0" xfId="0" applyFont="1" applyBorder="1" applyAlignment="1">
      <alignment horizontal="right" vertical="center"/>
    </xf>
    <xf numFmtId="0" fontId="2" fillId="0" borderId="0" xfId="0" applyFont="1"/>
    <xf numFmtId="3" fontId="6" fillId="4" borderId="0" xfId="0" applyNumberFormat="1" applyFont="1" applyFill="1"/>
    <xf numFmtId="0" fontId="3" fillId="0" borderId="0" xfId="0" applyFont="1" applyBorder="1" applyAlignment="1">
      <alignment horizontal="left" vertical="center"/>
    </xf>
    <xf numFmtId="0" fontId="3" fillId="0" borderId="0" xfId="0" applyFont="1" applyFill="1" applyBorder="1" applyAlignment="1">
      <alignment horizontal="right" vertical="center"/>
    </xf>
    <xf numFmtId="0" fontId="7" fillId="0" borderId="0" xfId="0" applyFont="1"/>
    <xf numFmtId="0" fontId="0" fillId="0" borderId="0" xfId="0" applyAlignment="1">
      <alignment vertical="center" wrapText="1"/>
    </xf>
    <xf numFmtId="0" fontId="3" fillId="0" borderId="0" xfId="0" applyFont="1" applyBorder="1"/>
    <xf numFmtId="0" fontId="5" fillId="0" borderId="0" xfId="0" applyFont="1" applyBorder="1"/>
    <xf numFmtId="3" fontId="3" fillId="4" borderId="9" xfId="0" applyNumberFormat="1" applyFont="1" applyFill="1" applyBorder="1"/>
    <xf numFmtId="0" fontId="8" fillId="0" borderId="0" xfId="0" applyFont="1"/>
    <xf numFmtId="0" fontId="3" fillId="0" borderId="0" xfId="0" applyFont="1" applyAlignment="1">
      <alignment horizontal="right"/>
    </xf>
    <xf numFmtId="0" fontId="6" fillId="0" borderId="0" xfId="0" applyFont="1"/>
    <xf numFmtId="0" fontId="3" fillId="0" borderId="0" xfId="0" applyFont="1" applyFill="1"/>
    <xf numFmtId="0" fontId="9" fillId="0" borderId="0" xfId="0" applyFont="1"/>
    <xf numFmtId="0" fontId="3" fillId="0" borderId="0" xfId="0" applyFont="1" applyAlignment="1">
      <alignment horizontal="center"/>
    </xf>
    <xf numFmtId="0" fontId="5" fillId="0" borderId="0" xfId="0" applyFont="1" applyFill="1"/>
    <xf numFmtId="0" fontId="3" fillId="0" borderId="13" xfId="0" applyFont="1" applyFill="1" applyBorder="1"/>
    <xf numFmtId="0" fontId="3" fillId="0" borderId="13" xfId="0" applyFont="1" applyBorder="1"/>
    <xf numFmtId="0" fontId="10" fillId="0" borderId="0" xfId="0" applyFont="1"/>
    <xf numFmtId="0" fontId="3" fillId="0" borderId="13" xfId="0" applyFont="1" applyBorder="1" applyAlignment="1">
      <alignment horizontal="right" vertical="center"/>
    </xf>
    <xf numFmtId="0" fontId="5" fillId="0" borderId="14" xfId="0" applyFont="1" applyBorder="1"/>
    <xf numFmtId="0" fontId="3" fillId="0" borderId="14" xfId="0" applyFont="1" applyBorder="1"/>
    <xf numFmtId="0" fontId="3" fillId="0" borderId="14" xfId="0" applyFont="1" applyBorder="1" applyAlignment="1">
      <alignment horizontal="right" vertical="center"/>
    </xf>
    <xf numFmtId="0" fontId="10" fillId="0" borderId="0" xfId="0" applyFont="1" applyBorder="1" applyAlignment="1">
      <alignment horizontal="right" vertical="center"/>
    </xf>
    <xf numFmtId="3" fontId="3" fillId="3" borderId="1" xfId="0" applyNumberFormat="1" applyFont="1" applyFill="1" applyBorder="1" applyAlignment="1" applyProtection="1">
      <alignment horizontal="center"/>
      <protection locked="0"/>
    </xf>
    <xf numFmtId="0" fontId="5" fillId="0" borderId="0" xfId="0" applyFont="1" applyAlignment="1">
      <alignment horizontal="left" vertical="center"/>
    </xf>
    <xf numFmtId="0" fontId="3" fillId="0" borderId="12" xfId="0" applyFont="1" applyBorder="1"/>
    <xf numFmtId="0" fontId="3" fillId="0" borderId="15" xfId="0" applyFont="1" applyBorder="1"/>
    <xf numFmtId="0" fontId="4" fillId="0" borderId="0" xfId="0" applyFont="1" applyAlignment="1">
      <alignment horizontal="right"/>
    </xf>
    <xf numFmtId="0" fontId="3" fillId="0" borderId="12" xfId="0" applyFont="1" applyFill="1" applyBorder="1"/>
    <xf numFmtId="0" fontId="14" fillId="0" borderId="0" xfId="0" applyFont="1"/>
    <xf numFmtId="0" fontId="15" fillId="0" borderId="0" xfId="0" applyFont="1"/>
    <xf numFmtId="0" fontId="12" fillId="9" borderId="23" xfId="0" applyFont="1" applyFill="1" applyBorder="1" applyAlignment="1">
      <alignment horizontal="center" vertical="center" wrapText="1" readingOrder="1"/>
    </xf>
    <xf numFmtId="0" fontId="14" fillId="0" borderId="14" xfId="0" applyFont="1" applyBorder="1"/>
    <xf numFmtId="9" fontId="12" fillId="9" borderId="24" xfId="0" applyNumberFormat="1" applyFont="1" applyFill="1" applyBorder="1" applyAlignment="1">
      <alignment horizontal="center" vertical="center" wrapText="1" readingOrder="1"/>
    </xf>
    <xf numFmtId="0" fontId="12" fillId="9" borderId="25" xfId="0" applyFont="1" applyFill="1" applyBorder="1" applyAlignment="1">
      <alignment horizontal="center" vertical="center" wrapText="1" readingOrder="1"/>
    </xf>
    <xf numFmtId="0" fontId="14" fillId="0" borderId="0" xfId="0" applyFont="1" applyBorder="1"/>
    <xf numFmtId="9" fontId="12" fillId="9" borderId="26" xfId="0" applyNumberFormat="1" applyFont="1" applyFill="1" applyBorder="1" applyAlignment="1">
      <alignment horizontal="center" vertical="center" wrapText="1" readingOrder="1"/>
    </xf>
    <xf numFmtId="0" fontId="12" fillId="9" borderId="27" xfId="0" applyFont="1" applyFill="1" applyBorder="1" applyAlignment="1">
      <alignment horizontal="center" vertical="center" wrapText="1" readingOrder="1"/>
    </xf>
    <xf numFmtId="0" fontId="14" fillId="0" borderId="13" xfId="0" applyFont="1" applyBorder="1"/>
    <xf numFmtId="9" fontId="14" fillId="0" borderId="13" xfId="0" applyNumberFormat="1" applyFont="1" applyBorder="1"/>
    <xf numFmtId="9" fontId="12" fillId="9" borderId="28" xfId="0" applyNumberFormat="1" applyFont="1" applyFill="1" applyBorder="1" applyAlignment="1">
      <alignment horizontal="center" vertical="center" wrapText="1" readingOrder="1"/>
    </xf>
    <xf numFmtId="9" fontId="14" fillId="0" borderId="0" xfId="0" applyNumberFormat="1" applyFont="1"/>
    <xf numFmtId="0" fontId="14" fillId="10" borderId="0" xfId="0" applyFont="1" applyFill="1"/>
    <xf numFmtId="0" fontId="14" fillId="0" borderId="0" xfId="0" applyFont="1" applyAlignment="1">
      <alignment horizontal="left"/>
    </xf>
    <xf numFmtId="0" fontId="14" fillId="0" borderId="0" xfId="0" applyFont="1" applyFill="1" applyBorder="1" applyAlignment="1">
      <alignment horizontal="left"/>
    </xf>
    <xf numFmtId="0" fontId="2" fillId="11" borderId="29" xfId="0" applyFont="1" applyFill="1" applyBorder="1" applyAlignment="1">
      <alignment horizontal="left" vertical="center" wrapText="1" indent="2"/>
    </xf>
    <xf numFmtId="0" fontId="2" fillId="11" borderId="30" xfId="0" applyFont="1" applyFill="1" applyBorder="1" applyAlignment="1">
      <alignment horizontal="left" vertical="center" wrapText="1" indent="2"/>
    </xf>
    <xf numFmtId="0" fontId="0" fillId="9" borderId="31" xfId="0" applyFill="1" applyBorder="1" applyAlignment="1">
      <alignment horizontal="left" vertical="center" wrapText="1" indent="2"/>
    </xf>
    <xf numFmtId="9" fontId="0" fillId="9" borderId="32" xfId="0" applyNumberFormat="1" applyFill="1" applyBorder="1" applyAlignment="1">
      <alignment horizontal="left" vertical="center" wrapText="1" indent="2"/>
    </xf>
    <xf numFmtId="0" fontId="0" fillId="0" borderId="0" xfId="0" applyAlignment="1">
      <alignment horizontal="center" vertical="center" wrapText="1"/>
    </xf>
    <xf numFmtId="0" fontId="16" fillId="6" borderId="0" xfId="0" applyFont="1" applyFill="1" applyBorder="1" applyAlignment="1">
      <alignment horizontal="center" vertical="center" wrapText="1"/>
    </xf>
    <xf numFmtId="0" fontId="5" fillId="0" borderId="0" xfId="0" applyFont="1" applyAlignment="1">
      <alignment horizontal="center"/>
    </xf>
    <xf numFmtId="0" fontId="5" fillId="0" borderId="0" xfId="0" applyFont="1" applyBorder="1" applyAlignment="1">
      <alignment horizontal="center"/>
    </xf>
    <xf numFmtId="0" fontId="3" fillId="0" borderId="0" xfId="0" applyFont="1" applyAlignment="1">
      <alignment horizontal="left"/>
    </xf>
    <xf numFmtId="0" fontId="10" fillId="0" borderId="0" xfId="0" applyFont="1" applyBorder="1" applyAlignment="1">
      <alignment horizontal="left" vertical="center"/>
    </xf>
    <xf numFmtId="0" fontId="5" fillId="0" borderId="0" xfId="0" applyFont="1" applyAlignment="1">
      <alignment horizontal="right" vertical="center"/>
    </xf>
    <xf numFmtId="9" fontId="0" fillId="0" borderId="0" xfId="1" applyFont="1"/>
    <xf numFmtId="0" fontId="0" fillId="0" borderId="0" xfId="0" applyFill="1"/>
    <xf numFmtId="0" fontId="18" fillId="0" borderId="0" xfId="0" applyFont="1" applyFill="1" applyBorder="1" applyAlignment="1">
      <alignment horizontal="center" vertical="center" wrapText="1"/>
    </xf>
    <xf numFmtId="4" fontId="0" fillId="0" borderId="0" xfId="0" applyNumberFormat="1" applyAlignment="1">
      <alignment horizontal="center"/>
    </xf>
    <xf numFmtId="0" fontId="19" fillId="0" borderId="0" xfId="0" applyFont="1"/>
    <xf numFmtId="9" fontId="0" fillId="0" borderId="0" xfId="1" applyFont="1" applyAlignment="1">
      <alignment horizontal="center"/>
    </xf>
    <xf numFmtId="166" fontId="3" fillId="4" borderId="9" xfId="0" applyNumberFormat="1" applyFont="1" applyFill="1" applyBorder="1" applyProtection="1"/>
    <xf numFmtId="166" fontId="3" fillId="4" borderId="3" xfId="0" applyNumberFormat="1" applyFont="1" applyFill="1" applyBorder="1" applyProtection="1"/>
    <xf numFmtId="0" fontId="0" fillId="0" borderId="0" xfId="0" applyFont="1"/>
    <xf numFmtId="0" fontId="0" fillId="12" borderId="0" xfId="0" applyFont="1" applyFill="1"/>
    <xf numFmtId="0" fontId="0" fillId="0" borderId="0" xfId="0" applyFont="1" applyBorder="1"/>
    <xf numFmtId="3" fontId="0" fillId="0" borderId="0" xfId="0" applyNumberFormat="1" applyFont="1"/>
    <xf numFmtId="165" fontId="0" fillId="0" borderId="0" xfId="0" applyNumberFormat="1" applyFont="1"/>
    <xf numFmtId="0" fontId="21" fillId="0" borderId="0" xfId="0" applyFont="1"/>
    <xf numFmtId="0" fontId="21" fillId="0" borderId="13" xfId="0" applyFont="1" applyBorder="1"/>
    <xf numFmtId="0" fontId="0" fillId="0" borderId="13" xfId="0" applyFont="1" applyBorder="1"/>
    <xf numFmtId="0" fontId="0" fillId="0" borderId="0" xfId="0" applyFont="1" applyAlignment="1">
      <alignment horizontal="right"/>
    </xf>
    <xf numFmtId="0" fontId="0" fillId="0" borderId="0" xfId="0" applyFont="1" applyFill="1"/>
    <xf numFmtId="0" fontId="0" fillId="0" borderId="0" xfId="0" applyFont="1" applyAlignment="1">
      <alignment horizontal="center"/>
    </xf>
    <xf numFmtId="9" fontId="0" fillId="0" borderId="0" xfId="0" applyNumberFormat="1" applyFont="1"/>
    <xf numFmtId="0" fontId="18" fillId="0" borderId="0" xfId="0" applyFont="1"/>
    <xf numFmtId="0" fontId="20" fillId="0" borderId="0" xfId="0" applyFont="1" applyFill="1" applyBorder="1" applyAlignment="1"/>
    <xf numFmtId="0" fontId="0" fillId="0" borderId="33" xfId="0" applyFont="1" applyBorder="1"/>
    <xf numFmtId="0" fontId="0" fillId="0" borderId="34" xfId="0" applyFont="1" applyBorder="1"/>
    <xf numFmtId="9" fontId="0" fillId="0" borderId="33" xfId="1" applyFont="1" applyBorder="1"/>
    <xf numFmtId="0" fontId="0" fillId="0" borderId="17" xfId="0" applyFont="1" applyBorder="1"/>
    <xf numFmtId="0" fontId="0" fillId="0" borderId="20" xfId="0" applyFont="1" applyBorder="1"/>
    <xf numFmtId="0" fontId="0" fillId="0" borderId="0" xfId="0" applyFont="1" applyBorder="1" applyAlignment="1">
      <alignment horizontal="right"/>
    </xf>
    <xf numFmtId="0" fontId="0" fillId="0" borderId="21" xfId="0" applyFont="1" applyBorder="1"/>
    <xf numFmtId="0" fontId="0" fillId="0" borderId="13" xfId="0" applyFont="1" applyBorder="1" applyAlignment="1">
      <alignment horizontal="right"/>
    </xf>
    <xf numFmtId="9" fontId="0" fillId="0" borderId="34" xfId="1" applyFont="1" applyBorder="1"/>
    <xf numFmtId="0" fontId="23" fillId="0" borderId="10" xfId="0" applyFont="1" applyBorder="1"/>
    <xf numFmtId="0" fontId="24" fillId="0" borderId="0" xfId="0" applyFont="1"/>
    <xf numFmtId="168" fontId="0" fillId="0" borderId="11" xfId="5" applyNumberFormat="1" applyFont="1" applyFill="1" applyBorder="1"/>
    <xf numFmtId="0" fontId="21" fillId="0" borderId="0" xfId="0" applyFont="1" applyBorder="1"/>
    <xf numFmtId="0" fontId="22" fillId="0" borderId="0" xfId="0" applyFont="1"/>
    <xf numFmtId="0" fontId="22" fillId="0" borderId="0" xfId="0" applyFont="1" applyAlignment="1">
      <alignment horizontal="right"/>
    </xf>
    <xf numFmtId="0" fontId="0" fillId="0" borderId="14" xfId="0" applyFont="1" applyBorder="1"/>
    <xf numFmtId="0" fontId="22" fillId="0" borderId="0" xfId="0" applyFont="1" applyBorder="1"/>
    <xf numFmtId="1" fontId="0" fillId="0" borderId="0" xfId="0" applyNumberFormat="1" applyFont="1" applyBorder="1"/>
    <xf numFmtId="0" fontId="22" fillId="0" borderId="13" xfId="0" applyFont="1" applyBorder="1"/>
    <xf numFmtId="0" fontId="0" fillId="0" borderId="17" xfId="0" applyFont="1" applyBorder="1" applyAlignment="1">
      <alignment horizontal="center"/>
    </xf>
    <xf numFmtId="1" fontId="0" fillId="0" borderId="0" xfId="0" applyNumberFormat="1" applyFont="1" applyAlignment="1">
      <alignment horizontal="center"/>
    </xf>
    <xf numFmtId="1" fontId="0" fillId="0" borderId="0" xfId="0" applyNumberFormat="1" applyFont="1" applyBorder="1" applyAlignment="1">
      <alignment horizontal="center"/>
    </xf>
    <xf numFmtId="0" fontId="0" fillId="0" borderId="13" xfId="0" applyFont="1" applyBorder="1" applyAlignment="1">
      <alignment horizontal="center"/>
    </xf>
    <xf numFmtId="0" fontId="25" fillId="0" borderId="0" xfId="0" applyFont="1" applyAlignment="1">
      <alignment horizontal="right"/>
    </xf>
    <xf numFmtId="0" fontId="0" fillId="0" borderId="17" xfId="0" applyFont="1" applyBorder="1" applyAlignment="1">
      <alignment horizontal="right"/>
    </xf>
    <xf numFmtId="0" fontId="0" fillId="0" borderId="11" xfId="0" applyFont="1" applyBorder="1" applyAlignment="1">
      <alignment horizontal="right"/>
    </xf>
    <xf numFmtId="1" fontId="0" fillId="0" borderId="12" xfId="0" applyNumberFormat="1" applyFont="1" applyBorder="1"/>
    <xf numFmtId="1" fontId="0" fillId="0" borderId="13" xfId="0" applyNumberFormat="1" applyFont="1" applyBorder="1"/>
    <xf numFmtId="1" fontId="0" fillId="0" borderId="22" xfId="0" applyNumberFormat="1" applyFont="1" applyBorder="1"/>
    <xf numFmtId="0" fontId="5" fillId="0" borderId="0" xfId="0" applyFont="1" applyBorder="1" applyAlignment="1">
      <alignment horizontal="left"/>
    </xf>
    <xf numFmtId="9" fontId="2" fillId="0" borderId="0" xfId="1" applyFont="1"/>
    <xf numFmtId="165" fontId="2" fillId="0" borderId="0" xfId="0" applyNumberFormat="1" applyFont="1"/>
    <xf numFmtId="9" fontId="0" fillId="12" borderId="0" xfId="1" applyFont="1" applyFill="1"/>
    <xf numFmtId="165" fontId="0" fillId="12" borderId="0" xfId="0" applyNumberFormat="1" applyFont="1" applyFill="1"/>
    <xf numFmtId="0" fontId="21" fillId="0" borderId="0" xfId="0" applyFont="1" applyAlignment="1">
      <alignment horizontal="center"/>
    </xf>
    <xf numFmtId="0" fontId="0" fillId="0" borderId="35" xfId="0" applyFont="1" applyBorder="1" applyAlignment="1">
      <alignment horizontal="center"/>
    </xf>
    <xf numFmtId="9" fontId="0" fillId="0" borderId="35" xfId="1" applyFont="1" applyBorder="1" applyAlignment="1">
      <alignment horizontal="center"/>
    </xf>
    <xf numFmtId="0" fontId="0" fillId="0" borderId="33" xfId="0" applyFont="1" applyBorder="1" applyAlignment="1">
      <alignment horizontal="center"/>
    </xf>
    <xf numFmtId="0" fontId="0" fillId="0" borderId="34" xfId="0" applyFont="1" applyBorder="1" applyAlignment="1">
      <alignment horizontal="center"/>
    </xf>
    <xf numFmtId="9" fontId="0" fillId="0" borderId="34" xfId="1" applyFont="1" applyBorder="1" applyAlignment="1">
      <alignment horizontal="center"/>
    </xf>
    <xf numFmtId="0" fontId="0" fillId="0" borderId="19" xfId="0" applyFont="1" applyBorder="1" applyAlignment="1">
      <alignment horizontal="center"/>
    </xf>
    <xf numFmtId="9" fontId="0" fillId="0" borderId="19" xfId="1" applyFont="1" applyBorder="1" applyAlignment="1">
      <alignment horizontal="center"/>
    </xf>
    <xf numFmtId="9" fontId="0" fillId="0" borderId="12" xfId="1" applyFont="1" applyBorder="1" applyAlignment="1">
      <alignment horizontal="center"/>
    </xf>
    <xf numFmtId="9" fontId="0" fillId="0" borderId="22" xfId="1" applyFont="1" applyBorder="1" applyAlignment="1">
      <alignment horizontal="center"/>
    </xf>
    <xf numFmtId="0" fontId="21" fillId="0" borderId="0" xfId="0" applyFont="1" applyAlignment="1">
      <alignment horizontal="right"/>
    </xf>
    <xf numFmtId="168" fontId="21" fillId="0" borderId="0" xfId="5" applyNumberFormat="1" applyFont="1" applyAlignment="1">
      <alignment horizontal="center"/>
    </xf>
    <xf numFmtId="0" fontId="2" fillId="0" borderId="13" xfId="0" applyFont="1" applyBorder="1"/>
    <xf numFmtId="0" fontId="2" fillId="0" borderId="0" xfId="0" applyFont="1" applyBorder="1" applyAlignment="1">
      <alignment horizontal="right" vertical="center"/>
    </xf>
    <xf numFmtId="0" fontId="0" fillId="0" borderId="18" xfId="0" applyFont="1" applyBorder="1"/>
    <xf numFmtId="0" fontId="0" fillId="0" borderId="20" xfId="0" applyFont="1" applyBorder="1" applyAlignment="1">
      <alignment horizontal="left"/>
    </xf>
    <xf numFmtId="0" fontId="21" fillId="0" borderId="0" xfId="0" applyFont="1" applyBorder="1" applyAlignment="1">
      <alignment horizontal="right"/>
    </xf>
    <xf numFmtId="1" fontId="0" fillId="0" borderId="0" xfId="0" applyNumberFormat="1" applyFont="1"/>
    <xf numFmtId="0" fontId="3" fillId="0" borderId="14" xfId="0" applyFont="1" applyFill="1" applyBorder="1" applyAlignment="1">
      <alignment horizontal="right" vertical="center"/>
    </xf>
    <xf numFmtId="0" fontId="2" fillId="0" borderId="13" xfId="0" applyFont="1" applyBorder="1" applyAlignment="1">
      <alignment horizontal="center"/>
    </xf>
    <xf numFmtId="0" fontId="2" fillId="0" borderId="13" xfId="0" applyFont="1" applyBorder="1" applyAlignment="1">
      <alignment horizontal="right"/>
    </xf>
    <xf numFmtId="0" fontId="0" fillId="0" borderId="14" xfId="0" applyFont="1" applyBorder="1" applyAlignment="1">
      <alignment horizontal="center"/>
    </xf>
    <xf numFmtId="0" fontId="2" fillId="0" borderId="0" xfId="0" applyFont="1" applyFill="1" applyBorder="1" applyAlignment="1">
      <alignment horizontal="right"/>
    </xf>
    <xf numFmtId="0" fontId="0" fillId="0" borderId="0" xfId="0" applyBorder="1"/>
    <xf numFmtId="0" fontId="0" fillId="0" borderId="0" xfId="0" applyFont="1" applyFill="1" applyBorder="1" applyAlignment="1">
      <alignment horizontal="right"/>
    </xf>
    <xf numFmtId="2" fontId="0" fillId="0" borderId="0" xfId="0" applyNumberFormat="1" applyFont="1" applyBorder="1"/>
    <xf numFmtId="0" fontId="0" fillId="0" borderId="13" xfId="0" applyFont="1" applyFill="1" applyBorder="1" applyAlignment="1">
      <alignment horizontal="right"/>
    </xf>
    <xf numFmtId="2" fontId="0" fillId="0" borderId="13" xfId="0" applyNumberFormat="1" applyFont="1" applyBorder="1"/>
    <xf numFmtId="0" fontId="0" fillId="0" borderId="0" xfId="0" applyFont="1" applyFill="1" applyBorder="1" applyAlignment="1">
      <alignment horizontal="right" vertical="center"/>
    </xf>
    <xf numFmtId="0" fontId="0" fillId="0" borderId="14" xfId="0" applyFont="1" applyBorder="1" applyAlignment="1">
      <alignment horizontal="right"/>
    </xf>
    <xf numFmtId="0" fontId="2" fillId="0" borderId="0" xfId="0" applyFont="1" applyFill="1" applyBorder="1" applyAlignment="1">
      <alignment horizontal="left"/>
    </xf>
    <xf numFmtId="0" fontId="22" fillId="0" borderId="13" xfId="0" applyFont="1" applyFill="1" applyBorder="1" applyAlignment="1">
      <alignment horizontal="right" vertical="center"/>
    </xf>
    <xf numFmtId="0" fontId="26" fillId="0" borderId="0" xfId="0" applyFont="1" applyFill="1" applyBorder="1" applyAlignment="1"/>
    <xf numFmtId="1" fontId="2" fillId="0" borderId="0" xfId="0" applyNumberFormat="1" applyFont="1"/>
    <xf numFmtId="0" fontId="3" fillId="0" borderId="17" xfId="0" applyFont="1" applyBorder="1" applyAlignment="1">
      <alignment horizontal="right" vertical="center"/>
    </xf>
    <xf numFmtId="1" fontId="0" fillId="0" borderId="17" xfId="0" applyNumberFormat="1" applyFont="1" applyBorder="1"/>
    <xf numFmtId="9" fontId="0" fillId="0" borderId="13" xfId="1" applyFont="1" applyBorder="1"/>
    <xf numFmtId="0" fontId="21" fillId="0" borderId="0" xfId="0" applyFont="1" applyBorder="1" applyAlignment="1">
      <alignment horizontal="right" vertical="center"/>
    </xf>
    <xf numFmtId="168" fontId="0" fillId="0" borderId="14" xfId="5" applyNumberFormat="1" applyFont="1" applyBorder="1" applyAlignment="1">
      <alignment horizontal="center"/>
    </xf>
    <xf numFmtId="0" fontId="2" fillId="0" borderId="16" xfId="0" applyFont="1" applyBorder="1"/>
    <xf numFmtId="168" fontId="0" fillId="0" borderId="12" xfId="5" applyNumberFormat="1" applyFont="1" applyBorder="1"/>
    <xf numFmtId="0" fontId="27" fillId="0" borderId="11" xfId="0" applyFont="1" applyBorder="1" applyAlignment="1">
      <alignment horizontal="right"/>
    </xf>
    <xf numFmtId="0" fontId="22" fillId="0" borderId="21" xfId="0" applyFont="1" applyBorder="1"/>
    <xf numFmtId="2" fontId="2" fillId="0" borderId="0" xfId="0" applyNumberFormat="1" applyFont="1" applyBorder="1"/>
    <xf numFmtId="0" fontId="28" fillId="0" borderId="0" xfId="0" applyFont="1" applyBorder="1" applyAlignment="1">
      <alignment horizontal="right"/>
    </xf>
    <xf numFmtId="0" fontId="14" fillId="0" borderId="0" xfId="0" applyFont="1" applyAlignment="1">
      <alignment horizontal="center"/>
    </xf>
    <xf numFmtId="0" fontId="22" fillId="0" borderId="14" xfId="0" applyFont="1" applyBorder="1" applyAlignment="1">
      <alignment horizontal="right"/>
    </xf>
    <xf numFmtId="9" fontId="0" fillId="0" borderId="14" xfId="1" applyFont="1" applyBorder="1"/>
    <xf numFmtId="0" fontId="22" fillId="0" borderId="13" xfId="0" applyFont="1" applyBorder="1" applyAlignment="1">
      <alignment horizontal="right"/>
    </xf>
    <xf numFmtId="9" fontId="0" fillId="0" borderId="0" xfId="1" applyFont="1" applyBorder="1" applyAlignment="1">
      <alignment horizontal="center"/>
    </xf>
    <xf numFmtId="9" fontId="0" fillId="0" borderId="13" xfId="1" applyFont="1" applyBorder="1" applyAlignment="1">
      <alignment horizontal="center"/>
    </xf>
    <xf numFmtId="0" fontId="22" fillId="0" borderId="0" xfId="0" applyFont="1" applyBorder="1" applyAlignment="1">
      <alignment horizontal="right" indent="1"/>
    </xf>
    <xf numFmtId="0" fontId="22" fillId="0" borderId="10" xfId="0" applyFont="1" applyBorder="1"/>
    <xf numFmtId="9" fontId="0" fillId="13" borderId="0" xfId="1" applyFont="1" applyFill="1"/>
    <xf numFmtId="2" fontId="0" fillId="0" borderId="0" xfId="0" applyNumberFormat="1" applyFont="1"/>
    <xf numFmtId="169" fontId="0" fillId="0" borderId="0" xfId="1" applyNumberFormat="1" applyFont="1" applyAlignment="1">
      <alignment horizontal="right"/>
    </xf>
    <xf numFmtId="169" fontId="2" fillId="0" borderId="0" xfId="1" applyNumberFormat="1" applyFont="1" applyAlignment="1">
      <alignment horizontal="right"/>
    </xf>
    <xf numFmtId="169" fontId="0" fillId="12" borderId="0" xfId="1" applyNumberFormat="1" applyFont="1" applyFill="1" applyAlignment="1">
      <alignment horizontal="right"/>
    </xf>
    <xf numFmtId="9" fontId="0" fillId="0" borderId="0" xfId="1" applyFont="1" applyBorder="1"/>
    <xf numFmtId="168" fontId="21" fillId="0" borderId="0" xfId="5" applyNumberFormat="1" applyFont="1"/>
    <xf numFmtId="0" fontId="20" fillId="14" borderId="0" xfId="0" applyFont="1" applyFill="1" applyBorder="1" applyAlignment="1"/>
    <xf numFmtId="0" fontId="0" fillId="14" borderId="0" xfId="0" applyFont="1" applyFill="1"/>
    <xf numFmtId="0" fontId="20" fillId="7" borderId="0" xfId="0" applyFont="1" applyFill="1" applyBorder="1" applyAlignment="1"/>
    <xf numFmtId="0" fontId="30" fillId="7" borderId="0" xfId="0" applyFont="1" applyFill="1" applyBorder="1" applyAlignment="1"/>
    <xf numFmtId="0" fontId="31" fillId="0" borderId="16" xfId="0" applyFont="1" applyFill="1" applyBorder="1"/>
    <xf numFmtId="0" fontId="31" fillId="0" borderId="17" xfId="0" applyFont="1" applyFill="1" applyBorder="1"/>
    <xf numFmtId="0" fontId="32" fillId="0" borderId="11" xfId="0" applyFont="1" applyFill="1" applyBorder="1" applyAlignment="1">
      <alignment horizontal="right"/>
    </xf>
    <xf numFmtId="0" fontId="33" fillId="0" borderId="0" xfId="0" applyFont="1"/>
    <xf numFmtId="0" fontId="17" fillId="0" borderId="0" xfId="0" applyFont="1" applyBorder="1" applyAlignment="1">
      <alignment horizontal="right"/>
    </xf>
    <xf numFmtId="0" fontId="17" fillId="0" borderId="0" xfId="0" applyFont="1" applyBorder="1"/>
    <xf numFmtId="0" fontId="31" fillId="0" borderId="0" xfId="0" applyFont="1" applyFill="1" applyBorder="1"/>
    <xf numFmtId="0" fontId="32" fillId="0" borderId="0" xfId="0" applyFont="1" applyFill="1" applyBorder="1" applyAlignment="1">
      <alignment horizontal="right"/>
    </xf>
    <xf numFmtId="168" fontId="0" fillId="0" borderId="0" xfId="5" applyNumberFormat="1" applyFont="1" applyFill="1" applyBorder="1"/>
    <xf numFmtId="0" fontId="18" fillId="0" borderId="0" xfId="0" applyFont="1" applyAlignment="1">
      <alignment horizontal="right"/>
    </xf>
    <xf numFmtId="0" fontId="0" fillId="0" borderId="39" xfId="0" applyFont="1" applyBorder="1"/>
    <xf numFmtId="0" fontId="0" fillId="0" borderId="40" xfId="0" applyFont="1" applyBorder="1" applyAlignment="1">
      <alignment horizontal="right"/>
    </xf>
    <xf numFmtId="0" fontId="2" fillId="14" borderId="38" xfId="0" applyFont="1" applyFill="1" applyBorder="1" applyAlignment="1">
      <alignment horizontal="right"/>
    </xf>
    <xf numFmtId="0" fontId="34" fillId="0" borderId="0" xfId="0" applyFont="1"/>
    <xf numFmtId="0" fontId="2" fillId="4" borderId="0" xfId="0" applyFont="1" applyFill="1" applyAlignment="1">
      <alignment horizontal="left"/>
    </xf>
    <xf numFmtId="0" fontId="35" fillId="0" borderId="0" xfId="0" applyFont="1" applyFill="1" applyAlignment="1">
      <alignment horizontal="center"/>
    </xf>
    <xf numFmtId="0" fontId="0" fillId="0" borderId="22" xfId="0" applyFont="1" applyBorder="1" applyAlignment="1">
      <alignment horizontal="center"/>
    </xf>
    <xf numFmtId="0" fontId="32" fillId="12" borderId="18" xfId="0" applyFont="1" applyFill="1" applyBorder="1" applyAlignment="1">
      <alignment horizontal="center"/>
    </xf>
    <xf numFmtId="0" fontId="32" fillId="12" borderId="19" xfId="0" applyFont="1" applyFill="1" applyBorder="1" applyAlignment="1">
      <alignment horizontal="center"/>
    </xf>
    <xf numFmtId="0" fontId="32" fillId="12" borderId="21" xfId="0" applyFont="1" applyFill="1" applyBorder="1" applyAlignment="1">
      <alignment horizontal="center"/>
    </xf>
    <xf numFmtId="0" fontId="32" fillId="12" borderId="22" xfId="0" applyFont="1" applyFill="1" applyBorder="1" applyAlignment="1">
      <alignment horizontal="center"/>
    </xf>
    <xf numFmtId="0" fontId="0" fillId="4" borderId="20" xfId="0" applyFont="1" applyFill="1" applyBorder="1" applyAlignment="1">
      <alignment horizontal="center"/>
    </xf>
    <xf numFmtId="0" fontId="0" fillId="4" borderId="12" xfId="0" applyFont="1" applyFill="1" applyBorder="1" applyAlignment="1">
      <alignment horizontal="center"/>
    </xf>
    <xf numFmtId="0" fontId="0" fillId="4" borderId="21" xfId="0" applyFont="1" applyFill="1" applyBorder="1" applyAlignment="1">
      <alignment horizontal="center"/>
    </xf>
    <xf numFmtId="0" fontId="0" fillId="4" borderId="22" xfId="0" applyFont="1" applyFill="1" applyBorder="1" applyAlignment="1">
      <alignment horizontal="center"/>
    </xf>
    <xf numFmtId="0" fontId="32" fillId="0" borderId="18" xfId="0" applyFont="1" applyFill="1" applyBorder="1" applyAlignment="1">
      <alignment horizontal="center"/>
    </xf>
    <xf numFmtId="0" fontId="32" fillId="0" borderId="19" xfId="0" applyFont="1" applyFill="1" applyBorder="1" applyAlignment="1">
      <alignment horizontal="center"/>
    </xf>
    <xf numFmtId="0" fontId="32" fillId="0" borderId="21" xfId="0" applyFont="1" applyFill="1" applyBorder="1" applyAlignment="1">
      <alignment horizontal="center"/>
    </xf>
    <xf numFmtId="0" fontId="32" fillId="0" borderId="22" xfId="0" applyFont="1" applyFill="1" applyBorder="1" applyAlignment="1">
      <alignment horizontal="center"/>
    </xf>
    <xf numFmtId="168" fontId="0" fillId="4" borderId="20" xfId="5" applyNumberFormat="1" applyFont="1" applyFill="1" applyBorder="1"/>
    <xf numFmtId="168" fontId="0" fillId="4" borderId="12" xfId="5" applyNumberFormat="1" applyFont="1" applyFill="1" applyBorder="1"/>
    <xf numFmtId="168" fontId="0" fillId="4" borderId="21" xfId="5" applyNumberFormat="1" applyFont="1" applyFill="1" applyBorder="1"/>
    <xf numFmtId="168" fontId="0" fillId="4" borderId="22" xfId="5" applyNumberFormat="1" applyFont="1" applyFill="1" applyBorder="1"/>
    <xf numFmtId="168" fontId="21" fillId="0" borderId="0" xfId="5" applyNumberFormat="1" applyFont="1" applyAlignment="1">
      <alignment horizontal="right"/>
    </xf>
    <xf numFmtId="0" fontId="0" fillId="0" borderId="0" xfId="0" applyFont="1" applyBorder="1" applyAlignment="1">
      <alignment horizontal="center"/>
    </xf>
    <xf numFmtId="0" fontId="0" fillId="4" borderId="18" xfId="0" applyFont="1" applyFill="1" applyBorder="1"/>
    <xf numFmtId="0" fontId="0" fillId="4" borderId="19" xfId="0" applyFont="1" applyFill="1" applyBorder="1"/>
    <xf numFmtId="0" fontId="0" fillId="4" borderId="20" xfId="0" applyFont="1" applyFill="1" applyBorder="1"/>
    <xf numFmtId="0" fontId="0" fillId="4" borderId="12" xfId="0" applyFont="1" applyFill="1" applyBorder="1"/>
    <xf numFmtId="0" fontId="0" fillId="4" borderId="21" xfId="0" applyFont="1" applyFill="1" applyBorder="1"/>
    <xf numFmtId="0" fontId="0" fillId="4" borderId="22" xfId="0" applyFont="1" applyFill="1" applyBorder="1"/>
    <xf numFmtId="9" fontId="0" fillId="0" borderId="33" xfId="1" applyFont="1" applyBorder="1" applyAlignment="1">
      <alignment horizontal="center"/>
    </xf>
    <xf numFmtId="0" fontId="20" fillId="15" borderId="0" xfId="0" applyFont="1" applyFill="1" applyAlignment="1">
      <alignment horizontal="left"/>
    </xf>
    <xf numFmtId="0" fontId="2" fillId="14" borderId="36" xfId="0" applyFont="1" applyFill="1" applyBorder="1" applyAlignment="1">
      <alignment horizontal="right"/>
    </xf>
    <xf numFmtId="0" fontId="2" fillId="14" borderId="37" xfId="0" applyFont="1" applyFill="1" applyBorder="1" applyAlignment="1">
      <alignment horizontal="right"/>
    </xf>
    <xf numFmtId="0" fontId="2" fillId="0" borderId="0" xfId="0" applyFont="1" applyBorder="1" applyAlignment="1">
      <alignment horizontal="right"/>
    </xf>
    <xf numFmtId="168" fontId="0" fillId="0" borderId="0" xfId="5" applyNumberFormat="1" applyFont="1" applyBorder="1" applyAlignment="1">
      <alignment horizontal="center"/>
    </xf>
    <xf numFmtId="0" fontId="19" fillId="0" borderId="0" xfId="0" applyFont="1" applyFill="1" applyBorder="1" applyAlignment="1">
      <alignment horizontal="left"/>
    </xf>
    <xf numFmtId="0" fontId="19" fillId="14" borderId="0" xfId="0" applyFont="1" applyFill="1" applyBorder="1" applyAlignment="1">
      <alignment horizontal="left"/>
    </xf>
    <xf numFmtId="0" fontId="19" fillId="14" borderId="0" xfId="0" applyFont="1" applyFill="1"/>
    <xf numFmtId="0" fontId="3" fillId="0" borderId="13" xfId="0" applyFont="1" applyBorder="1" applyAlignment="1">
      <alignment horizontal="center" vertical="center"/>
    </xf>
    <xf numFmtId="9" fontId="0" fillId="0" borderId="17" xfId="1" applyFont="1" applyBorder="1" applyAlignment="1">
      <alignment horizontal="center"/>
    </xf>
    <xf numFmtId="0" fontId="21" fillId="0" borderId="0" xfId="0" applyFont="1" applyBorder="1" applyAlignment="1">
      <alignment horizontal="center"/>
    </xf>
    <xf numFmtId="0" fontId="2" fillId="0" borderId="0" xfId="0" applyFont="1" applyAlignment="1">
      <alignment horizontal="center"/>
    </xf>
    <xf numFmtId="9" fontId="0" fillId="0" borderId="0" xfId="0" applyNumberFormat="1" applyFont="1" applyBorder="1" applyAlignment="1">
      <alignment horizontal="center"/>
    </xf>
    <xf numFmtId="9" fontId="0" fillId="0" borderId="13" xfId="0" applyNumberFormat="1" applyFont="1" applyBorder="1" applyAlignment="1">
      <alignment horizontal="center"/>
    </xf>
    <xf numFmtId="0" fontId="28" fillId="0" borderId="0" xfId="0" applyFont="1" applyFill="1" applyBorder="1" applyAlignment="1">
      <alignment horizontal="right"/>
    </xf>
    <xf numFmtId="0" fontId="0" fillId="4" borderId="0" xfId="0" applyFont="1" applyFill="1"/>
    <xf numFmtId="0" fontId="20" fillId="8" borderId="0" xfId="0" applyFont="1" applyFill="1" applyAlignment="1">
      <alignment horizontal="left"/>
    </xf>
    <xf numFmtId="0" fontId="0" fillId="8" borderId="0" xfId="0" applyFont="1" applyFill="1"/>
    <xf numFmtId="0" fontId="16" fillId="8" borderId="0" xfId="0" applyFont="1" applyFill="1" applyAlignment="1">
      <alignment horizontal="left"/>
    </xf>
    <xf numFmtId="0" fontId="21" fillId="0" borderId="0" xfId="0" applyFont="1" applyFill="1" applyBorder="1" applyAlignment="1">
      <alignment horizontal="right"/>
    </xf>
    <xf numFmtId="9" fontId="0" fillId="14" borderId="13" xfId="1" applyFont="1" applyFill="1" applyBorder="1"/>
    <xf numFmtId="0" fontId="2" fillId="0" borderId="14" xfId="0" applyFont="1" applyFill="1" applyBorder="1" applyAlignment="1">
      <alignment horizontal="left"/>
    </xf>
    <xf numFmtId="0" fontId="0" fillId="0" borderId="14" xfId="0" applyFont="1" applyFill="1" applyBorder="1"/>
    <xf numFmtId="0" fontId="2" fillId="0" borderId="14" xfId="0" applyFont="1" applyBorder="1"/>
    <xf numFmtId="0" fontId="36" fillId="0" borderId="0" xfId="0" applyFont="1" applyFill="1" applyBorder="1" applyAlignment="1">
      <alignment horizontal="right"/>
    </xf>
    <xf numFmtId="0" fontId="37" fillId="0" borderId="0" xfId="0" applyFont="1" applyFill="1" applyBorder="1" applyAlignment="1">
      <alignment horizontal="left"/>
    </xf>
    <xf numFmtId="0" fontId="36" fillId="0" borderId="0" xfId="0" applyFont="1" applyFill="1"/>
    <xf numFmtId="0" fontId="27" fillId="4" borderId="41" xfId="0" applyFont="1" applyFill="1" applyBorder="1" applyAlignment="1">
      <alignment horizontal="center"/>
    </xf>
    <xf numFmtId="0" fontId="0" fillId="0" borderId="0" xfId="0" applyFont="1" applyAlignment="1">
      <alignment wrapText="1"/>
    </xf>
    <xf numFmtId="0" fontId="21" fillId="0" borderId="0" xfId="0" applyFont="1" applyAlignment="1">
      <alignment horizontal="center" vertical="center" wrapText="1"/>
    </xf>
    <xf numFmtId="0" fontId="21" fillId="7" borderId="0" xfId="0" applyFont="1" applyFill="1"/>
    <xf numFmtId="3" fontId="21" fillId="0" borderId="0" xfId="0" applyNumberFormat="1" applyFont="1" applyAlignment="1">
      <alignment horizontal="center"/>
    </xf>
    <xf numFmtId="0" fontId="38" fillId="6" borderId="0" xfId="0" applyFont="1" applyFill="1" applyBorder="1" applyAlignment="1">
      <alignment horizontal="center" vertical="center" wrapText="1"/>
    </xf>
    <xf numFmtId="0" fontId="39" fillId="0" borderId="0" xfId="0" applyFont="1"/>
    <xf numFmtId="0" fontId="0" fillId="0" borderId="11" xfId="0" applyFont="1" applyBorder="1"/>
    <xf numFmtId="0" fontId="0" fillId="0" borderId="12" xfId="0" applyFont="1" applyBorder="1" applyAlignment="1">
      <alignment horizontal="right"/>
    </xf>
    <xf numFmtId="0" fontId="0" fillId="0" borderId="22" xfId="0" applyFont="1" applyBorder="1" applyAlignment="1">
      <alignment horizontal="right"/>
    </xf>
    <xf numFmtId="0" fontId="0" fillId="0" borderId="16" xfId="0" applyFont="1" applyBorder="1" applyAlignment="1">
      <alignment horizontal="right"/>
    </xf>
    <xf numFmtId="0" fontId="2" fillId="0" borderId="10" xfId="0" applyFont="1" applyBorder="1"/>
    <xf numFmtId="9" fontId="0" fillId="0" borderId="35" xfId="1" applyFont="1" applyBorder="1"/>
    <xf numFmtId="0" fontId="21" fillId="0" borderId="0" xfId="0" applyFont="1" applyBorder="1" applyAlignment="1">
      <alignment horizontal="left"/>
    </xf>
    <xf numFmtId="0" fontId="40" fillId="0" borderId="0" xfId="0" applyFont="1" applyBorder="1" applyAlignment="1">
      <alignment horizontal="right" vertical="center"/>
    </xf>
    <xf numFmtId="0" fontId="17" fillId="0" borderId="0" xfId="0" applyFont="1" applyBorder="1" applyAlignment="1">
      <alignment horizontal="left" vertical="center"/>
    </xf>
    <xf numFmtId="2" fontId="0" fillId="0" borderId="34" xfId="0" applyNumberFormat="1" applyFont="1" applyBorder="1" applyAlignment="1">
      <alignment horizontal="center"/>
    </xf>
    <xf numFmtId="0" fontId="0" fillId="0" borderId="21" xfId="0" applyFont="1" applyBorder="1" applyAlignment="1">
      <alignment horizontal="center"/>
    </xf>
    <xf numFmtId="0" fontId="2" fillId="0" borderId="18" xfId="0" applyFont="1" applyBorder="1" applyAlignment="1">
      <alignment horizontal="center"/>
    </xf>
    <xf numFmtId="0" fontId="2" fillId="0" borderId="35" xfId="0" applyFont="1" applyBorder="1"/>
    <xf numFmtId="0" fontId="0" fillId="0" borderId="13" xfId="0" applyFont="1" applyFill="1" applyBorder="1"/>
    <xf numFmtId="0" fontId="16" fillId="16" borderId="0" xfId="0" applyFont="1" applyFill="1" applyBorder="1" applyAlignment="1">
      <alignment horizontal="center" vertical="center" wrapText="1"/>
    </xf>
    <xf numFmtId="0" fontId="0" fillId="16" borderId="0" xfId="0" applyFont="1" applyFill="1"/>
    <xf numFmtId="0" fontId="16" fillId="17" borderId="0" xfId="0" applyFont="1" applyFill="1" applyBorder="1" applyAlignment="1">
      <alignment horizontal="center" vertical="center" wrapText="1"/>
    </xf>
    <xf numFmtId="0" fontId="0" fillId="17" borderId="0" xfId="0" applyFont="1" applyFill="1"/>
    <xf numFmtId="0" fontId="0" fillId="18" borderId="0" xfId="0" applyFont="1" applyFill="1"/>
    <xf numFmtId="9" fontId="2" fillId="13" borderId="0" xfId="1" applyFont="1" applyFill="1"/>
    <xf numFmtId="0" fontId="41" fillId="0" borderId="0" xfId="0" applyFont="1" applyAlignment="1">
      <alignment horizontal="left"/>
    </xf>
    <xf numFmtId="0" fontId="42" fillId="0" borderId="0" xfId="0" applyFont="1" applyAlignment="1">
      <alignment horizontal="left"/>
    </xf>
    <xf numFmtId="0" fontId="43" fillId="0" borderId="0" xfId="0" applyFont="1"/>
    <xf numFmtId="0" fontId="44" fillId="0" borderId="0" xfId="0" applyFont="1"/>
    <xf numFmtId="0" fontId="24" fillId="0" borderId="0" xfId="0" applyFont="1" applyAlignment="1">
      <alignment horizontal="left"/>
    </xf>
    <xf numFmtId="0" fontId="46" fillId="0" borderId="0" xfId="0" applyFont="1"/>
    <xf numFmtId="4" fontId="0" fillId="0" borderId="0" xfId="0" applyNumberFormat="1" applyFont="1" applyAlignment="1">
      <alignment horizontal="center"/>
    </xf>
    <xf numFmtId="0" fontId="22" fillId="0" borderId="0" xfId="0" applyFont="1" applyAlignment="1">
      <alignment horizontal="left" vertical="center" wrapText="1"/>
    </xf>
    <xf numFmtId="0" fontId="45" fillId="0" borderId="0" xfId="0" applyFont="1" applyAlignment="1">
      <alignment horizontal="left" vertical="center" wrapText="1"/>
    </xf>
    <xf numFmtId="0" fontId="0" fillId="0" borderId="0" xfId="0" applyFont="1" applyAlignment="1">
      <alignment horizontal="left" vertical="center" wrapText="1"/>
    </xf>
    <xf numFmtId="0" fontId="0" fillId="0" borderId="0" xfId="0" quotePrefix="1"/>
    <xf numFmtId="3" fontId="0" fillId="0" borderId="0" xfId="0" applyNumberFormat="1" applyAlignment="1">
      <alignment horizontal="center"/>
    </xf>
    <xf numFmtId="0" fontId="16" fillId="19" borderId="0" xfId="0" applyFont="1" applyFill="1" applyBorder="1" applyAlignment="1">
      <alignment horizontal="center" vertical="center" wrapText="1"/>
    </xf>
    <xf numFmtId="0" fontId="44" fillId="14" borderId="0" xfId="0" applyFont="1" applyFill="1"/>
    <xf numFmtId="0" fontId="43" fillId="14" borderId="0" xfId="0" applyFont="1" applyFill="1"/>
    <xf numFmtId="0" fontId="3" fillId="14" borderId="0" xfId="0" applyFont="1" applyFill="1"/>
    <xf numFmtId="0" fontId="0" fillId="14" borderId="0" xfId="0" applyFont="1" applyFill="1" applyAlignment="1">
      <alignment wrapText="1"/>
    </xf>
    <xf numFmtId="0" fontId="22" fillId="14" borderId="0" xfId="0" applyFont="1" applyFill="1" applyAlignment="1">
      <alignment vertical="center"/>
    </xf>
    <xf numFmtId="0" fontId="22" fillId="14" borderId="0" xfId="0" applyFont="1" applyFill="1" applyAlignment="1">
      <alignment horizontal="left" vertical="center" wrapText="1"/>
    </xf>
    <xf numFmtId="0" fontId="19" fillId="0" borderId="0" xfId="0" applyFont="1" applyAlignment="1">
      <alignment vertical="center" wrapText="1"/>
    </xf>
    <xf numFmtId="0" fontId="45" fillId="0" borderId="0" xfId="0" applyFont="1" applyAlignment="1">
      <alignment vertical="center" wrapText="1"/>
    </xf>
    <xf numFmtId="0" fontId="47" fillId="0" borderId="0" xfId="0" applyFont="1" applyAlignment="1">
      <alignment horizontal="left" vertical="center" wrapText="1"/>
    </xf>
    <xf numFmtId="0" fontId="19" fillId="0" borderId="0" xfId="0" applyFont="1" applyAlignment="1">
      <alignment horizontal="left" vertical="center" wrapText="1"/>
    </xf>
    <xf numFmtId="0" fontId="0" fillId="0" borderId="0" xfId="0" applyAlignment="1">
      <alignment horizontal="left" vertical="center" wrapText="1"/>
    </xf>
    <xf numFmtId="0" fontId="46" fillId="0" borderId="0" xfId="0" applyFont="1" applyAlignment="1">
      <alignment vertical="center" wrapText="1"/>
    </xf>
    <xf numFmtId="0" fontId="3" fillId="3" borderId="1" xfId="0" applyFont="1" applyFill="1" applyBorder="1" applyAlignment="1">
      <alignment horizontal="left"/>
    </xf>
    <xf numFmtId="1" fontId="3" fillId="4" borderId="0" xfId="1" applyNumberFormat="1" applyFont="1" applyFill="1" applyAlignment="1">
      <alignment horizontal="left"/>
    </xf>
    <xf numFmtId="0" fontId="3" fillId="0" borderId="0" xfId="0" applyFont="1" applyAlignment="1">
      <alignment wrapText="1"/>
    </xf>
    <xf numFmtId="0" fontId="51" fillId="0" borderId="0" xfId="3" applyFont="1" applyAlignment="1">
      <alignment horizontal="right"/>
    </xf>
    <xf numFmtId="0" fontId="0" fillId="14" borderId="0" xfId="0" applyFill="1"/>
    <xf numFmtId="0" fontId="0" fillId="14" borderId="0" xfId="0" applyFill="1" applyAlignment="1">
      <alignment wrapText="1"/>
    </xf>
    <xf numFmtId="0" fontId="33" fillId="0" borderId="0" xfId="0" applyFont="1" applyAlignment="1">
      <alignment horizontal="left" vertical="center"/>
    </xf>
    <xf numFmtId="0" fontId="8" fillId="0" borderId="0" xfId="0" applyFont="1" applyAlignment="1">
      <alignment horizontal="left" vertical="center"/>
    </xf>
    <xf numFmtId="0" fontId="3" fillId="0" borderId="0" xfId="0" applyFont="1" applyBorder="1" applyAlignment="1">
      <alignment horizontal="center" vertical="center"/>
    </xf>
    <xf numFmtId="0" fontId="3" fillId="0" borderId="0" xfId="0" applyFont="1" applyFill="1" applyBorder="1"/>
    <xf numFmtId="0" fontId="31" fillId="0" borderId="0" xfId="0" applyFont="1" applyAlignment="1">
      <alignment wrapText="1"/>
    </xf>
    <xf numFmtId="0" fontId="31" fillId="0" borderId="0" xfId="0" applyFont="1"/>
    <xf numFmtId="1" fontId="0" fillId="0" borderId="13" xfId="0" applyNumberFormat="1" applyFont="1" applyBorder="1" applyAlignment="1">
      <alignment horizontal="center"/>
    </xf>
    <xf numFmtId="165" fontId="0" fillId="0" borderId="13" xfId="0" applyNumberFormat="1" applyFont="1" applyBorder="1" applyAlignment="1">
      <alignment horizontal="center"/>
    </xf>
    <xf numFmtId="0" fontId="0" fillId="14" borderId="17" xfId="0" applyFont="1" applyFill="1" applyBorder="1"/>
    <xf numFmtId="0" fontId="2" fillId="14" borderId="17" xfId="0" applyFont="1" applyFill="1" applyBorder="1" applyAlignment="1">
      <alignment horizontal="right"/>
    </xf>
    <xf numFmtId="168" fontId="0" fillId="4" borderId="18" xfId="5" applyNumberFormat="1" applyFont="1" applyFill="1" applyBorder="1"/>
    <xf numFmtId="168" fontId="0" fillId="4" borderId="19" xfId="5" applyNumberFormat="1" applyFont="1" applyFill="1" applyBorder="1"/>
    <xf numFmtId="168" fontId="0" fillId="0" borderId="13" xfId="5" applyNumberFormat="1" applyFont="1" applyFill="1" applyBorder="1" applyAlignment="1">
      <alignment horizontal="center"/>
    </xf>
    <xf numFmtId="168" fontId="0" fillId="0" borderId="13" xfId="0" applyNumberFormat="1" applyFont="1" applyFill="1" applyBorder="1"/>
    <xf numFmtId="0" fontId="2" fillId="0" borderId="13" xfId="0" applyFont="1" applyFill="1" applyBorder="1" applyAlignment="1">
      <alignment horizontal="center"/>
    </xf>
    <xf numFmtId="0" fontId="0" fillId="0" borderId="0" xfId="0" applyFont="1" applyFill="1" applyBorder="1"/>
    <xf numFmtId="0" fontId="22" fillId="0" borderId="0" xfId="0" applyFont="1" applyFill="1" applyBorder="1" applyAlignment="1">
      <alignment horizontal="right" vertical="center"/>
    </xf>
    <xf numFmtId="0" fontId="0" fillId="0" borderId="14" xfId="0" applyFont="1" applyFill="1" applyBorder="1" applyAlignment="1">
      <alignment horizontal="right" vertical="center"/>
    </xf>
    <xf numFmtId="2" fontId="0" fillId="0" borderId="14" xfId="0" applyNumberFormat="1" applyFont="1" applyBorder="1"/>
    <xf numFmtId="0" fontId="0" fillId="0" borderId="13" xfId="0" applyFont="1" applyBorder="1" applyAlignment="1">
      <alignment horizontal="right" vertical="center"/>
    </xf>
    <xf numFmtId="0" fontId="0" fillId="0" borderId="0" xfId="0" applyFont="1" applyBorder="1" applyAlignment="1">
      <alignment horizontal="right" vertical="center"/>
    </xf>
    <xf numFmtId="0" fontId="6" fillId="3" borderId="42" xfId="0" applyFont="1" applyFill="1" applyBorder="1" applyProtection="1">
      <protection locked="0"/>
    </xf>
    <xf numFmtId="0" fontId="17" fillId="0" borderId="0" xfId="0" applyFont="1"/>
    <xf numFmtId="0" fontId="3" fillId="0" borderId="0" xfId="0" applyFont="1" applyFill="1" applyBorder="1" applyAlignment="1">
      <alignment horizontal="left" vertical="center"/>
    </xf>
    <xf numFmtId="0" fontId="3" fillId="0" borderId="0" xfId="0" applyFont="1" applyAlignment="1">
      <alignment vertical="center" wrapText="1"/>
    </xf>
    <xf numFmtId="3" fontId="17" fillId="2" borderId="0" xfId="0" applyNumberFormat="1" applyFont="1" applyFill="1" applyBorder="1" applyAlignment="1">
      <alignment horizontal="center"/>
    </xf>
    <xf numFmtId="3" fontId="0" fillId="2" borderId="0" xfId="0" applyNumberFormat="1" applyFont="1" applyFill="1" applyBorder="1" applyAlignment="1">
      <alignment horizontal="center"/>
    </xf>
    <xf numFmtId="0" fontId="5" fillId="0" borderId="0" xfId="0" applyFont="1" applyAlignment="1">
      <alignment horizontal="left"/>
    </xf>
    <xf numFmtId="0" fontId="3" fillId="0" borderId="0" xfId="0" applyFont="1" applyFill="1" applyAlignment="1">
      <alignment horizontal="left"/>
    </xf>
    <xf numFmtId="0" fontId="3" fillId="0" borderId="0" xfId="0" applyFont="1" applyAlignment="1">
      <alignment horizontal="left" vertical="center"/>
    </xf>
    <xf numFmtId="0" fontId="0" fillId="0" borderId="0" xfId="0" applyFont="1" applyFill="1" applyAlignment="1">
      <alignment horizontal="left"/>
    </xf>
    <xf numFmtId="0" fontId="0" fillId="0" borderId="0" xfId="0" applyFont="1" applyAlignment="1">
      <alignment horizontal="left"/>
    </xf>
    <xf numFmtId="0" fontId="53" fillId="0" borderId="2" xfId="0" applyFont="1" applyFill="1" applyBorder="1" applyAlignment="1">
      <alignment horizontal="left"/>
    </xf>
    <xf numFmtId="0" fontId="52" fillId="5" borderId="3" xfId="0" applyFont="1" applyFill="1" applyBorder="1" applyAlignment="1">
      <alignment horizontal="center" vertical="center"/>
    </xf>
    <xf numFmtId="0" fontId="52" fillId="5" borderId="4" xfId="0" applyFont="1" applyFill="1" applyBorder="1" applyAlignment="1">
      <alignment horizontal="center" vertical="center"/>
    </xf>
    <xf numFmtId="0" fontId="32" fillId="5" borderId="4" xfId="0" applyFont="1" applyFill="1" applyBorder="1" applyAlignment="1">
      <alignment horizontal="center" vertical="center" wrapText="1"/>
    </xf>
    <xf numFmtId="0" fontId="52" fillId="5" borderId="4" xfId="0" applyFont="1" applyFill="1" applyBorder="1" applyAlignment="1">
      <alignment horizontal="center" vertical="center" wrapText="1"/>
    </xf>
    <xf numFmtId="0" fontId="31" fillId="0" borderId="6" xfId="0" applyFont="1" applyFill="1" applyBorder="1" applyAlignment="1">
      <alignment horizontal="center" vertical="center" wrapText="1"/>
    </xf>
    <xf numFmtId="3" fontId="3" fillId="3" borderId="7" xfId="0" applyNumberFormat="1" applyFont="1" applyFill="1" applyBorder="1" applyAlignment="1" applyProtection="1">
      <alignment horizontal="center"/>
      <protection locked="0"/>
    </xf>
    <xf numFmtId="3" fontId="3" fillId="3" borderId="8" xfId="0" applyNumberFormat="1" applyFont="1" applyFill="1" applyBorder="1" applyAlignment="1" applyProtection="1">
      <alignment horizontal="center"/>
      <protection locked="0"/>
    </xf>
    <xf numFmtId="0" fontId="29" fillId="6" borderId="0" xfId="0" applyFont="1" applyFill="1" applyBorder="1" applyAlignment="1"/>
    <xf numFmtId="0" fontId="3" fillId="6" borderId="0" xfId="0" applyFont="1" applyFill="1" applyBorder="1" applyAlignment="1">
      <alignment horizontal="left"/>
    </xf>
    <xf numFmtId="0" fontId="0" fillId="6" borderId="0" xfId="0" applyFont="1" applyFill="1" applyBorder="1" applyAlignment="1">
      <alignment horizontal="left"/>
    </xf>
    <xf numFmtId="165" fontId="0" fillId="0" borderId="0" xfId="1" applyNumberFormat="1" applyFont="1" applyAlignment="1" applyProtection="1">
      <alignment horizontal="center"/>
      <protection locked="0"/>
    </xf>
    <xf numFmtId="0" fontId="0" fillId="0" borderId="0" xfId="0" applyFont="1" applyAlignment="1">
      <alignment vertical="center" wrapText="1"/>
    </xf>
    <xf numFmtId="9" fontId="3" fillId="3" borderId="1" xfId="1" applyFont="1" applyFill="1" applyBorder="1" applyAlignment="1" applyProtection="1">
      <alignment horizontal="center"/>
      <protection locked="0"/>
    </xf>
    <xf numFmtId="0" fontId="52" fillId="0" borderId="0" xfId="0" applyFont="1" applyFill="1" applyBorder="1" applyAlignment="1"/>
    <xf numFmtId="9" fontId="3" fillId="4" borderId="3" xfId="1" applyFont="1" applyFill="1" applyBorder="1" applyAlignment="1" applyProtection="1">
      <alignment horizontal="center"/>
    </xf>
    <xf numFmtId="1" fontId="3" fillId="4" borderId="0" xfId="1" applyNumberFormat="1" applyFont="1" applyFill="1" applyBorder="1" applyAlignment="1" applyProtection="1">
      <alignment horizontal="center"/>
    </xf>
    <xf numFmtId="3" fontId="3" fillId="3" borderId="3" xfId="0" applyNumberFormat="1" applyFont="1" applyFill="1" applyBorder="1" applyAlignment="1" applyProtection="1">
      <alignment horizontal="center"/>
      <protection locked="0"/>
    </xf>
    <xf numFmtId="0" fontId="29" fillId="6" borderId="0" xfId="2" applyFont="1" applyFill="1" applyBorder="1" applyAlignment="1">
      <alignment horizontal="center" vertical="center"/>
    </xf>
    <xf numFmtId="0" fontId="3" fillId="0" borderId="10" xfId="2" applyFont="1" applyBorder="1" applyAlignment="1">
      <alignment horizontal="center" vertical="center"/>
    </xf>
    <xf numFmtId="0" fontId="3" fillId="0" borderId="11" xfId="2" applyFont="1" applyBorder="1" applyAlignment="1">
      <alignment horizontal="center" vertical="center"/>
    </xf>
    <xf numFmtId="0" fontId="6" fillId="5" borderId="11" xfId="2" applyFont="1" applyFill="1" applyBorder="1" applyAlignment="1">
      <alignment horizontal="center" vertical="center"/>
    </xf>
    <xf numFmtId="0" fontId="3" fillId="0" borderId="12" xfId="2" applyFont="1" applyBorder="1" applyAlignment="1">
      <alignment horizontal="center" vertical="center"/>
    </xf>
    <xf numFmtId="0" fontId="6" fillId="5" borderId="13" xfId="2" applyFont="1" applyFill="1" applyBorder="1" applyAlignment="1">
      <alignment horizontal="center" vertical="center"/>
    </xf>
    <xf numFmtId="0" fontId="3" fillId="0" borderId="10" xfId="2" applyFont="1" applyBorder="1" applyAlignment="1">
      <alignment horizontal="left" vertical="center"/>
    </xf>
    <xf numFmtId="1" fontId="3" fillId="3" borderId="1" xfId="1" applyNumberFormat="1" applyFont="1" applyFill="1" applyBorder="1" applyAlignment="1" applyProtection="1">
      <alignment horizontal="center"/>
      <protection locked="0"/>
    </xf>
    <xf numFmtId="1" fontId="3" fillId="3" borderId="1" xfId="0" applyNumberFormat="1" applyFont="1" applyFill="1" applyBorder="1" applyAlignment="1" applyProtection="1">
      <alignment horizontal="center"/>
      <protection locked="0"/>
    </xf>
    <xf numFmtId="3" fontId="3" fillId="3" borderId="1" xfId="1" applyNumberFormat="1" applyFont="1" applyFill="1" applyBorder="1" applyAlignment="1" applyProtection="1">
      <alignment horizontal="center"/>
      <protection locked="0"/>
    </xf>
    <xf numFmtId="0" fontId="3" fillId="0" borderId="0" xfId="0" applyFont="1" applyFill="1" applyBorder="1" applyAlignment="1">
      <alignment horizontal="left"/>
    </xf>
    <xf numFmtId="0" fontId="0" fillId="0" borderId="0" xfId="0" applyFont="1" applyFill="1" applyBorder="1" applyAlignment="1">
      <alignment horizontal="left"/>
    </xf>
    <xf numFmtId="0" fontId="54" fillId="0" borderId="0" xfId="0" applyFont="1" applyAlignment="1">
      <alignment vertical="center"/>
    </xf>
    <xf numFmtId="0" fontId="3" fillId="0" borderId="0" xfId="0" applyFont="1" applyBorder="1" applyAlignment="1">
      <alignment horizontal="right" indent="1"/>
    </xf>
    <xf numFmtId="0" fontId="3" fillId="0" borderId="0" xfId="0" applyFont="1" applyFill="1" applyBorder="1" applyAlignment="1">
      <alignment horizontal="right" indent="1"/>
    </xf>
    <xf numFmtId="2" fontId="3" fillId="4" borderId="10" xfId="0" applyNumberFormat="1" applyFont="1" applyFill="1" applyBorder="1" applyAlignment="1">
      <alignment horizontal="center"/>
    </xf>
    <xf numFmtId="170" fontId="3" fillId="4" borderId="10" xfId="5" applyNumberFormat="1" applyFont="1" applyFill="1" applyBorder="1" applyAlignment="1">
      <alignment horizontal="center"/>
    </xf>
    <xf numFmtId="3" fontId="0" fillId="3" borderId="3" xfId="0" applyNumberFormat="1" applyFont="1" applyFill="1" applyBorder="1" applyAlignment="1" applyProtection="1">
      <alignment horizontal="left"/>
      <protection locked="0"/>
    </xf>
    <xf numFmtId="3" fontId="3" fillId="3" borderId="3" xfId="0" applyNumberFormat="1" applyFont="1" applyFill="1" applyBorder="1" applyAlignment="1" applyProtection="1">
      <alignment horizontal="left"/>
      <protection locked="0"/>
    </xf>
    <xf numFmtId="9" fontId="3" fillId="3" borderId="3" xfId="1" applyFont="1" applyFill="1" applyBorder="1" applyAlignment="1" applyProtection="1">
      <alignment horizontal="center"/>
      <protection locked="0"/>
    </xf>
    <xf numFmtId="0" fontId="55" fillId="0" borderId="0" xfId="0" applyFont="1" applyAlignment="1">
      <alignment vertical="center"/>
    </xf>
    <xf numFmtId="3" fontId="3" fillId="0" borderId="0" xfId="0" applyNumberFormat="1" applyFont="1" applyFill="1" applyBorder="1" applyAlignment="1" applyProtection="1">
      <alignment horizontal="center"/>
      <protection locked="0"/>
    </xf>
    <xf numFmtId="0" fontId="29" fillId="0" borderId="0" xfId="0" applyFont="1" applyFill="1" applyBorder="1" applyAlignment="1"/>
    <xf numFmtId="0" fontId="6" fillId="0" borderId="0" xfId="0" applyFont="1" applyFill="1" applyBorder="1" applyAlignment="1">
      <alignment horizontal="right"/>
    </xf>
    <xf numFmtId="3" fontId="3" fillId="3" borderId="1" xfId="0" applyNumberFormat="1" applyFont="1" applyFill="1" applyBorder="1" applyAlignment="1" applyProtection="1">
      <alignment horizontal="center" vertical="center"/>
      <protection locked="0"/>
    </xf>
    <xf numFmtId="166" fontId="3" fillId="3" borderId="1" xfId="0" applyNumberFormat="1" applyFont="1" applyFill="1" applyBorder="1" applyAlignment="1" applyProtection="1">
      <alignment horizontal="center" vertical="center"/>
      <protection locked="0"/>
    </xf>
    <xf numFmtId="0" fontId="5" fillId="0" borderId="0" xfId="0" applyFont="1" applyFill="1" applyBorder="1" applyAlignment="1">
      <alignment horizontal="right" indent="1"/>
    </xf>
    <xf numFmtId="9" fontId="3" fillId="3" borderId="9" xfId="1" applyFont="1" applyFill="1" applyBorder="1" applyAlignment="1" applyProtection="1">
      <alignment horizontal="center"/>
      <protection locked="0"/>
    </xf>
    <xf numFmtId="0" fontId="55" fillId="0" borderId="0" xfId="0" applyFont="1" applyAlignment="1">
      <alignment horizontal="right" vertical="center"/>
    </xf>
    <xf numFmtId="9" fontId="3" fillId="4" borderId="10" xfId="1" applyFont="1" applyFill="1" applyBorder="1" applyAlignment="1">
      <alignment horizontal="center"/>
    </xf>
    <xf numFmtId="9" fontId="3" fillId="4" borderId="10" xfId="1" applyNumberFormat="1" applyFont="1" applyFill="1" applyBorder="1" applyAlignment="1">
      <alignment horizontal="center"/>
    </xf>
    <xf numFmtId="167" fontId="3" fillId="3" borderId="45" xfId="0" applyNumberFormat="1" applyFont="1" applyFill="1" applyBorder="1" applyAlignment="1" applyProtection="1">
      <alignment horizontal="center"/>
      <protection locked="0"/>
    </xf>
    <xf numFmtId="166" fontId="3" fillId="3" borderId="1" xfId="0" applyNumberFormat="1" applyFont="1" applyFill="1" applyBorder="1" applyAlignment="1" applyProtection="1">
      <alignment horizontal="center"/>
      <protection locked="0"/>
    </xf>
    <xf numFmtId="169" fontId="3" fillId="3" borderId="1" xfId="1" applyNumberFormat="1" applyFont="1" applyFill="1" applyBorder="1" applyAlignment="1" applyProtection="1">
      <alignment horizontal="center"/>
      <protection locked="0"/>
    </xf>
    <xf numFmtId="169" fontId="3" fillId="4" borderId="9" xfId="1" applyNumberFormat="1" applyFont="1" applyFill="1" applyBorder="1" applyAlignment="1">
      <alignment horizontal="center"/>
    </xf>
    <xf numFmtId="165" fontId="3" fillId="4" borderId="10" xfId="0" applyNumberFormat="1" applyFont="1" applyFill="1" applyBorder="1" applyAlignment="1">
      <alignment horizontal="center"/>
    </xf>
    <xf numFmtId="0" fontId="16" fillId="7" borderId="0" xfId="0" applyFont="1" applyFill="1" applyBorder="1" applyAlignment="1">
      <alignment horizontal="center" vertical="center" wrapText="1"/>
    </xf>
    <xf numFmtId="0" fontId="16" fillId="20" borderId="0" xfId="0" applyFont="1" applyFill="1" applyBorder="1" applyAlignment="1">
      <alignment horizontal="center" vertical="center" wrapText="1"/>
    </xf>
    <xf numFmtId="0" fontId="3" fillId="0" borderId="0" xfId="0" applyFont="1" applyAlignment="1">
      <alignment vertical="center" wrapText="1"/>
    </xf>
    <xf numFmtId="4" fontId="3" fillId="3" borderId="1" xfId="0" applyNumberFormat="1" applyFont="1" applyFill="1" applyBorder="1" applyAlignment="1" applyProtection="1">
      <alignment horizontal="center"/>
      <protection locked="0"/>
    </xf>
    <xf numFmtId="0" fontId="50"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Font="1" applyAlignment="1">
      <alignment vertical="center" wrapText="1"/>
    </xf>
    <xf numFmtId="171" fontId="6" fillId="5" borderId="44" xfId="0" applyNumberFormat="1" applyFont="1" applyFill="1" applyBorder="1" applyAlignment="1" applyProtection="1">
      <alignment horizontal="left" vertical="top"/>
      <protection locked="0"/>
    </xf>
    <xf numFmtId="171" fontId="6" fillId="5" borderId="0" xfId="0" applyNumberFormat="1" applyFont="1" applyFill="1" applyBorder="1" applyAlignment="1" applyProtection="1">
      <alignment horizontal="left" vertical="top"/>
      <protection locked="0"/>
    </xf>
    <xf numFmtId="171" fontId="52" fillId="5" borderId="43" xfId="0" applyNumberFormat="1" applyFont="1" applyFill="1" applyBorder="1" applyAlignment="1" applyProtection="1">
      <alignment horizontal="left"/>
      <protection locked="0"/>
    </xf>
    <xf numFmtId="0" fontId="52" fillId="5" borderId="5" xfId="0" applyFont="1" applyFill="1" applyBorder="1" applyAlignment="1">
      <alignment horizontal="center" vertical="center" wrapText="1"/>
    </xf>
    <xf numFmtId="0" fontId="52" fillId="5" borderId="0" xfId="0" applyFont="1" applyFill="1" applyBorder="1" applyAlignment="1">
      <alignment horizontal="center" vertical="center" wrapText="1"/>
    </xf>
    <xf numFmtId="0" fontId="0" fillId="0" borderId="0" xfId="0" applyFont="1" applyAlignment="1">
      <alignment horizontal="left" vertical="top" wrapText="1"/>
    </xf>
  </cellXfs>
  <cellStyles count="6">
    <cellStyle name="Hipervínculo" xfId="3" builtinId="8"/>
    <cellStyle name="Millares" xfId="5" builtinId="3"/>
    <cellStyle name="Normal" xfId="0" builtinId="0"/>
    <cellStyle name="Normal 10" xfId="2"/>
    <cellStyle name="Normal 2" xfId="4"/>
    <cellStyle name="Porcentaje" xfId="1" builtinId="5"/>
  </cellStyles>
  <dxfs count="45">
    <dxf>
      <fill>
        <patternFill>
          <bgColor theme="0" tint="-4.9989318521683403E-2"/>
        </patternFill>
      </fill>
      <border>
        <left style="thin">
          <color theme="0"/>
        </left>
        <right style="thin">
          <color theme="0"/>
        </right>
        <top style="thin">
          <color theme="0"/>
        </top>
        <bottom style="thin">
          <color theme="0"/>
        </bottom>
      </border>
    </dxf>
    <dxf>
      <fill>
        <patternFill>
          <bgColor theme="0" tint="-4.9989318521683403E-2"/>
        </patternFill>
      </fill>
      <border>
        <left style="thin">
          <color theme="0"/>
        </left>
        <right style="thin">
          <color theme="0"/>
        </right>
        <top style="thin">
          <color theme="0"/>
        </top>
        <bottom style="thin">
          <color theme="0"/>
        </bottom>
      </border>
    </dxf>
    <dxf>
      <fill>
        <patternFill>
          <bgColor theme="0" tint="-4.9989318521683403E-2"/>
        </patternFill>
      </fill>
      <border>
        <left style="thin">
          <color theme="0"/>
        </left>
        <right style="thin">
          <color theme="0"/>
        </right>
        <top style="thin">
          <color theme="0"/>
        </top>
        <bottom style="thin">
          <color theme="0"/>
        </bottom>
      </border>
    </dxf>
    <dxf>
      <fill>
        <patternFill>
          <bgColor theme="0" tint="-4.9989318521683403E-2"/>
        </patternFill>
      </fill>
      <border>
        <left style="thin">
          <color theme="0"/>
        </left>
        <right style="thin">
          <color theme="0"/>
        </right>
        <top style="thin">
          <color theme="0"/>
        </top>
        <bottom style="thin">
          <color theme="0"/>
        </bottom>
      </border>
    </dxf>
    <dxf>
      <fill>
        <patternFill>
          <bgColor theme="0" tint="-4.9989318521683403E-2"/>
        </patternFill>
      </fill>
      <border>
        <left style="thin">
          <color theme="0"/>
        </left>
        <right style="thin">
          <color theme="0"/>
        </right>
        <top style="thin">
          <color theme="0"/>
        </top>
        <bottom style="thin">
          <color theme="0"/>
        </bottom>
      </border>
    </dxf>
    <dxf>
      <fill>
        <patternFill>
          <bgColor theme="0" tint="-4.9989318521683403E-2"/>
        </patternFill>
      </fill>
      <border>
        <left style="thin">
          <color theme="0"/>
        </left>
        <right style="thin">
          <color theme="0"/>
        </right>
        <top style="thin">
          <color theme="0"/>
        </top>
        <bottom style="thin">
          <color theme="0"/>
        </bottom>
      </border>
    </dxf>
    <dxf>
      <fill>
        <patternFill>
          <bgColor theme="0" tint="-4.9989318521683403E-2"/>
        </patternFill>
      </fill>
      <border>
        <left style="thin">
          <color theme="0"/>
        </left>
        <right style="thin">
          <color theme="0"/>
        </right>
        <top style="thin">
          <color theme="0"/>
        </top>
        <bottom style="thin">
          <color theme="0"/>
        </bottom>
      </border>
    </dxf>
    <dxf>
      <fill>
        <patternFill>
          <bgColor theme="0" tint="-4.9989318521683403E-2"/>
        </patternFill>
      </fill>
      <border>
        <left style="thin">
          <color theme="0"/>
        </left>
        <right style="thin">
          <color theme="0"/>
        </right>
        <top style="thin">
          <color theme="0"/>
        </top>
        <bottom style="thin">
          <color theme="0"/>
        </bottom>
      </border>
    </dxf>
    <dxf>
      <fill>
        <patternFill>
          <bgColor theme="0" tint="-4.9989318521683403E-2"/>
        </patternFill>
      </fill>
      <border>
        <left style="thin">
          <color theme="0"/>
        </left>
        <right style="thin">
          <color theme="0"/>
        </right>
        <top style="thin">
          <color theme="0"/>
        </top>
        <bottom style="thin">
          <color theme="0"/>
        </bottom>
      </border>
    </dxf>
    <dxf>
      <fill>
        <patternFill>
          <bgColor theme="0" tint="-4.9989318521683403E-2"/>
        </patternFill>
      </fill>
      <border>
        <left style="thin">
          <color theme="0"/>
        </left>
        <right style="thin">
          <color theme="0"/>
        </right>
        <top style="thin">
          <color theme="0"/>
        </top>
        <bottom style="thin">
          <color theme="0"/>
        </bottom>
      </border>
    </dxf>
    <dxf>
      <fill>
        <patternFill>
          <bgColor theme="0" tint="-4.9989318521683403E-2"/>
        </patternFill>
      </fill>
      <border>
        <left style="thin">
          <color theme="0"/>
        </left>
        <right style="thin">
          <color theme="0"/>
        </right>
        <top style="thin">
          <color theme="0"/>
        </top>
        <bottom style="thin">
          <color theme="0"/>
        </bottom>
      </border>
    </dxf>
    <dxf>
      <fill>
        <patternFill>
          <bgColor theme="0" tint="-4.9989318521683403E-2"/>
        </patternFill>
      </fill>
      <border>
        <left style="thin">
          <color theme="0"/>
        </left>
        <right style="thin">
          <color theme="0"/>
        </right>
        <top style="thin">
          <color theme="0"/>
        </top>
        <bottom style="thin">
          <color theme="0"/>
        </bottom>
      </border>
    </dxf>
    <dxf>
      <fill>
        <patternFill>
          <bgColor theme="0" tint="-4.9989318521683403E-2"/>
        </patternFill>
      </fill>
      <border>
        <left style="thin">
          <color theme="0"/>
        </left>
        <right style="thin">
          <color theme="0"/>
        </right>
        <top style="thin">
          <color theme="0"/>
        </top>
        <bottom style="thin">
          <color theme="0"/>
        </bottom>
      </border>
    </dxf>
    <dxf>
      <fill>
        <patternFill>
          <bgColor theme="0" tint="-4.9989318521683403E-2"/>
        </patternFill>
      </fill>
      <border>
        <left style="thin">
          <color theme="0"/>
        </left>
        <right style="thin">
          <color theme="0"/>
        </right>
        <top style="thin">
          <color theme="0"/>
        </top>
        <bottom style="thin">
          <color theme="0"/>
        </bottom>
      </border>
    </dxf>
    <dxf>
      <fill>
        <patternFill>
          <bgColor theme="0" tint="-4.9989318521683403E-2"/>
        </patternFill>
      </fill>
      <border>
        <left style="thin">
          <color theme="0"/>
        </left>
        <right style="thin">
          <color theme="0"/>
        </right>
        <top style="thin">
          <color theme="0"/>
        </top>
        <bottom style="thin">
          <color theme="0"/>
        </bottom>
      </border>
    </dxf>
    <dxf>
      <fill>
        <patternFill>
          <bgColor theme="0" tint="-4.9989318521683403E-2"/>
        </patternFill>
      </fill>
      <border>
        <left style="thin">
          <color theme="0"/>
        </left>
        <right style="thin">
          <color theme="0"/>
        </right>
        <top style="thin">
          <color theme="0"/>
        </top>
        <bottom style="thin">
          <color theme="0"/>
        </bottom>
      </border>
    </dxf>
    <dxf>
      <fill>
        <patternFill>
          <bgColor theme="0" tint="-4.9989318521683403E-2"/>
        </patternFill>
      </fill>
      <border>
        <left style="thin">
          <color theme="0"/>
        </left>
        <right style="thin">
          <color theme="0"/>
        </right>
        <top style="thin">
          <color theme="0"/>
        </top>
        <bottom style="thin">
          <color theme="0"/>
        </bottom>
      </border>
    </dxf>
    <dxf>
      <fill>
        <patternFill>
          <bgColor theme="0" tint="-4.9989318521683403E-2"/>
        </patternFill>
      </fill>
      <border>
        <left style="thin">
          <color theme="0"/>
        </left>
        <right style="thin">
          <color theme="0"/>
        </right>
        <top style="thin">
          <color theme="0"/>
        </top>
        <bottom style="thin">
          <color theme="0"/>
        </bottom>
      </border>
    </dxf>
    <dxf>
      <fill>
        <patternFill>
          <bgColor theme="0" tint="-4.9989318521683403E-2"/>
        </patternFill>
      </fill>
      <border>
        <left style="thin">
          <color theme="0"/>
        </left>
        <right style="thin">
          <color theme="0"/>
        </right>
        <top style="thin">
          <color theme="0"/>
        </top>
        <bottom style="thin">
          <color theme="0"/>
        </bottom>
      </border>
    </dxf>
    <dxf>
      <fill>
        <patternFill>
          <bgColor theme="0" tint="-4.9989318521683403E-2"/>
        </patternFill>
      </fill>
      <border>
        <left style="thin">
          <color theme="0"/>
        </left>
        <right style="thin">
          <color theme="0"/>
        </right>
        <top style="thin">
          <color theme="0"/>
        </top>
        <bottom style="thin">
          <color theme="0"/>
        </bottom>
      </border>
    </dxf>
    <dxf>
      <fill>
        <patternFill>
          <bgColor theme="0" tint="-4.9989318521683403E-2"/>
        </patternFill>
      </fill>
      <border>
        <left style="thin">
          <color theme="0"/>
        </left>
        <right style="thin">
          <color theme="0"/>
        </right>
        <top style="thin">
          <color theme="0"/>
        </top>
        <bottom style="thin">
          <color theme="0"/>
        </bottom>
      </border>
    </dxf>
    <dxf>
      <fill>
        <patternFill>
          <bgColor theme="0" tint="-4.9989318521683403E-2"/>
        </patternFill>
      </fill>
      <border>
        <left style="thin">
          <color theme="0"/>
        </left>
        <right style="thin">
          <color theme="0"/>
        </right>
        <top style="thin">
          <color theme="0"/>
        </top>
        <bottom style="thin">
          <color theme="0"/>
        </bottom>
      </border>
    </dxf>
    <dxf>
      <fill>
        <patternFill>
          <bgColor theme="0" tint="-4.9989318521683403E-2"/>
        </patternFill>
      </fill>
      <border>
        <left style="thin">
          <color theme="0"/>
        </left>
        <right style="thin">
          <color theme="0"/>
        </right>
        <top style="thin">
          <color theme="0"/>
        </top>
        <bottom style="thin">
          <color theme="0"/>
        </bottom>
      </border>
    </dxf>
    <dxf>
      <fill>
        <patternFill>
          <bgColor theme="0" tint="-4.9989318521683403E-2"/>
        </patternFill>
      </fill>
      <border>
        <left style="thin">
          <color theme="0"/>
        </left>
        <right style="thin">
          <color theme="0"/>
        </right>
        <top style="thin">
          <color theme="0"/>
        </top>
        <bottom style="thin">
          <color theme="0"/>
        </bottom>
      </border>
    </dxf>
    <dxf>
      <fill>
        <patternFill>
          <bgColor theme="0" tint="-4.9989318521683403E-2"/>
        </patternFill>
      </fill>
      <border>
        <left style="thin">
          <color theme="0"/>
        </left>
        <right style="thin">
          <color theme="0"/>
        </right>
        <top style="thin">
          <color theme="0"/>
        </top>
        <bottom style="thin">
          <color theme="0"/>
        </bottom>
      </border>
    </dxf>
    <dxf>
      <fill>
        <patternFill>
          <bgColor theme="0" tint="-4.9989318521683403E-2"/>
        </patternFill>
      </fill>
      <border>
        <left style="thin">
          <color theme="0"/>
        </left>
        <right style="thin">
          <color theme="0"/>
        </right>
        <top style="thin">
          <color theme="0"/>
        </top>
        <bottom style="thin">
          <color theme="0"/>
        </bottom>
      </border>
    </dxf>
    <dxf>
      <fill>
        <patternFill>
          <bgColor theme="0" tint="-4.9989318521683403E-2"/>
        </patternFill>
      </fill>
      <border>
        <left style="thin">
          <color theme="0"/>
        </left>
        <right style="thin">
          <color theme="0"/>
        </right>
        <top style="thin">
          <color theme="0"/>
        </top>
        <bottom style="thin">
          <color theme="0"/>
        </bottom>
      </border>
    </dxf>
    <dxf>
      <fill>
        <patternFill>
          <bgColor theme="0" tint="-4.9989318521683403E-2"/>
        </patternFill>
      </fill>
      <border>
        <left style="thin">
          <color theme="0"/>
        </left>
        <right style="thin">
          <color theme="0"/>
        </right>
        <top style="thin">
          <color theme="0"/>
        </top>
        <bottom style="thin">
          <color theme="0"/>
        </bottom>
      </border>
    </dxf>
    <dxf>
      <fill>
        <patternFill>
          <bgColor theme="0" tint="-4.9989318521683403E-2"/>
        </patternFill>
      </fill>
      <border>
        <left style="thin">
          <color theme="0"/>
        </left>
        <right style="thin">
          <color theme="0"/>
        </right>
        <top style="thin">
          <color theme="0"/>
        </top>
        <bottom style="thin">
          <color theme="0"/>
        </bottom>
      </border>
    </dxf>
    <dxf>
      <fill>
        <patternFill>
          <bgColor theme="0" tint="-4.9989318521683403E-2"/>
        </patternFill>
      </fill>
      <border>
        <left style="thin">
          <color theme="0"/>
        </left>
        <right style="thin">
          <color theme="0"/>
        </right>
        <top style="thin">
          <color theme="0"/>
        </top>
        <bottom style="thin">
          <color theme="0"/>
        </bottom>
      </border>
    </dxf>
    <dxf>
      <fill>
        <patternFill>
          <bgColor theme="0" tint="-4.9989318521683403E-2"/>
        </patternFill>
      </fill>
      <border>
        <left style="thin">
          <color theme="0"/>
        </left>
        <right style="thin">
          <color theme="0"/>
        </right>
        <top style="thin">
          <color theme="0"/>
        </top>
        <bottom style="thin">
          <color theme="0"/>
        </bottom>
      </border>
    </dxf>
    <dxf>
      <fill>
        <patternFill>
          <bgColor theme="0" tint="-4.9989318521683403E-2"/>
        </patternFill>
      </fill>
      <border>
        <left style="thin">
          <color theme="0"/>
        </left>
        <right style="thin">
          <color theme="0"/>
        </right>
        <top style="thin">
          <color theme="0"/>
        </top>
        <bottom style="thin">
          <color theme="0"/>
        </bottom>
      </border>
    </dxf>
    <dxf>
      <fill>
        <patternFill>
          <bgColor theme="0" tint="-4.9989318521683403E-2"/>
        </patternFill>
      </fill>
      <border>
        <left style="thin">
          <color theme="0"/>
        </left>
        <right style="thin">
          <color theme="0"/>
        </right>
        <top style="thin">
          <color theme="0"/>
        </top>
        <bottom style="thin">
          <color theme="0"/>
        </bottom>
      </border>
    </dxf>
    <dxf>
      <fill>
        <patternFill>
          <bgColor theme="0" tint="-4.9989318521683403E-2"/>
        </patternFill>
      </fill>
      <border>
        <left style="thin">
          <color theme="0"/>
        </left>
        <right style="thin">
          <color theme="0"/>
        </right>
        <top style="thin">
          <color theme="0"/>
        </top>
        <bottom style="thin">
          <color theme="0"/>
        </bottom>
      </border>
    </dxf>
    <dxf>
      <fill>
        <patternFill>
          <bgColor theme="0" tint="-4.9989318521683403E-2"/>
        </patternFill>
      </fill>
      <border>
        <left style="thin">
          <color theme="0"/>
        </left>
        <right style="thin">
          <color theme="0"/>
        </right>
        <top style="thin">
          <color theme="0"/>
        </top>
        <bottom style="thin">
          <color theme="0"/>
        </bottom>
      </border>
    </dxf>
    <dxf>
      <fill>
        <patternFill>
          <bgColor theme="0" tint="-4.9989318521683403E-2"/>
        </patternFill>
      </fill>
      <border>
        <left style="thin">
          <color theme="0"/>
        </left>
        <right style="thin">
          <color theme="0"/>
        </right>
        <top style="thin">
          <color theme="0"/>
        </top>
        <bottom style="thin">
          <color theme="0"/>
        </bottom>
      </border>
    </dxf>
    <dxf>
      <fill>
        <patternFill>
          <bgColor theme="0" tint="-4.9989318521683403E-2"/>
        </patternFill>
      </fill>
      <border>
        <left style="thin">
          <color theme="0"/>
        </left>
        <right style="thin">
          <color theme="0"/>
        </right>
        <top style="thin">
          <color theme="0"/>
        </top>
        <bottom style="thin">
          <color theme="0"/>
        </bottom>
      </border>
    </dxf>
    <dxf>
      <fill>
        <patternFill>
          <bgColor theme="0" tint="-4.9989318521683403E-2"/>
        </patternFill>
      </fill>
      <border>
        <left style="thin">
          <color theme="0"/>
        </left>
        <right style="thin">
          <color theme="0"/>
        </right>
        <top style="thin">
          <color theme="0"/>
        </top>
        <bottom style="thin">
          <color theme="0"/>
        </bottom>
      </border>
    </dxf>
    <dxf>
      <fill>
        <patternFill>
          <bgColor theme="0" tint="-4.9989318521683403E-2"/>
        </patternFill>
      </fill>
      <border>
        <left style="thin">
          <color theme="0"/>
        </left>
        <right style="thin">
          <color theme="0"/>
        </right>
        <top style="thin">
          <color theme="0"/>
        </top>
        <bottom style="thin">
          <color theme="0"/>
        </bottom>
      </border>
    </dxf>
    <dxf>
      <fill>
        <patternFill>
          <bgColor theme="0" tint="-4.9989318521683403E-2"/>
        </patternFill>
      </fill>
      <border>
        <left style="thin">
          <color theme="0"/>
        </left>
        <right style="thin">
          <color theme="0"/>
        </right>
        <top style="thin">
          <color theme="0"/>
        </top>
        <bottom style="thin">
          <color theme="0"/>
        </bottom>
      </border>
    </dxf>
    <dxf>
      <fill>
        <patternFill>
          <bgColor theme="0" tint="-4.9989318521683403E-2"/>
        </patternFill>
      </fill>
      <border>
        <left style="thin">
          <color theme="0"/>
        </left>
        <right style="thin">
          <color theme="0"/>
        </right>
        <top style="thin">
          <color theme="0"/>
        </top>
        <bottom style="thin">
          <color theme="0"/>
        </bottom>
      </border>
    </dxf>
    <dxf>
      <fill>
        <patternFill>
          <bgColor theme="0" tint="-4.9989318521683403E-2"/>
        </patternFill>
      </fill>
      <border>
        <left style="thin">
          <color theme="0"/>
        </left>
        <right style="thin">
          <color theme="0"/>
        </right>
        <top style="thin">
          <color theme="0"/>
        </top>
        <bottom style="thin">
          <color theme="0"/>
        </bottom>
      </border>
    </dxf>
    <dxf>
      <fill>
        <patternFill>
          <bgColor theme="0" tint="-4.9989318521683403E-2"/>
        </patternFill>
      </fill>
      <border>
        <left style="thin">
          <color theme="0"/>
        </left>
        <right style="thin">
          <color theme="0"/>
        </right>
        <top style="thin">
          <color theme="0"/>
        </top>
        <bottom style="thin">
          <color theme="0"/>
        </bottom>
      </border>
    </dxf>
    <dxf>
      <fill>
        <patternFill>
          <bgColor theme="0" tint="-4.9989318521683403E-2"/>
        </patternFill>
      </fill>
      <border>
        <left style="thin">
          <color theme="0"/>
        </left>
        <right style="thin">
          <color theme="0"/>
        </right>
        <top style="thin">
          <color theme="0"/>
        </top>
        <bottom style="thin">
          <color theme="0"/>
        </bottom>
      </border>
    </dxf>
    <dxf>
      <fill>
        <patternFill>
          <bgColor theme="0" tint="-4.9989318521683403E-2"/>
        </patternFill>
      </fill>
      <border>
        <left style="thin">
          <color theme="0"/>
        </left>
        <right style="thin">
          <color theme="0"/>
        </right>
        <top style="thin">
          <color theme="0"/>
        </top>
        <bottom style="thin">
          <color theme="0"/>
        </bottom>
      </border>
    </dxf>
  </dxfs>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27.xml.rels><?xml version="1.0" encoding="UTF-8" standalone="yes"?>
<Relationships xmlns="http://schemas.openxmlformats.org/package/2006/relationships"><Relationship Id="rId1" Type="http://schemas.openxmlformats.org/officeDocument/2006/relationships/chartUserShapes" Target="../drawings/drawing18.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263325971194925"/>
          <c:y val="0.14227685185185185"/>
          <c:w val="0.87438055555555561"/>
          <c:h val="0.50136150793650791"/>
        </c:manualLayout>
      </c:layout>
      <c:barChart>
        <c:barDir val="col"/>
        <c:grouping val="clustered"/>
        <c:varyColors val="0"/>
        <c:ser>
          <c:idx val="0"/>
          <c:order val="0"/>
          <c:tx>
            <c:strRef>
              <c:f>Gráficos!$E$13</c:f>
              <c:strCache>
                <c:ptCount val="1"/>
                <c:pt idx="0">
                  <c:v>% de establecimientos</c:v>
                </c:pt>
              </c:strCache>
            </c:strRef>
          </c:tx>
          <c:invertIfNegative val="0"/>
          <c:dLbls>
            <c:spPr>
              <a:noFill/>
              <a:ln>
                <a:noFill/>
              </a:ln>
              <a:effectLst/>
            </c:sp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0"/>
              </c:ext>
            </c:extLst>
          </c:dLbls>
          <c:cat>
            <c:strRef>
              <c:f>Gráficos!$C$14:$C$22</c:f>
              <c:strCache>
                <c:ptCount val="9"/>
                <c:pt idx="0">
                  <c:v>Cría</c:v>
                </c:pt>
                <c:pt idx="1">
                  <c:v>Recría</c:v>
                </c:pt>
                <c:pt idx="2">
                  <c:v>Cría + Recría</c:v>
                </c:pt>
                <c:pt idx="3">
                  <c:v>CC</c:v>
                </c:pt>
                <c:pt idx="4">
                  <c:v>CC + Inv. De Compra</c:v>
                </c:pt>
                <c:pt idx="5">
                  <c:v>Invernada de Compra</c:v>
                </c:pt>
                <c:pt idx="6">
                  <c:v>Feedlot</c:v>
                </c:pt>
                <c:pt idx="7">
                  <c:v>Cabaña</c:v>
                </c:pt>
                <c:pt idx="8">
                  <c:v>Otro</c:v>
                </c:pt>
              </c:strCache>
            </c:strRef>
          </c:cat>
          <c:val>
            <c:numRef>
              <c:f>Gráficos!$E$14:$E$22</c:f>
              <c:numCache>
                <c:formatCode>0%</c:formatCode>
                <c:ptCount val="9"/>
                <c:pt idx="0">
                  <c:v>0</c:v>
                </c:pt>
                <c:pt idx="1">
                  <c:v>0</c:v>
                </c:pt>
                <c:pt idx="2">
                  <c:v>0</c:v>
                </c:pt>
                <c:pt idx="3">
                  <c:v>0</c:v>
                </c:pt>
                <c:pt idx="4">
                  <c:v>0</c:v>
                </c:pt>
                <c:pt idx="5">
                  <c:v>0</c:v>
                </c:pt>
                <c:pt idx="6">
                  <c:v>0</c:v>
                </c:pt>
                <c:pt idx="7">
                  <c:v>0</c:v>
                </c:pt>
                <c:pt idx="8">
                  <c:v>0</c:v>
                </c:pt>
              </c:numCache>
            </c:numRef>
          </c:val>
          <c:extLst xmlns:c16r2="http://schemas.microsoft.com/office/drawing/2015/06/chart">
            <c:ext xmlns:c16="http://schemas.microsoft.com/office/drawing/2014/chart" uri="{C3380CC4-5D6E-409C-BE32-E72D297353CC}">
              <c16:uniqueId val="{00000000-86D6-462B-891E-6F772898F39F}"/>
            </c:ext>
          </c:extLst>
        </c:ser>
        <c:dLbls>
          <c:showLegendKey val="0"/>
          <c:showVal val="0"/>
          <c:showCatName val="0"/>
          <c:showSerName val="0"/>
          <c:showPercent val="0"/>
          <c:showBubbleSize val="0"/>
        </c:dLbls>
        <c:gapWidth val="150"/>
        <c:axId val="870841392"/>
        <c:axId val="870830512"/>
      </c:barChart>
      <c:catAx>
        <c:axId val="870841392"/>
        <c:scaling>
          <c:orientation val="minMax"/>
        </c:scaling>
        <c:delete val="0"/>
        <c:axPos val="b"/>
        <c:numFmt formatCode="General" sourceLinked="0"/>
        <c:majorTickMark val="out"/>
        <c:minorTickMark val="none"/>
        <c:tickLblPos val="nextTo"/>
        <c:txPr>
          <a:bodyPr rot="-5400000" vert="horz"/>
          <a:lstStyle/>
          <a:p>
            <a:pPr>
              <a:defRPr/>
            </a:pPr>
            <a:endParaRPr lang="es-AR"/>
          </a:p>
        </c:txPr>
        <c:crossAx val="870830512"/>
        <c:crosses val="autoZero"/>
        <c:auto val="1"/>
        <c:lblAlgn val="ctr"/>
        <c:lblOffset val="100"/>
        <c:noMultiLvlLbl val="0"/>
      </c:catAx>
      <c:valAx>
        <c:axId val="870830512"/>
        <c:scaling>
          <c:orientation val="minMax"/>
        </c:scaling>
        <c:delete val="0"/>
        <c:axPos val="l"/>
        <c:majorGridlines>
          <c:spPr>
            <a:ln>
              <a:solidFill>
                <a:schemeClr val="bg1">
                  <a:lumMod val="85000"/>
                </a:schemeClr>
              </a:solidFill>
              <a:prstDash val="sysDot"/>
            </a:ln>
          </c:spPr>
        </c:majorGridlines>
        <c:numFmt formatCode="0%" sourceLinked="1"/>
        <c:majorTickMark val="out"/>
        <c:minorTickMark val="none"/>
        <c:tickLblPos val="nextTo"/>
        <c:crossAx val="870841392"/>
        <c:crosses val="autoZero"/>
        <c:crossBetween val="between"/>
      </c:valAx>
    </c:plotArea>
    <c:legend>
      <c:legendPos val="t"/>
      <c:layout>
        <c:manualLayout>
          <c:xMode val="edge"/>
          <c:yMode val="edge"/>
          <c:x val="0.23211890241074065"/>
          <c:y val="7.8872775291090134E-3"/>
          <c:w val="0.54311874999999998"/>
          <c:h val="0.10144658119658119"/>
        </c:manualLayout>
      </c:layout>
      <c:overlay val="0"/>
    </c:legend>
    <c:plotVisOnly val="1"/>
    <c:dispBlanksAs val="gap"/>
    <c:showDLblsOverMax val="0"/>
  </c:chart>
  <c:spPr>
    <a:ln>
      <a:solidFill>
        <a:schemeClr val="bg1">
          <a:lumMod val="65000"/>
        </a:schemeClr>
      </a:solidFill>
    </a:ln>
  </c:spPr>
  <c:txPr>
    <a:bodyPr/>
    <a:lstStyle/>
    <a:p>
      <a:pPr>
        <a:defRPr sz="1050"/>
      </a:pPr>
      <a:endParaRPr lang="es-A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893726851851852"/>
          <c:y val="0.20825277777777779"/>
          <c:w val="0.86038030303030288"/>
          <c:h val="0.47001706349206357"/>
        </c:manualLayout>
      </c:layout>
      <c:barChart>
        <c:barDir val="col"/>
        <c:grouping val="stacked"/>
        <c:varyColors val="0"/>
        <c:ser>
          <c:idx val="0"/>
          <c:order val="0"/>
          <c:tx>
            <c:strRef>
              <c:f>Gráficos!$I$22</c:f>
              <c:strCache>
                <c:ptCount val="1"/>
                <c:pt idx="0">
                  <c:v>Superficie con aptitud ganadera</c:v>
                </c:pt>
              </c:strCache>
            </c:strRef>
          </c:tx>
          <c:spPr>
            <a:solidFill>
              <a:srgbClr val="FFC000"/>
            </a:solidFill>
          </c:spPr>
          <c:invertIfNegative val="0"/>
          <c:cat>
            <c:strRef>
              <c:f>Gráficos!$J$14:$R$14</c:f>
              <c:strCache>
                <c:ptCount val="9"/>
                <c:pt idx="0">
                  <c:v>Cría</c:v>
                </c:pt>
                <c:pt idx="1">
                  <c:v>Recría</c:v>
                </c:pt>
                <c:pt idx="2">
                  <c:v>Cría + Recría</c:v>
                </c:pt>
                <c:pt idx="3">
                  <c:v>CC</c:v>
                </c:pt>
                <c:pt idx="4">
                  <c:v>CC + Inv. De Compra</c:v>
                </c:pt>
                <c:pt idx="5">
                  <c:v>Invernada de Compra</c:v>
                </c:pt>
                <c:pt idx="6">
                  <c:v>Feedlot</c:v>
                </c:pt>
                <c:pt idx="7">
                  <c:v>Cabaña</c:v>
                </c:pt>
                <c:pt idx="8">
                  <c:v>Otro</c:v>
                </c:pt>
              </c:strCache>
            </c:strRef>
          </c:cat>
          <c:val>
            <c:numRef>
              <c:f>Gráficos!$J$22:$R$22</c:f>
              <c:numCache>
                <c:formatCode>0</c:formatCode>
                <c:ptCount val="9"/>
                <c:pt idx="0">
                  <c:v>0</c:v>
                </c:pt>
                <c:pt idx="1">
                  <c:v>0</c:v>
                </c:pt>
                <c:pt idx="2">
                  <c:v>0</c:v>
                </c:pt>
                <c:pt idx="3">
                  <c:v>0</c:v>
                </c:pt>
                <c:pt idx="4">
                  <c:v>0</c:v>
                </c:pt>
                <c:pt idx="5">
                  <c:v>0</c:v>
                </c:pt>
                <c:pt idx="6">
                  <c:v>0</c:v>
                </c:pt>
                <c:pt idx="7">
                  <c:v>0</c:v>
                </c:pt>
                <c:pt idx="8">
                  <c:v>0</c:v>
                </c:pt>
              </c:numCache>
            </c:numRef>
          </c:val>
          <c:extLst xmlns:c16r2="http://schemas.microsoft.com/office/drawing/2015/06/chart">
            <c:ext xmlns:c16="http://schemas.microsoft.com/office/drawing/2014/chart" uri="{C3380CC4-5D6E-409C-BE32-E72D297353CC}">
              <c16:uniqueId val="{00000000-0CF5-4083-B7DC-3B0AF53D86A5}"/>
            </c:ext>
          </c:extLst>
        </c:ser>
        <c:ser>
          <c:idx val="1"/>
          <c:order val="1"/>
          <c:tx>
            <c:strRef>
              <c:f>Gráficos!$I$21</c:f>
              <c:strCache>
                <c:ptCount val="1"/>
                <c:pt idx="0">
                  <c:v>Superfice con aptitud agrícola</c:v>
                </c:pt>
              </c:strCache>
            </c:strRef>
          </c:tx>
          <c:spPr>
            <a:solidFill>
              <a:schemeClr val="accent3"/>
            </a:solidFill>
          </c:spPr>
          <c:invertIfNegative val="0"/>
          <c:cat>
            <c:strRef>
              <c:f>Gráficos!$J$14:$R$14</c:f>
              <c:strCache>
                <c:ptCount val="9"/>
                <c:pt idx="0">
                  <c:v>Cría</c:v>
                </c:pt>
                <c:pt idx="1">
                  <c:v>Recría</c:v>
                </c:pt>
                <c:pt idx="2">
                  <c:v>Cría + Recría</c:v>
                </c:pt>
                <c:pt idx="3">
                  <c:v>CC</c:v>
                </c:pt>
                <c:pt idx="4">
                  <c:v>CC + Inv. De Compra</c:v>
                </c:pt>
                <c:pt idx="5">
                  <c:v>Invernada de Compra</c:v>
                </c:pt>
                <c:pt idx="6">
                  <c:v>Feedlot</c:v>
                </c:pt>
                <c:pt idx="7">
                  <c:v>Cabaña</c:v>
                </c:pt>
                <c:pt idx="8">
                  <c:v>Otro</c:v>
                </c:pt>
              </c:strCache>
            </c:strRef>
          </c:cat>
          <c:val>
            <c:numRef>
              <c:f>Gráficos!$J$21:$R$21</c:f>
              <c:numCache>
                <c:formatCode>General</c:formatCode>
                <c:ptCount val="9"/>
                <c:pt idx="0">
                  <c:v>0</c:v>
                </c:pt>
                <c:pt idx="1">
                  <c:v>0</c:v>
                </c:pt>
                <c:pt idx="2">
                  <c:v>0</c:v>
                </c:pt>
                <c:pt idx="3">
                  <c:v>0</c:v>
                </c:pt>
                <c:pt idx="4">
                  <c:v>0</c:v>
                </c:pt>
                <c:pt idx="5">
                  <c:v>0</c:v>
                </c:pt>
                <c:pt idx="6">
                  <c:v>0</c:v>
                </c:pt>
                <c:pt idx="7">
                  <c:v>0</c:v>
                </c:pt>
                <c:pt idx="8">
                  <c:v>0</c:v>
                </c:pt>
              </c:numCache>
            </c:numRef>
          </c:val>
          <c:extLst xmlns:c16r2="http://schemas.microsoft.com/office/drawing/2015/06/chart">
            <c:ext xmlns:c16="http://schemas.microsoft.com/office/drawing/2014/chart" uri="{C3380CC4-5D6E-409C-BE32-E72D297353CC}">
              <c16:uniqueId val="{00000001-0CF5-4083-B7DC-3B0AF53D86A5}"/>
            </c:ext>
          </c:extLst>
        </c:ser>
        <c:dLbls>
          <c:showLegendKey val="0"/>
          <c:showVal val="0"/>
          <c:showCatName val="0"/>
          <c:showSerName val="0"/>
          <c:showPercent val="0"/>
          <c:showBubbleSize val="0"/>
        </c:dLbls>
        <c:gapWidth val="150"/>
        <c:overlap val="100"/>
        <c:axId val="870828336"/>
        <c:axId val="870831056"/>
      </c:barChart>
      <c:catAx>
        <c:axId val="870828336"/>
        <c:scaling>
          <c:orientation val="minMax"/>
        </c:scaling>
        <c:delete val="0"/>
        <c:axPos val="b"/>
        <c:numFmt formatCode="General" sourceLinked="0"/>
        <c:majorTickMark val="out"/>
        <c:minorTickMark val="none"/>
        <c:tickLblPos val="nextTo"/>
        <c:txPr>
          <a:bodyPr rot="-5400000" vert="horz"/>
          <a:lstStyle/>
          <a:p>
            <a:pPr>
              <a:defRPr/>
            </a:pPr>
            <a:endParaRPr lang="es-AR"/>
          </a:p>
        </c:txPr>
        <c:crossAx val="870831056"/>
        <c:crosses val="autoZero"/>
        <c:auto val="1"/>
        <c:lblAlgn val="ctr"/>
        <c:lblOffset val="100"/>
        <c:noMultiLvlLbl val="0"/>
      </c:catAx>
      <c:valAx>
        <c:axId val="870831056"/>
        <c:scaling>
          <c:orientation val="minMax"/>
        </c:scaling>
        <c:delete val="0"/>
        <c:axPos val="l"/>
        <c:majorGridlines>
          <c:spPr>
            <a:ln>
              <a:solidFill>
                <a:schemeClr val="bg1">
                  <a:lumMod val="85000"/>
                </a:schemeClr>
              </a:solidFill>
              <a:prstDash val="sysDot"/>
            </a:ln>
          </c:spPr>
        </c:majorGridlines>
        <c:title>
          <c:tx>
            <c:rich>
              <a:bodyPr rot="0" vert="horz"/>
              <a:lstStyle/>
              <a:p>
                <a:pPr>
                  <a:defRPr/>
                </a:pPr>
                <a:r>
                  <a:rPr lang="es-AR"/>
                  <a:t>Ha promedio</a:t>
                </a:r>
              </a:p>
            </c:rich>
          </c:tx>
          <c:layout>
            <c:manualLayout>
              <c:xMode val="edge"/>
              <c:yMode val="edge"/>
              <c:x val="0"/>
              <c:y val="6.5015515912831529E-2"/>
            </c:manualLayout>
          </c:layout>
          <c:overlay val="0"/>
        </c:title>
        <c:numFmt formatCode="0" sourceLinked="1"/>
        <c:majorTickMark val="out"/>
        <c:minorTickMark val="none"/>
        <c:tickLblPos val="nextTo"/>
        <c:crossAx val="870828336"/>
        <c:crosses val="autoZero"/>
        <c:crossBetween val="between"/>
      </c:valAx>
    </c:plotArea>
    <c:legend>
      <c:legendPos val="t"/>
      <c:layout>
        <c:manualLayout>
          <c:xMode val="edge"/>
          <c:yMode val="edge"/>
          <c:x val="0.19111111111111112"/>
          <c:y val="3.0238095238095238E-2"/>
          <c:w val="0.75888888888888884"/>
          <c:h val="0.14152896825396824"/>
        </c:manualLayout>
      </c:layout>
      <c:overlay val="0"/>
    </c:legend>
    <c:plotVisOnly val="1"/>
    <c:dispBlanksAs val="gap"/>
    <c:showDLblsOverMax val="0"/>
  </c:chart>
  <c:spPr>
    <a:ln>
      <a:solidFill>
        <a:schemeClr val="bg1">
          <a:lumMod val="65000"/>
        </a:schemeClr>
      </a:solid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599745370370368"/>
          <c:y val="0.20231563068169917"/>
          <c:w val="0.86492361111111105"/>
          <c:h val="0.47595402106191076"/>
        </c:manualLayout>
      </c:layout>
      <c:barChart>
        <c:barDir val="col"/>
        <c:grouping val="stacked"/>
        <c:varyColors val="0"/>
        <c:ser>
          <c:idx val="0"/>
          <c:order val="0"/>
          <c:tx>
            <c:strRef>
              <c:f>Gráficos!$I$17</c:f>
              <c:strCache>
                <c:ptCount val="1"/>
                <c:pt idx="0">
                  <c:v>Superficie en ganadería</c:v>
                </c:pt>
              </c:strCache>
            </c:strRef>
          </c:tx>
          <c:spPr>
            <a:solidFill>
              <a:schemeClr val="accent6"/>
            </a:solidFill>
          </c:spPr>
          <c:invertIfNegative val="0"/>
          <c:cat>
            <c:strRef>
              <c:f>Gráficos!$J$14:$R$14</c:f>
              <c:strCache>
                <c:ptCount val="9"/>
                <c:pt idx="0">
                  <c:v>Cría</c:v>
                </c:pt>
                <c:pt idx="1">
                  <c:v>Recría</c:v>
                </c:pt>
                <c:pt idx="2">
                  <c:v>Cría + Recría</c:v>
                </c:pt>
                <c:pt idx="3">
                  <c:v>CC</c:v>
                </c:pt>
                <c:pt idx="4">
                  <c:v>CC + Inv. De Compra</c:v>
                </c:pt>
                <c:pt idx="5">
                  <c:v>Invernada de Compra</c:v>
                </c:pt>
                <c:pt idx="6">
                  <c:v>Feedlot</c:v>
                </c:pt>
                <c:pt idx="7">
                  <c:v>Cabaña</c:v>
                </c:pt>
                <c:pt idx="8">
                  <c:v>Otro</c:v>
                </c:pt>
              </c:strCache>
            </c:strRef>
          </c:cat>
          <c:val>
            <c:numRef>
              <c:f>Gráficos!$J$17:$R$17</c:f>
              <c:numCache>
                <c:formatCode>0</c:formatCode>
                <c:ptCount val="9"/>
                <c:pt idx="0">
                  <c:v>0</c:v>
                </c:pt>
                <c:pt idx="1">
                  <c:v>0</c:v>
                </c:pt>
                <c:pt idx="2">
                  <c:v>0</c:v>
                </c:pt>
                <c:pt idx="3">
                  <c:v>0</c:v>
                </c:pt>
                <c:pt idx="4">
                  <c:v>0</c:v>
                </c:pt>
                <c:pt idx="5">
                  <c:v>0</c:v>
                </c:pt>
                <c:pt idx="6">
                  <c:v>0</c:v>
                </c:pt>
                <c:pt idx="7">
                  <c:v>0</c:v>
                </c:pt>
                <c:pt idx="8">
                  <c:v>0</c:v>
                </c:pt>
              </c:numCache>
            </c:numRef>
          </c:val>
          <c:extLst xmlns:c16r2="http://schemas.microsoft.com/office/drawing/2015/06/chart">
            <c:ext xmlns:c16="http://schemas.microsoft.com/office/drawing/2014/chart" uri="{C3380CC4-5D6E-409C-BE32-E72D297353CC}">
              <c16:uniqueId val="{00000000-B84E-412E-AAC8-560E0C7C7F19}"/>
            </c:ext>
          </c:extLst>
        </c:ser>
        <c:dLbls>
          <c:showLegendKey val="0"/>
          <c:showVal val="0"/>
          <c:showCatName val="0"/>
          <c:showSerName val="0"/>
          <c:showPercent val="0"/>
          <c:showBubbleSize val="0"/>
        </c:dLbls>
        <c:gapWidth val="150"/>
        <c:overlap val="100"/>
        <c:axId val="870832144"/>
        <c:axId val="870825616"/>
      </c:barChart>
      <c:catAx>
        <c:axId val="870832144"/>
        <c:scaling>
          <c:orientation val="minMax"/>
        </c:scaling>
        <c:delete val="0"/>
        <c:axPos val="b"/>
        <c:numFmt formatCode="General" sourceLinked="0"/>
        <c:majorTickMark val="out"/>
        <c:minorTickMark val="none"/>
        <c:tickLblPos val="nextTo"/>
        <c:txPr>
          <a:bodyPr rot="-5400000" vert="horz"/>
          <a:lstStyle/>
          <a:p>
            <a:pPr>
              <a:defRPr/>
            </a:pPr>
            <a:endParaRPr lang="es-AR"/>
          </a:p>
        </c:txPr>
        <c:crossAx val="870825616"/>
        <c:crosses val="autoZero"/>
        <c:auto val="1"/>
        <c:lblAlgn val="ctr"/>
        <c:lblOffset val="100"/>
        <c:noMultiLvlLbl val="0"/>
      </c:catAx>
      <c:valAx>
        <c:axId val="870825616"/>
        <c:scaling>
          <c:orientation val="minMax"/>
        </c:scaling>
        <c:delete val="0"/>
        <c:axPos val="l"/>
        <c:majorGridlines>
          <c:spPr>
            <a:ln>
              <a:solidFill>
                <a:schemeClr val="bg1">
                  <a:lumMod val="85000"/>
                </a:schemeClr>
              </a:solidFill>
              <a:prstDash val="sysDot"/>
            </a:ln>
          </c:spPr>
        </c:majorGridlines>
        <c:title>
          <c:tx>
            <c:rich>
              <a:bodyPr rot="0" vert="horz"/>
              <a:lstStyle/>
              <a:p>
                <a:pPr>
                  <a:defRPr/>
                </a:pPr>
                <a:r>
                  <a:rPr lang="es-AR"/>
                  <a:t>Ha</a:t>
                </a:r>
                <a:r>
                  <a:rPr lang="es-AR" baseline="0"/>
                  <a:t> promedio</a:t>
                </a:r>
                <a:endParaRPr lang="es-AR"/>
              </a:p>
            </c:rich>
          </c:tx>
          <c:layout>
            <c:manualLayout>
              <c:xMode val="edge"/>
              <c:yMode val="edge"/>
              <c:x val="0"/>
              <c:y val="5.7108569486380219E-2"/>
            </c:manualLayout>
          </c:layout>
          <c:overlay val="0"/>
        </c:title>
        <c:numFmt formatCode="0" sourceLinked="1"/>
        <c:majorTickMark val="out"/>
        <c:minorTickMark val="none"/>
        <c:tickLblPos val="nextTo"/>
        <c:crossAx val="870832144"/>
        <c:crosses val="autoZero"/>
        <c:crossBetween val="between"/>
      </c:valAx>
    </c:plotArea>
    <c:plotVisOnly val="1"/>
    <c:dispBlanksAs val="gap"/>
    <c:showDLblsOverMax val="0"/>
  </c:chart>
  <c:spPr>
    <a:ln>
      <a:solidFill>
        <a:schemeClr val="bg1">
          <a:lumMod val="65000"/>
        </a:schemeClr>
      </a:solid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Gráficos!$C$47</c:f>
              <c:strCache>
                <c:ptCount val="1"/>
                <c:pt idx="0">
                  <c:v>Cría</c:v>
                </c:pt>
              </c:strCache>
            </c:strRef>
          </c:tx>
          <c:cat>
            <c:strRef>
              <c:f>Gráficos!$B$48:$B$56</c:f>
              <c:strCache>
                <c:ptCount val="9"/>
                <c:pt idx="0">
                  <c:v>CN</c:v>
                </c:pt>
                <c:pt idx="1">
                  <c:v>Monte</c:v>
                </c:pt>
                <c:pt idx="2">
                  <c:v>Praderas</c:v>
                </c:pt>
                <c:pt idx="3">
                  <c:v>P. Impl.</c:v>
                </c:pt>
                <c:pt idx="4">
                  <c:v>0</c:v>
                </c:pt>
                <c:pt idx="5">
                  <c:v>0</c:v>
                </c:pt>
                <c:pt idx="6">
                  <c:v>VI</c:v>
                </c:pt>
                <c:pt idx="7">
                  <c:v>VV y dif.</c:v>
                </c:pt>
                <c:pt idx="8">
                  <c:v>Rastrojos</c:v>
                </c:pt>
              </c:strCache>
            </c:strRef>
          </c:cat>
          <c:val>
            <c:numRef>
              <c:f>Gráficos!$C$48:$C$56</c:f>
              <c:numCache>
                <c:formatCode>0</c:formatCode>
                <c:ptCount val="9"/>
                <c:pt idx="0">
                  <c:v>0</c:v>
                </c:pt>
                <c:pt idx="1">
                  <c:v>0</c:v>
                </c:pt>
                <c:pt idx="2">
                  <c:v>0</c:v>
                </c:pt>
                <c:pt idx="3">
                  <c:v>0</c:v>
                </c:pt>
                <c:pt idx="4">
                  <c:v>0</c:v>
                </c:pt>
                <c:pt idx="5">
                  <c:v>0</c:v>
                </c:pt>
                <c:pt idx="6">
                  <c:v>0</c:v>
                </c:pt>
                <c:pt idx="7">
                  <c:v>0</c:v>
                </c:pt>
                <c:pt idx="8">
                  <c:v>0</c:v>
                </c:pt>
              </c:numCache>
            </c:numRef>
          </c:val>
          <c:extLst xmlns:c16r2="http://schemas.microsoft.com/office/drawing/2015/06/chart">
            <c:ext xmlns:c16="http://schemas.microsoft.com/office/drawing/2014/chart" uri="{C3380CC4-5D6E-409C-BE32-E72D297353CC}">
              <c16:uniqueId val="{00000000-C571-4C54-B59F-D4EED9AE24FF}"/>
            </c:ext>
          </c:extLst>
        </c:ser>
        <c:dLbls>
          <c:showLegendKey val="0"/>
          <c:showVal val="0"/>
          <c:showCatName val="0"/>
          <c:showSerName val="0"/>
          <c:showPercent val="0"/>
          <c:showBubbleSize val="0"/>
          <c:showLeaderLines val="1"/>
        </c:dLbls>
        <c:firstSliceAng val="0"/>
      </c:pieChart>
    </c:plotArea>
    <c:legend>
      <c:legendPos val="b"/>
      <c:layout>
        <c:manualLayout>
          <c:xMode val="edge"/>
          <c:yMode val="edge"/>
          <c:x val="4.3496755763767173E-2"/>
          <c:y val="0.4736263102725366"/>
          <c:w val="0.89302905707234614"/>
          <c:h val="0.49309276729559742"/>
        </c:manualLayout>
      </c:layout>
      <c:overlay val="0"/>
      <c:txPr>
        <a:bodyPr/>
        <a:lstStyle/>
        <a:p>
          <a:pPr>
            <a:defRPr sz="700"/>
          </a:pPr>
          <a:endParaRPr lang="es-AR"/>
        </a:p>
      </c:txPr>
    </c:legend>
    <c:plotVisOnly val="1"/>
    <c:dispBlanksAs val="gap"/>
    <c:showDLblsOverMax val="0"/>
  </c:chart>
  <c:spPr>
    <a:ln>
      <a:solidFill>
        <a:schemeClr val="bg1">
          <a:lumMod val="65000"/>
        </a:schemeClr>
      </a:solidFill>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Gráficos!$D$47</c:f>
              <c:strCache>
                <c:ptCount val="1"/>
                <c:pt idx="0">
                  <c:v>Recría</c:v>
                </c:pt>
              </c:strCache>
            </c:strRef>
          </c:tx>
          <c:cat>
            <c:strRef>
              <c:f>Gráficos!$B$48:$B$56</c:f>
              <c:strCache>
                <c:ptCount val="9"/>
                <c:pt idx="0">
                  <c:v>CN</c:v>
                </c:pt>
                <c:pt idx="1">
                  <c:v>Monte</c:v>
                </c:pt>
                <c:pt idx="2">
                  <c:v>Praderas</c:v>
                </c:pt>
                <c:pt idx="3">
                  <c:v>P. Impl.</c:v>
                </c:pt>
                <c:pt idx="4">
                  <c:v>0</c:v>
                </c:pt>
                <c:pt idx="5">
                  <c:v>0</c:v>
                </c:pt>
                <c:pt idx="6">
                  <c:v>VI</c:v>
                </c:pt>
                <c:pt idx="7">
                  <c:v>VV y dif.</c:v>
                </c:pt>
                <c:pt idx="8">
                  <c:v>Rastrojos</c:v>
                </c:pt>
              </c:strCache>
            </c:strRef>
          </c:cat>
          <c:val>
            <c:numRef>
              <c:f>Gráficos!$D$48:$D$56</c:f>
              <c:numCache>
                <c:formatCode>0</c:formatCode>
                <c:ptCount val="9"/>
                <c:pt idx="0">
                  <c:v>0</c:v>
                </c:pt>
                <c:pt idx="1">
                  <c:v>0</c:v>
                </c:pt>
                <c:pt idx="2">
                  <c:v>0</c:v>
                </c:pt>
                <c:pt idx="3">
                  <c:v>0</c:v>
                </c:pt>
                <c:pt idx="4">
                  <c:v>0</c:v>
                </c:pt>
                <c:pt idx="5">
                  <c:v>0</c:v>
                </c:pt>
                <c:pt idx="6">
                  <c:v>0</c:v>
                </c:pt>
                <c:pt idx="7">
                  <c:v>0</c:v>
                </c:pt>
                <c:pt idx="8">
                  <c:v>0</c:v>
                </c:pt>
              </c:numCache>
            </c:numRef>
          </c:val>
          <c:extLst xmlns:c16r2="http://schemas.microsoft.com/office/drawing/2015/06/chart">
            <c:ext xmlns:c16="http://schemas.microsoft.com/office/drawing/2014/chart" uri="{C3380CC4-5D6E-409C-BE32-E72D297353CC}">
              <c16:uniqueId val="{00000000-BC7F-4E2A-B8E7-3405B18FDCDF}"/>
            </c:ext>
          </c:extLst>
        </c:ser>
        <c:dLbls>
          <c:showLegendKey val="0"/>
          <c:showVal val="0"/>
          <c:showCatName val="0"/>
          <c:showSerName val="0"/>
          <c:showPercent val="0"/>
          <c:showBubbleSize val="0"/>
          <c:showLeaderLines val="1"/>
        </c:dLbls>
        <c:firstSliceAng val="0"/>
      </c:pieChart>
    </c:plotArea>
    <c:legend>
      <c:legendPos val="b"/>
      <c:layout>
        <c:manualLayout>
          <c:xMode val="edge"/>
          <c:yMode val="edge"/>
          <c:x val="1.0870814396907475E-2"/>
          <c:y val="0.42037683438155138"/>
          <c:w val="0.98912918560309249"/>
          <c:h val="0.53968605870020958"/>
        </c:manualLayout>
      </c:layout>
      <c:overlay val="0"/>
      <c:txPr>
        <a:bodyPr/>
        <a:lstStyle/>
        <a:p>
          <a:pPr>
            <a:defRPr sz="800"/>
          </a:pPr>
          <a:endParaRPr lang="es-AR"/>
        </a:p>
      </c:txPr>
    </c:legend>
    <c:plotVisOnly val="1"/>
    <c:dispBlanksAs val="gap"/>
    <c:showDLblsOverMax val="0"/>
  </c:chart>
  <c:spPr>
    <a:ln>
      <a:solidFill>
        <a:schemeClr val="bg1">
          <a:lumMod val="65000"/>
        </a:schemeClr>
      </a:solid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Gráficos!$E$47</c:f>
              <c:strCache>
                <c:ptCount val="1"/>
                <c:pt idx="0">
                  <c:v>Cría + Recría</c:v>
                </c:pt>
              </c:strCache>
            </c:strRef>
          </c:tx>
          <c:cat>
            <c:strRef>
              <c:f>Gráficos!$B$48:$B$56</c:f>
              <c:strCache>
                <c:ptCount val="9"/>
                <c:pt idx="0">
                  <c:v>CN</c:v>
                </c:pt>
                <c:pt idx="1">
                  <c:v>Monte</c:v>
                </c:pt>
                <c:pt idx="2">
                  <c:v>Praderas</c:v>
                </c:pt>
                <c:pt idx="3">
                  <c:v>P. Impl.</c:v>
                </c:pt>
                <c:pt idx="4">
                  <c:v>0</c:v>
                </c:pt>
                <c:pt idx="5">
                  <c:v>0</c:v>
                </c:pt>
                <c:pt idx="6">
                  <c:v>VI</c:v>
                </c:pt>
                <c:pt idx="7">
                  <c:v>VV y dif.</c:v>
                </c:pt>
                <c:pt idx="8">
                  <c:v>Rastrojos</c:v>
                </c:pt>
              </c:strCache>
            </c:strRef>
          </c:cat>
          <c:val>
            <c:numRef>
              <c:f>Gráficos!$E$48:$E$56</c:f>
              <c:numCache>
                <c:formatCode>0</c:formatCode>
                <c:ptCount val="9"/>
                <c:pt idx="0">
                  <c:v>0</c:v>
                </c:pt>
                <c:pt idx="1">
                  <c:v>0</c:v>
                </c:pt>
                <c:pt idx="2">
                  <c:v>0</c:v>
                </c:pt>
                <c:pt idx="3">
                  <c:v>0</c:v>
                </c:pt>
                <c:pt idx="4">
                  <c:v>0</c:v>
                </c:pt>
                <c:pt idx="5">
                  <c:v>0</c:v>
                </c:pt>
                <c:pt idx="6">
                  <c:v>0</c:v>
                </c:pt>
                <c:pt idx="7">
                  <c:v>0</c:v>
                </c:pt>
                <c:pt idx="8">
                  <c:v>0</c:v>
                </c:pt>
              </c:numCache>
            </c:numRef>
          </c:val>
          <c:extLst xmlns:c16r2="http://schemas.microsoft.com/office/drawing/2015/06/chart">
            <c:ext xmlns:c16="http://schemas.microsoft.com/office/drawing/2014/chart" uri="{C3380CC4-5D6E-409C-BE32-E72D297353CC}">
              <c16:uniqueId val="{00000000-0128-43FA-A0D7-5F4818FA897F}"/>
            </c:ext>
          </c:extLst>
        </c:ser>
        <c:dLbls>
          <c:showLegendKey val="0"/>
          <c:showVal val="0"/>
          <c:showCatName val="0"/>
          <c:showSerName val="0"/>
          <c:showPercent val="0"/>
          <c:showBubbleSize val="0"/>
          <c:showLeaderLines val="1"/>
        </c:dLbls>
        <c:firstSliceAng val="0"/>
      </c:pieChart>
    </c:plotArea>
    <c:legend>
      <c:legendPos val="b"/>
      <c:layout>
        <c:manualLayout>
          <c:xMode val="edge"/>
          <c:yMode val="edge"/>
          <c:x val="0"/>
          <c:y val="0.32719025157232706"/>
          <c:w val="1"/>
          <c:h val="0.63287264150943379"/>
        </c:manualLayout>
      </c:layout>
      <c:overlay val="0"/>
      <c:txPr>
        <a:bodyPr/>
        <a:lstStyle/>
        <a:p>
          <a:pPr>
            <a:defRPr sz="800"/>
          </a:pPr>
          <a:endParaRPr lang="es-AR"/>
        </a:p>
      </c:txPr>
    </c:legend>
    <c:plotVisOnly val="1"/>
    <c:dispBlanksAs val="gap"/>
    <c:showDLblsOverMax val="0"/>
  </c:chart>
  <c:spPr>
    <a:ln>
      <a:solidFill>
        <a:schemeClr val="bg1">
          <a:lumMod val="65000"/>
        </a:schemeClr>
      </a:solidFill>
    </a:ln>
  </c:sp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Gráficos!$F$47</c:f>
              <c:strCache>
                <c:ptCount val="1"/>
                <c:pt idx="0">
                  <c:v>CC</c:v>
                </c:pt>
              </c:strCache>
            </c:strRef>
          </c:tx>
          <c:cat>
            <c:strRef>
              <c:f>Gráficos!$B$48:$B$56</c:f>
              <c:strCache>
                <c:ptCount val="9"/>
                <c:pt idx="0">
                  <c:v>CN</c:v>
                </c:pt>
                <c:pt idx="1">
                  <c:v>Monte</c:v>
                </c:pt>
                <c:pt idx="2">
                  <c:v>Praderas</c:v>
                </c:pt>
                <c:pt idx="3">
                  <c:v>P. Impl.</c:v>
                </c:pt>
                <c:pt idx="4">
                  <c:v>0</c:v>
                </c:pt>
                <c:pt idx="5">
                  <c:v>0</c:v>
                </c:pt>
                <c:pt idx="6">
                  <c:v>VI</c:v>
                </c:pt>
                <c:pt idx="7">
                  <c:v>VV y dif.</c:v>
                </c:pt>
                <c:pt idx="8">
                  <c:v>Rastrojos</c:v>
                </c:pt>
              </c:strCache>
            </c:strRef>
          </c:cat>
          <c:val>
            <c:numRef>
              <c:f>Gráficos!$F$48:$F$56</c:f>
              <c:numCache>
                <c:formatCode>0</c:formatCode>
                <c:ptCount val="9"/>
                <c:pt idx="0">
                  <c:v>0</c:v>
                </c:pt>
                <c:pt idx="1">
                  <c:v>0</c:v>
                </c:pt>
                <c:pt idx="2">
                  <c:v>0</c:v>
                </c:pt>
                <c:pt idx="3">
                  <c:v>0</c:v>
                </c:pt>
                <c:pt idx="4">
                  <c:v>0</c:v>
                </c:pt>
                <c:pt idx="5">
                  <c:v>0</c:v>
                </c:pt>
                <c:pt idx="6">
                  <c:v>0</c:v>
                </c:pt>
                <c:pt idx="7">
                  <c:v>0</c:v>
                </c:pt>
                <c:pt idx="8">
                  <c:v>0</c:v>
                </c:pt>
              </c:numCache>
            </c:numRef>
          </c:val>
          <c:extLst xmlns:c16r2="http://schemas.microsoft.com/office/drawing/2015/06/chart">
            <c:ext xmlns:c16="http://schemas.microsoft.com/office/drawing/2014/chart" uri="{C3380CC4-5D6E-409C-BE32-E72D297353CC}">
              <c16:uniqueId val="{00000000-7313-4919-B4C1-D5C514389F61}"/>
            </c:ext>
          </c:extLst>
        </c:ser>
        <c:dLbls>
          <c:showLegendKey val="0"/>
          <c:showVal val="0"/>
          <c:showCatName val="0"/>
          <c:showSerName val="0"/>
          <c:showPercent val="0"/>
          <c:showBubbleSize val="0"/>
          <c:showLeaderLines val="1"/>
        </c:dLbls>
        <c:firstSliceAng val="0"/>
      </c:pieChart>
    </c:plotArea>
    <c:legend>
      <c:legendPos val="b"/>
      <c:layout>
        <c:manualLayout>
          <c:xMode val="edge"/>
          <c:yMode val="edge"/>
          <c:x val="1.0188888888888893E-2"/>
          <c:y val="0.35986635220125784"/>
          <c:w val="0.92317777777777776"/>
          <c:h val="0.60019654088050312"/>
        </c:manualLayout>
      </c:layout>
      <c:overlay val="0"/>
      <c:txPr>
        <a:bodyPr/>
        <a:lstStyle/>
        <a:p>
          <a:pPr>
            <a:defRPr sz="800"/>
          </a:pPr>
          <a:endParaRPr lang="es-AR"/>
        </a:p>
      </c:txPr>
    </c:legend>
    <c:plotVisOnly val="1"/>
    <c:dispBlanksAs val="gap"/>
    <c:showDLblsOverMax val="0"/>
  </c:chart>
  <c:spPr>
    <a:ln>
      <a:solidFill>
        <a:schemeClr val="bg1">
          <a:lumMod val="65000"/>
        </a:schemeClr>
      </a:solidFill>
    </a:ln>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Gráficos!$H$47</c:f>
              <c:strCache>
                <c:ptCount val="1"/>
                <c:pt idx="0">
                  <c:v>Invernada de Compra</c:v>
                </c:pt>
              </c:strCache>
            </c:strRef>
          </c:tx>
          <c:cat>
            <c:strRef>
              <c:f>Gráficos!$B$48:$B$56</c:f>
              <c:strCache>
                <c:ptCount val="9"/>
                <c:pt idx="0">
                  <c:v>CN</c:v>
                </c:pt>
                <c:pt idx="1">
                  <c:v>Monte</c:v>
                </c:pt>
                <c:pt idx="2">
                  <c:v>Praderas</c:v>
                </c:pt>
                <c:pt idx="3">
                  <c:v>P. Impl.</c:v>
                </c:pt>
                <c:pt idx="4">
                  <c:v>0</c:v>
                </c:pt>
                <c:pt idx="5">
                  <c:v>0</c:v>
                </c:pt>
                <c:pt idx="6">
                  <c:v>VI</c:v>
                </c:pt>
                <c:pt idx="7">
                  <c:v>VV y dif.</c:v>
                </c:pt>
                <c:pt idx="8">
                  <c:v>Rastrojos</c:v>
                </c:pt>
              </c:strCache>
            </c:strRef>
          </c:cat>
          <c:val>
            <c:numRef>
              <c:f>Gráficos!$H$48:$H$56</c:f>
              <c:numCache>
                <c:formatCode>0</c:formatCode>
                <c:ptCount val="9"/>
                <c:pt idx="0">
                  <c:v>0</c:v>
                </c:pt>
                <c:pt idx="1">
                  <c:v>0</c:v>
                </c:pt>
                <c:pt idx="2">
                  <c:v>0</c:v>
                </c:pt>
                <c:pt idx="3">
                  <c:v>0</c:v>
                </c:pt>
                <c:pt idx="4">
                  <c:v>0</c:v>
                </c:pt>
                <c:pt idx="5">
                  <c:v>0</c:v>
                </c:pt>
                <c:pt idx="6">
                  <c:v>0</c:v>
                </c:pt>
                <c:pt idx="7">
                  <c:v>0</c:v>
                </c:pt>
                <c:pt idx="8">
                  <c:v>0</c:v>
                </c:pt>
              </c:numCache>
            </c:numRef>
          </c:val>
          <c:extLst xmlns:c16r2="http://schemas.microsoft.com/office/drawing/2015/06/chart">
            <c:ext xmlns:c16="http://schemas.microsoft.com/office/drawing/2014/chart" uri="{C3380CC4-5D6E-409C-BE32-E72D297353CC}">
              <c16:uniqueId val="{00000000-2763-471C-AB9C-EACD0F14D6D1}"/>
            </c:ext>
          </c:extLst>
        </c:ser>
        <c:dLbls>
          <c:showLegendKey val="0"/>
          <c:showVal val="0"/>
          <c:showCatName val="0"/>
          <c:showSerName val="0"/>
          <c:showPercent val="0"/>
          <c:showBubbleSize val="0"/>
          <c:showLeaderLines val="1"/>
        </c:dLbls>
        <c:firstSliceAng val="0"/>
      </c:pieChart>
    </c:plotArea>
    <c:legend>
      <c:legendPos val="b"/>
      <c:layout>
        <c:manualLayout>
          <c:xMode val="edge"/>
          <c:yMode val="edge"/>
          <c:x val="1.5088888888888877E-2"/>
          <c:y val="0.24668709252536317"/>
          <c:w val="0.93454388888888884"/>
          <c:h val="0.71334242897765276"/>
        </c:manualLayout>
      </c:layout>
      <c:overlay val="0"/>
      <c:txPr>
        <a:bodyPr/>
        <a:lstStyle/>
        <a:p>
          <a:pPr>
            <a:defRPr sz="800"/>
          </a:pPr>
          <a:endParaRPr lang="es-AR"/>
        </a:p>
      </c:txPr>
    </c:legend>
    <c:plotVisOnly val="1"/>
    <c:dispBlanksAs val="gap"/>
    <c:showDLblsOverMax val="0"/>
  </c:chart>
  <c:spPr>
    <a:ln>
      <a:solidFill>
        <a:schemeClr val="bg1">
          <a:lumMod val="65000"/>
        </a:schemeClr>
      </a:solidFill>
    </a:ln>
  </c:sp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049877777777778"/>
          <c:y val="7.3279210577804219E-2"/>
          <c:w val="0.36180277777777775"/>
          <c:h val="0.34160858620431001"/>
        </c:manualLayout>
      </c:layout>
      <c:pieChart>
        <c:varyColors val="1"/>
        <c:ser>
          <c:idx val="0"/>
          <c:order val="0"/>
          <c:tx>
            <c:strRef>
              <c:f>Gráficos!$I$47</c:f>
              <c:strCache>
                <c:ptCount val="1"/>
                <c:pt idx="0">
                  <c:v>Cabaña</c:v>
                </c:pt>
              </c:strCache>
            </c:strRef>
          </c:tx>
          <c:cat>
            <c:strRef>
              <c:f>Gráficos!$B$48:$B$56</c:f>
              <c:strCache>
                <c:ptCount val="9"/>
                <c:pt idx="0">
                  <c:v>CN</c:v>
                </c:pt>
                <c:pt idx="1">
                  <c:v>Monte</c:v>
                </c:pt>
                <c:pt idx="2">
                  <c:v>Praderas</c:v>
                </c:pt>
                <c:pt idx="3">
                  <c:v>P. Impl.</c:v>
                </c:pt>
                <c:pt idx="4">
                  <c:v>0</c:v>
                </c:pt>
                <c:pt idx="5">
                  <c:v>0</c:v>
                </c:pt>
                <c:pt idx="6">
                  <c:v>VI</c:v>
                </c:pt>
                <c:pt idx="7">
                  <c:v>VV y dif.</c:v>
                </c:pt>
                <c:pt idx="8">
                  <c:v>Rastrojos</c:v>
                </c:pt>
              </c:strCache>
            </c:strRef>
          </c:cat>
          <c:val>
            <c:numRef>
              <c:f>Gráficos!$I$48:$I$56</c:f>
              <c:numCache>
                <c:formatCode>0</c:formatCode>
                <c:ptCount val="9"/>
                <c:pt idx="0">
                  <c:v>0</c:v>
                </c:pt>
                <c:pt idx="1">
                  <c:v>0</c:v>
                </c:pt>
                <c:pt idx="2">
                  <c:v>0</c:v>
                </c:pt>
                <c:pt idx="3">
                  <c:v>0</c:v>
                </c:pt>
                <c:pt idx="4">
                  <c:v>0</c:v>
                </c:pt>
                <c:pt idx="5">
                  <c:v>0</c:v>
                </c:pt>
                <c:pt idx="6">
                  <c:v>0</c:v>
                </c:pt>
                <c:pt idx="7">
                  <c:v>0</c:v>
                </c:pt>
                <c:pt idx="8">
                  <c:v>0</c:v>
                </c:pt>
              </c:numCache>
            </c:numRef>
          </c:val>
          <c:extLst xmlns:c16r2="http://schemas.microsoft.com/office/drawing/2015/06/chart">
            <c:ext xmlns:c16="http://schemas.microsoft.com/office/drawing/2014/chart" uri="{C3380CC4-5D6E-409C-BE32-E72D297353CC}">
              <c16:uniqueId val="{00000000-FFC5-4BBB-873D-CC071BA9D327}"/>
            </c:ext>
          </c:extLst>
        </c:ser>
        <c:dLbls>
          <c:showLegendKey val="0"/>
          <c:showVal val="0"/>
          <c:showCatName val="0"/>
          <c:showSerName val="0"/>
          <c:showPercent val="0"/>
          <c:showBubbleSize val="0"/>
          <c:showLeaderLines val="1"/>
        </c:dLbls>
        <c:firstSliceAng val="0"/>
      </c:pieChart>
    </c:plotArea>
    <c:legend>
      <c:legendPos val="b"/>
      <c:layout>
        <c:manualLayout>
          <c:xMode val="edge"/>
          <c:yMode val="edge"/>
          <c:x val="0"/>
          <c:y val="0.24668709252536317"/>
          <c:w val="1"/>
          <c:h val="0.71334242897765276"/>
        </c:manualLayout>
      </c:layout>
      <c:overlay val="0"/>
      <c:txPr>
        <a:bodyPr/>
        <a:lstStyle/>
        <a:p>
          <a:pPr>
            <a:defRPr sz="800"/>
          </a:pPr>
          <a:endParaRPr lang="es-AR"/>
        </a:p>
      </c:txPr>
    </c:legend>
    <c:plotVisOnly val="1"/>
    <c:dispBlanksAs val="gap"/>
    <c:showDLblsOverMax val="0"/>
  </c:chart>
  <c:spPr>
    <a:ln>
      <a:solidFill>
        <a:schemeClr val="bg1">
          <a:lumMod val="65000"/>
        </a:schemeClr>
      </a:solidFill>
    </a:ln>
  </c:sp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Gráficos!$G$47</c:f>
              <c:strCache>
                <c:ptCount val="1"/>
                <c:pt idx="0">
                  <c:v>CC + Inv. De Compra</c:v>
                </c:pt>
              </c:strCache>
            </c:strRef>
          </c:tx>
          <c:cat>
            <c:strRef>
              <c:f>Gráficos!$B$48:$B$56</c:f>
              <c:strCache>
                <c:ptCount val="9"/>
                <c:pt idx="0">
                  <c:v>CN</c:v>
                </c:pt>
                <c:pt idx="1">
                  <c:v>Monte</c:v>
                </c:pt>
                <c:pt idx="2">
                  <c:v>Praderas</c:v>
                </c:pt>
                <c:pt idx="3">
                  <c:v>P. Impl.</c:v>
                </c:pt>
                <c:pt idx="4">
                  <c:v>0</c:v>
                </c:pt>
                <c:pt idx="5">
                  <c:v>0</c:v>
                </c:pt>
                <c:pt idx="6">
                  <c:v>VI</c:v>
                </c:pt>
                <c:pt idx="7">
                  <c:v>VV y dif.</c:v>
                </c:pt>
                <c:pt idx="8">
                  <c:v>Rastrojos</c:v>
                </c:pt>
              </c:strCache>
            </c:strRef>
          </c:cat>
          <c:val>
            <c:numRef>
              <c:f>Gráficos!$G$48:$G$56</c:f>
              <c:numCache>
                <c:formatCode>0</c:formatCode>
                <c:ptCount val="9"/>
                <c:pt idx="0">
                  <c:v>0</c:v>
                </c:pt>
                <c:pt idx="1">
                  <c:v>0</c:v>
                </c:pt>
                <c:pt idx="2">
                  <c:v>0</c:v>
                </c:pt>
                <c:pt idx="3">
                  <c:v>0</c:v>
                </c:pt>
                <c:pt idx="4">
                  <c:v>0</c:v>
                </c:pt>
                <c:pt idx="5">
                  <c:v>0</c:v>
                </c:pt>
                <c:pt idx="6">
                  <c:v>0</c:v>
                </c:pt>
                <c:pt idx="7">
                  <c:v>0</c:v>
                </c:pt>
                <c:pt idx="8">
                  <c:v>0</c:v>
                </c:pt>
              </c:numCache>
            </c:numRef>
          </c:val>
          <c:extLst xmlns:c16r2="http://schemas.microsoft.com/office/drawing/2015/06/chart">
            <c:ext xmlns:c16="http://schemas.microsoft.com/office/drawing/2014/chart" uri="{C3380CC4-5D6E-409C-BE32-E72D297353CC}">
              <c16:uniqueId val="{00000000-B3D8-4192-A87B-278CC5F10F15}"/>
            </c:ext>
          </c:extLst>
        </c:ser>
        <c:dLbls>
          <c:showLegendKey val="0"/>
          <c:showVal val="0"/>
          <c:showCatName val="0"/>
          <c:showSerName val="0"/>
          <c:showPercent val="0"/>
          <c:showBubbleSize val="0"/>
          <c:showLeaderLines val="1"/>
        </c:dLbls>
        <c:firstSliceAng val="0"/>
      </c:pieChart>
    </c:plotArea>
    <c:legend>
      <c:legendPos val="b"/>
      <c:layout>
        <c:manualLayout>
          <c:xMode val="edge"/>
          <c:yMode val="edge"/>
          <c:x val="0"/>
          <c:y val="0.24668709252536317"/>
          <c:w val="0.9627661111111111"/>
          <c:h val="0.71334242897765276"/>
        </c:manualLayout>
      </c:layout>
      <c:overlay val="0"/>
      <c:txPr>
        <a:bodyPr/>
        <a:lstStyle/>
        <a:p>
          <a:pPr>
            <a:defRPr sz="800"/>
          </a:pPr>
          <a:endParaRPr lang="es-AR"/>
        </a:p>
      </c:txPr>
    </c:legend>
    <c:plotVisOnly val="1"/>
    <c:dispBlanksAs val="gap"/>
    <c:showDLblsOverMax val="0"/>
  </c:chart>
  <c:spPr>
    <a:ln>
      <a:solidFill>
        <a:schemeClr val="bg1">
          <a:lumMod val="65000"/>
        </a:schemeClr>
      </a:solidFill>
    </a:ln>
  </c:sp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a:t>Producción de carne</a:t>
            </a:r>
          </a:p>
        </c:rich>
      </c:tx>
      <c:overlay val="0"/>
    </c:title>
    <c:autoTitleDeleted val="0"/>
    <c:plotArea>
      <c:layout>
        <c:manualLayout>
          <c:layoutTarget val="inner"/>
          <c:xMode val="edge"/>
          <c:yMode val="edge"/>
          <c:x val="0.1601261574074074"/>
          <c:y val="0.17180104218331893"/>
          <c:w val="0.7823020833333334"/>
          <c:h val="0.60685599922491373"/>
        </c:manualLayout>
      </c:layout>
      <c:barChart>
        <c:barDir val="bar"/>
        <c:grouping val="clustered"/>
        <c:varyColors val="0"/>
        <c:ser>
          <c:idx val="0"/>
          <c:order val="0"/>
          <c:tx>
            <c:strRef>
              <c:f>Gráficos!$B$103</c:f>
              <c:strCache>
                <c:ptCount val="1"/>
                <c:pt idx="0">
                  <c:v>Prod. de Carne Cab/Año</c:v>
                </c:pt>
              </c:strCache>
            </c:strRef>
          </c:tx>
          <c:spPr>
            <a:solidFill>
              <a:srgbClr val="FFC000"/>
            </a:solidFill>
          </c:spPr>
          <c:invertIfNegative val="0"/>
          <c:cat>
            <c:strRef>
              <c:f>Gráficos!$A$107:$A$110</c:f>
              <c:strCache>
                <c:ptCount val="4"/>
                <c:pt idx="0">
                  <c:v> &gt;151 </c:v>
                </c:pt>
                <c:pt idx="1">
                  <c:v> 101-150 </c:v>
                </c:pt>
                <c:pt idx="2">
                  <c:v> 51-100 </c:v>
                </c:pt>
                <c:pt idx="3">
                  <c:v> &lt;50 </c:v>
                </c:pt>
              </c:strCache>
            </c:strRef>
          </c:cat>
          <c:val>
            <c:numRef>
              <c:f>Gráficos!$F$107:$F$110</c:f>
              <c:numCache>
                <c:formatCode>0%</c:formatCode>
                <c:ptCount val="4"/>
                <c:pt idx="0">
                  <c:v>0</c:v>
                </c:pt>
                <c:pt idx="1">
                  <c:v>0</c:v>
                </c:pt>
                <c:pt idx="2">
                  <c:v>0</c:v>
                </c:pt>
                <c:pt idx="3">
                  <c:v>0</c:v>
                </c:pt>
              </c:numCache>
            </c:numRef>
          </c:val>
          <c:extLst xmlns:c16r2="http://schemas.microsoft.com/office/drawing/2015/06/chart">
            <c:ext xmlns:c16="http://schemas.microsoft.com/office/drawing/2014/chart" uri="{C3380CC4-5D6E-409C-BE32-E72D297353CC}">
              <c16:uniqueId val="{00000000-5BC6-48F6-9D1E-8ED1CEC06D79}"/>
            </c:ext>
          </c:extLst>
        </c:ser>
        <c:dLbls>
          <c:showLegendKey val="0"/>
          <c:showVal val="0"/>
          <c:showCatName val="0"/>
          <c:showSerName val="0"/>
          <c:showPercent val="0"/>
          <c:showBubbleSize val="0"/>
        </c:dLbls>
        <c:gapWidth val="40"/>
        <c:axId val="870835408"/>
        <c:axId val="870825072"/>
      </c:barChart>
      <c:catAx>
        <c:axId val="870835408"/>
        <c:scaling>
          <c:orientation val="minMax"/>
        </c:scaling>
        <c:delete val="0"/>
        <c:axPos val="l"/>
        <c:title>
          <c:tx>
            <c:rich>
              <a:bodyPr rot="0" vert="horz"/>
              <a:lstStyle/>
              <a:p>
                <a:pPr>
                  <a:defRPr/>
                </a:pPr>
                <a:r>
                  <a:rPr lang="es-AR"/>
                  <a:t>Cab/ha/año</a:t>
                </a:r>
              </a:p>
            </c:rich>
          </c:tx>
          <c:layout>
            <c:manualLayout>
              <c:xMode val="edge"/>
              <c:yMode val="edge"/>
              <c:x val="5.8796296296296296E-3"/>
              <c:y val="4.3349740593054978E-2"/>
            </c:manualLayout>
          </c:layout>
          <c:overlay val="0"/>
        </c:title>
        <c:numFmt formatCode="General" sourceLinked="1"/>
        <c:majorTickMark val="out"/>
        <c:minorTickMark val="none"/>
        <c:tickLblPos val="nextTo"/>
        <c:crossAx val="870825072"/>
        <c:crosses val="autoZero"/>
        <c:auto val="1"/>
        <c:lblAlgn val="ctr"/>
        <c:lblOffset val="100"/>
        <c:noMultiLvlLbl val="0"/>
      </c:catAx>
      <c:valAx>
        <c:axId val="870825072"/>
        <c:scaling>
          <c:orientation val="minMax"/>
        </c:scaling>
        <c:delete val="0"/>
        <c:axPos val="b"/>
        <c:majorGridlines>
          <c:spPr>
            <a:ln>
              <a:solidFill>
                <a:schemeClr val="bg1">
                  <a:lumMod val="85000"/>
                </a:schemeClr>
              </a:solidFill>
              <a:prstDash val="sysDot"/>
            </a:ln>
          </c:spPr>
        </c:majorGridlines>
        <c:title>
          <c:tx>
            <c:rich>
              <a:bodyPr/>
              <a:lstStyle/>
              <a:p>
                <a:pPr>
                  <a:defRPr/>
                </a:pPr>
                <a:r>
                  <a:rPr lang="es-AR"/>
                  <a:t>Establecimientos</a:t>
                </a:r>
              </a:p>
            </c:rich>
          </c:tx>
          <c:overlay val="0"/>
        </c:title>
        <c:numFmt formatCode="0%" sourceLinked="1"/>
        <c:majorTickMark val="out"/>
        <c:minorTickMark val="none"/>
        <c:tickLblPos val="nextTo"/>
        <c:crossAx val="870835408"/>
        <c:crosses val="autoZero"/>
        <c:crossBetween val="between"/>
      </c:valAx>
    </c:plotArea>
    <c:plotVisOnly val="1"/>
    <c:dispBlanksAs val="gap"/>
    <c:showDLblsOverMax val="0"/>
  </c:chart>
  <c:spPr>
    <a:ln>
      <a:solidFill>
        <a:schemeClr val="bg1">
          <a:lumMod val="75000"/>
        </a:schemeClr>
      </a:solidFill>
    </a:ln>
  </c:sp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a:t>Producción</a:t>
            </a:r>
            <a:r>
              <a:rPr lang="en-US" baseline="0"/>
              <a:t> de carne</a:t>
            </a:r>
            <a:endParaRPr lang="en-US"/>
          </a:p>
        </c:rich>
      </c:tx>
      <c:layout>
        <c:manualLayout>
          <c:xMode val="edge"/>
          <c:yMode val="edge"/>
          <c:x val="0.28552083333333333"/>
          <c:y val="3.5277777777777776E-2"/>
        </c:manualLayout>
      </c:layout>
      <c:overlay val="0"/>
    </c:title>
    <c:autoTitleDeleted val="0"/>
    <c:plotArea>
      <c:layout>
        <c:manualLayout>
          <c:layoutTarget val="inner"/>
          <c:xMode val="edge"/>
          <c:yMode val="edge"/>
          <c:x val="0.17188541666666668"/>
          <c:y val="0.20935601851851851"/>
          <c:w val="0.74114467592592592"/>
          <c:h val="0.56417855299108888"/>
        </c:manualLayout>
      </c:layout>
      <c:barChart>
        <c:barDir val="bar"/>
        <c:grouping val="clustered"/>
        <c:varyColors val="0"/>
        <c:ser>
          <c:idx val="0"/>
          <c:order val="0"/>
          <c:tx>
            <c:strRef>
              <c:f>Gráficos!$B$92</c:f>
              <c:strCache>
                <c:ptCount val="1"/>
                <c:pt idx="0">
                  <c:v>Prod. de Carne kg/ha. Año</c:v>
                </c:pt>
              </c:strCache>
            </c:strRef>
          </c:tx>
          <c:spPr>
            <a:solidFill>
              <a:schemeClr val="accent6"/>
            </a:solidFill>
          </c:spPr>
          <c:invertIfNegative val="0"/>
          <c:cat>
            <c:strRef>
              <c:f>Gráficos!$A$96:$A$99</c:f>
              <c:strCache>
                <c:ptCount val="4"/>
                <c:pt idx="0">
                  <c:v> &gt;151 </c:v>
                </c:pt>
                <c:pt idx="1">
                  <c:v> 101-150 </c:v>
                </c:pt>
                <c:pt idx="2">
                  <c:v> 51-100 </c:v>
                </c:pt>
                <c:pt idx="3">
                  <c:v> &lt;50 </c:v>
                </c:pt>
              </c:strCache>
            </c:strRef>
          </c:cat>
          <c:val>
            <c:numRef>
              <c:f>Gráficos!$F$96:$F$99</c:f>
              <c:numCache>
                <c:formatCode>0%</c:formatCode>
                <c:ptCount val="4"/>
                <c:pt idx="0">
                  <c:v>0</c:v>
                </c:pt>
                <c:pt idx="1">
                  <c:v>0</c:v>
                </c:pt>
                <c:pt idx="2">
                  <c:v>0</c:v>
                </c:pt>
                <c:pt idx="3">
                  <c:v>0</c:v>
                </c:pt>
              </c:numCache>
            </c:numRef>
          </c:val>
          <c:extLst xmlns:c16r2="http://schemas.microsoft.com/office/drawing/2015/06/chart">
            <c:ext xmlns:c16="http://schemas.microsoft.com/office/drawing/2014/chart" uri="{C3380CC4-5D6E-409C-BE32-E72D297353CC}">
              <c16:uniqueId val="{00000000-4E69-4C6C-9D9D-E2A82632A7B8}"/>
            </c:ext>
          </c:extLst>
        </c:ser>
        <c:dLbls>
          <c:showLegendKey val="0"/>
          <c:showVal val="0"/>
          <c:showCatName val="0"/>
          <c:showSerName val="0"/>
          <c:showPercent val="0"/>
          <c:showBubbleSize val="0"/>
        </c:dLbls>
        <c:gapWidth val="40"/>
        <c:axId val="870835952"/>
        <c:axId val="870836496"/>
      </c:barChart>
      <c:catAx>
        <c:axId val="870835952"/>
        <c:scaling>
          <c:orientation val="minMax"/>
        </c:scaling>
        <c:delete val="0"/>
        <c:axPos val="l"/>
        <c:title>
          <c:tx>
            <c:rich>
              <a:bodyPr rot="0" vert="horz"/>
              <a:lstStyle/>
              <a:p>
                <a:pPr>
                  <a:defRPr/>
                </a:pPr>
                <a:r>
                  <a:rPr lang="es-AR"/>
                  <a:t>Kg/ha/año</a:t>
                </a:r>
              </a:p>
            </c:rich>
          </c:tx>
          <c:layout>
            <c:manualLayout>
              <c:xMode val="edge"/>
              <c:yMode val="edge"/>
              <c:x val="1.4699074074074074E-2"/>
              <c:y val="6.2550253589168936E-2"/>
            </c:manualLayout>
          </c:layout>
          <c:overlay val="0"/>
        </c:title>
        <c:numFmt formatCode="General" sourceLinked="1"/>
        <c:majorTickMark val="out"/>
        <c:minorTickMark val="none"/>
        <c:tickLblPos val="nextTo"/>
        <c:crossAx val="870836496"/>
        <c:crosses val="autoZero"/>
        <c:auto val="1"/>
        <c:lblAlgn val="ctr"/>
        <c:lblOffset val="100"/>
        <c:noMultiLvlLbl val="0"/>
      </c:catAx>
      <c:valAx>
        <c:axId val="870836496"/>
        <c:scaling>
          <c:orientation val="minMax"/>
        </c:scaling>
        <c:delete val="0"/>
        <c:axPos val="b"/>
        <c:majorGridlines>
          <c:spPr>
            <a:ln>
              <a:solidFill>
                <a:schemeClr val="bg1">
                  <a:lumMod val="85000"/>
                </a:schemeClr>
              </a:solidFill>
              <a:prstDash val="sysDot"/>
            </a:ln>
          </c:spPr>
        </c:majorGridlines>
        <c:title>
          <c:tx>
            <c:rich>
              <a:bodyPr/>
              <a:lstStyle/>
              <a:p>
                <a:pPr>
                  <a:defRPr/>
                </a:pPr>
                <a:r>
                  <a:rPr lang="es-AR"/>
                  <a:t>Establecimientos</a:t>
                </a:r>
              </a:p>
            </c:rich>
          </c:tx>
          <c:overlay val="0"/>
        </c:title>
        <c:numFmt formatCode="0%" sourceLinked="1"/>
        <c:majorTickMark val="out"/>
        <c:minorTickMark val="none"/>
        <c:tickLblPos val="nextTo"/>
        <c:crossAx val="870835952"/>
        <c:crosses val="autoZero"/>
        <c:crossBetween val="between"/>
      </c:valAx>
    </c:plotArea>
    <c:plotVisOnly val="1"/>
    <c:dispBlanksAs val="gap"/>
    <c:showDLblsOverMax val="0"/>
  </c:chart>
  <c:spPr>
    <a:ln>
      <a:solidFill>
        <a:schemeClr val="bg1">
          <a:lumMod val="75000"/>
        </a:schemeClr>
      </a:solidFill>
    </a:ln>
  </c:sp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4079881944444444"/>
          <c:y val="2.4179629629629631E-2"/>
        </c:manualLayout>
      </c:layout>
      <c:overlay val="0"/>
      <c:txPr>
        <a:bodyPr/>
        <a:lstStyle/>
        <a:p>
          <a:pPr>
            <a:defRPr sz="1400"/>
          </a:pPr>
          <a:endParaRPr lang="es-AR"/>
        </a:p>
      </c:txPr>
    </c:title>
    <c:autoTitleDeleted val="0"/>
    <c:plotArea>
      <c:layout>
        <c:manualLayout>
          <c:layoutTarget val="inner"/>
          <c:xMode val="edge"/>
          <c:yMode val="edge"/>
          <c:x val="0.16894560185185181"/>
          <c:y val="0.1726412037037037"/>
          <c:w val="0.7734826388888888"/>
          <c:h val="0.60304040897200384"/>
        </c:manualLayout>
      </c:layout>
      <c:barChart>
        <c:barDir val="bar"/>
        <c:grouping val="clustered"/>
        <c:varyColors val="0"/>
        <c:ser>
          <c:idx val="0"/>
          <c:order val="0"/>
          <c:tx>
            <c:strRef>
              <c:f>Gráficos!$B$80</c:f>
              <c:strCache>
                <c:ptCount val="1"/>
                <c:pt idx="0">
                  <c:v>Carga media</c:v>
                </c:pt>
              </c:strCache>
            </c:strRef>
          </c:tx>
          <c:spPr>
            <a:solidFill>
              <a:schemeClr val="accent3"/>
            </a:solidFill>
          </c:spPr>
          <c:invertIfNegative val="0"/>
          <c:cat>
            <c:strRef>
              <c:f>Gráficos!$A$84:$A$88</c:f>
              <c:strCache>
                <c:ptCount val="5"/>
                <c:pt idx="0">
                  <c:v>&gt;5000</c:v>
                </c:pt>
                <c:pt idx="1">
                  <c:v>3000-5000</c:v>
                </c:pt>
                <c:pt idx="2">
                  <c:v>1500-3000</c:v>
                </c:pt>
                <c:pt idx="3">
                  <c:v>500-1500</c:v>
                </c:pt>
                <c:pt idx="4">
                  <c:v>&lt;500</c:v>
                </c:pt>
              </c:strCache>
            </c:strRef>
          </c:cat>
          <c:val>
            <c:numRef>
              <c:f>Gráficos!$F$84:$F$88</c:f>
              <c:numCache>
                <c:formatCode>0%</c:formatCode>
                <c:ptCount val="5"/>
                <c:pt idx="0">
                  <c:v>0</c:v>
                </c:pt>
                <c:pt idx="1">
                  <c:v>0</c:v>
                </c:pt>
                <c:pt idx="2">
                  <c:v>0</c:v>
                </c:pt>
                <c:pt idx="3">
                  <c:v>0</c:v>
                </c:pt>
                <c:pt idx="4">
                  <c:v>0</c:v>
                </c:pt>
              </c:numCache>
            </c:numRef>
          </c:val>
          <c:extLst xmlns:c16r2="http://schemas.microsoft.com/office/drawing/2015/06/chart">
            <c:ext xmlns:c16="http://schemas.microsoft.com/office/drawing/2014/chart" uri="{C3380CC4-5D6E-409C-BE32-E72D297353CC}">
              <c16:uniqueId val="{00000000-8BD3-4FD7-8B24-0764EBEE761D}"/>
            </c:ext>
          </c:extLst>
        </c:ser>
        <c:dLbls>
          <c:showLegendKey val="0"/>
          <c:showVal val="0"/>
          <c:showCatName val="0"/>
          <c:showSerName val="0"/>
          <c:showPercent val="0"/>
          <c:showBubbleSize val="0"/>
        </c:dLbls>
        <c:gapWidth val="40"/>
        <c:axId val="870827792"/>
        <c:axId val="870823440"/>
      </c:barChart>
      <c:catAx>
        <c:axId val="870827792"/>
        <c:scaling>
          <c:orientation val="minMax"/>
        </c:scaling>
        <c:delete val="0"/>
        <c:axPos val="l"/>
        <c:title>
          <c:tx>
            <c:rich>
              <a:bodyPr rot="0" vert="horz"/>
              <a:lstStyle/>
              <a:p>
                <a:pPr>
                  <a:defRPr/>
                </a:pPr>
                <a:r>
                  <a:rPr lang="es-AR"/>
                  <a:t>Cabezas</a:t>
                </a:r>
              </a:p>
            </c:rich>
          </c:tx>
          <c:layout>
            <c:manualLayout>
              <c:xMode val="edge"/>
              <c:yMode val="edge"/>
              <c:x val="6.761574074074074E-2"/>
              <c:y val="5.1329519959421956E-2"/>
            </c:manualLayout>
          </c:layout>
          <c:overlay val="0"/>
        </c:title>
        <c:numFmt formatCode="General" sourceLinked="0"/>
        <c:majorTickMark val="out"/>
        <c:minorTickMark val="none"/>
        <c:tickLblPos val="nextTo"/>
        <c:crossAx val="870823440"/>
        <c:crosses val="autoZero"/>
        <c:auto val="1"/>
        <c:lblAlgn val="ctr"/>
        <c:lblOffset val="100"/>
        <c:noMultiLvlLbl val="0"/>
      </c:catAx>
      <c:valAx>
        <c:axId val="870823440"/>
        <c:scaling>
          <c:orientation val="minMax"/>
        </c:scaling>
        <c:delete val="0"/>
        <c:axPos val="b"/>
        <c:majorGridlines>
          <c:spPr>
            <a:ln>
              <a:solidFill>
                <a:schemeClr val="bg1">
                  <a:lumMod val="85000"/>
                </a:schemeClr>
              </a:solidFill>
              <a:prstDash val="sysDot"/>
            </a:ln>
          </c:spPr>
        </c:majorGridlines>
        <c:title>
          <c:tx>
            <c:rich>
              <a:bodyPr/>
              <a:lstStyle/>
              <a:p>
                <a:pPr>
                  <a:defRPr/>
                </a:pPr>
                <a:r>
                  <a:rPr lang="es-AR"/>
                  <a:t>Establecimientos</a:t>
                </a:r>
              </a:p>
            </c:rich>
          </c:tx>
          <c:overlay val="0"/>
        </c:title>
        <c:numFmt formatCode="0%" sourceLinked="1"/>
        <c:majorTickMark val="out"/>
        <c:minorTickMark val="none"/>
        <c:tickLblPos val="nextTo"/>
        <c:crossAx val="870827792"/>
        <c:crosses val="autoZero"/>
        <c:crossBetween val="between"/>
      </c:valAx>
    </c:plotArea>
    <c:plotVisOnly val="1"/>
    <c:dispBlanksAs val="gap"/>
    <c:showDLblsOverMax val="0"/>
  </c:chart>
  <c:spPr>
    <a:ln>
      <a:solidFill>
        <a:schemeClr val="bg1">
          <a:lumMod val="65000"/>
        </a:schemeClr>
      </a:solidFill>
    </a:ln>
  </c:sp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1"/>
      <c:txPr>
        <a:bodyPr/>
        <a:lstStyle/>
        <a:p>
          <a:pPr>
            <a:defRPr sz="1400"/>
          </a:pPr>
          <a:endParaRPr lang="es-AR"/>
        </a:p>
      </c:txPr>
    </c:title>
    <c:autoTitleDeleted val="0"/>
    <c:plotArea>
      <c:layout>
        <c:manualLayout>
          <c:layoutTarget val="inner"/>
          <c:xMode val="edge"/>
          <c:yMode val="edge"/>
          <c:x val="0.18070486111111111"/>
          <c:y val="0.17180104218331893"/>
          <c:w val="0.73232523148148143"/>
          <c:h val="0.61197556387317265"/>
        </c:manualLayout>
      </c:layout>
      <c:barChart>
        <c:barDir val="bar"/>
        <c:grouping val="clustered"/>
        <c:varyColors val="0"/>
        <c:ser>
          <c:idx val="0"/>
          <c:order val="0"/>
          <c:tx>
            <c:strRef>
              <c:f>Gráficos!$B$115</c:f>
              <c:strCache>
                <c:ptCount val="1"/>
                <c:pt idx="0">
                  <c:v>Eficiencia de stock</c:v>
                </c:pt>
              </c:strCache>
            </c:strRef>
          </c:tx>
          <c:invertIfNegative val="0"/>
          <c:cat>
            <c:strRef>
              <c:f>Gráficos!$A$119:$A$122</c:f>
              <c:strCache>
                <c:ptCount val="4"/>
                <c:pt idx="0">
                  <c:v> &gt;0,61 </c:v>
                </c:pt>
                <c:pt idx="1">
                  <c:v> 0,41-0,6 </c:v>
                </c:pt>
                <c:pt idx="2">
                  <c:v> 0,28-0,4 </c:v>
                </c:pt>
                <c:pt idx="3">
                  <c:v> &lt;0,27 </c:v>
                </c:pt>
              </c:strCache>
            </c:strRef>
          </c:cat>
          <c:val>
            <c:numRef>
              <c:f>Gráficos!$F$119:$F$122</c:f>
              <c:numCache>
                <c:formatCode>0%</c:formatCode>
                <c:ptCount val="4"/>
                <c:pt idx="0">
                  <c:v>0</c:v>
                </c:pt>
                <c:pt idx="1">
                  <c:v>0</c:v>
                </c:pt>
                <c:pt idx="2">
                  <c:v>0</c:v>
                </c:pt>
                <c:pt idx="3">
                  <c:v>0</c:v>
                </c:pt>
              </c:numCache>
            </c:numRef>
          </c:val>
          <c:extLst xmlns:c16r2="http://schemas.microsoft.com/office/drawing/2015/06/chart">
            <c:ext xmlns:c16="http://schemas.microsoft.com/office/drawing/2014/chart" uri="{C3380CC4-5D6E-409C-BE32-E72D297353CC}">
              <c16:uniqueId val="{00000000-0D1F-4DD5-8A92-285130F5D857}"/>
            </c:ext>
          </c:extLst>
        </c:ser>
        <c:dLbls>
          <c:showLegendKey val="0"/>
          <c:showVal val="0"/>
          <c:showCatName val="0"/>
          <c:showSerName val="0"/>
          <c:showPercent val="0"/>
          <c:showBubbleSize val="0"/>
        </c:dLbls>
        <c:gapWidth val="40"/>
        <c:axId val="870838672"/>
        <c:axId val="870851184"/>
      </c:barChart>
      <c:catAx>
        <c:axId val="870838672"/>
        <c:scaling>
          <c:orientation val="minMax"/>
        </c:scaling>
        <c:delete val="0"/>
        <c:axPos val="l"/>
        <c:numFmt formatCode="General" sourceLinked="1"/>
        <c:majorTickMark val="out"/>
        <c:minorTickMark val="none"/>
        <c:tickLblPos val="nextTo"/>
        <c:crossAx val="870851184"/>
        <c:crosses val="autoZero"/>
        <c:auto val="1"/>
        <c:lblAlgn val="ctr"/>
        <c:lblOffset val="100"/>
        <c:noMultiLvlLbl val="0"/>
      </c:catAx>
      <c:valAx>
        <c:axId val="870851184"/>
        <c:scaling>
          <c:orientation val="minMax"/>
        </c:scaling>
        <c:delete val="0"/>
        <c:axPos val="b"/>
        <c:majorGridlines>
          <c:spPr>
            <a:ln>
              <a:solidFill>
                <a:schemeClr val="bg1">
                  <a:lumMod val="85000"/>
                </a:schemeClr>
              </a:solidFill>
              <a:prstDash val="sysDot"/>
            </a:ln>
          </c:spPr>
        </c:majorGridlines>
        <c:title>
          <c:tx>
            <c:rich>
              <a:bodyPr/>
              <a:lstStyle/>
              <a:p>
                <a:pPr>
                  <a:defRPr/>
                </a:pPr>
                <a:r>
                  <a:rPr lang="es-AR"/>
                  <a:t>Establecimientos</a:t>
                </a:r>
              </a:p>
            </c:rich>
          </c:tx>
          <c:overlay val="0"/>
        </c:title>
        <c:numFmt formatCode="0%" sourceLinked="1"/>
        <c:majorTickMark val="out"/>
        <c:minorTickMark val="none"/>
        <c:tickLblPos val="nextTo"/>
        <c:crossAx val="870838672"/>
        <c:crosses val="autoZero"/>
        <c:crossBetween val="between"/>
      </c:valAx>
    </c:plotArea>
    <c:plotVisOnly val="1"/>
    <c:dispBlanksAs val="gap"/>
    <c:showDLblsOverMax val="0"/>
  </c:chart>
  <c:spPr>
    <a:ln>
      <a:solidFill>
        <a:schemeClr val="bg1">
          <a:lumMod val="75000"/>
        </a:schemeClr>
      </a:solidFill>
    </a:ln>
  </c:sp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sz="1400"/>
          </a:pPr>
          <a:endParaRPr lang="es-AR"/>
        </a:p>
      </c:txPr>
    </c:title>
    <c:autoTitleDeleted val="0"/>
    <c:plotArea>
      <c:layout>
        <c:manualLayout>
          <c:layoutTarget val="inner"/>
          <c:xMode val="edge"/>
          <c:yMode val="edge"/>
          <c:x val="0.17165367905741361"/>
          <c:y val="0.17180104218331893"/>
          <c:w val="0.77350185679788619"/>
          <c:h val="0.61106340699819339"/>
        </c:manualLayout>
      </c:layout>
      <c:barChart>
        <c:barDir val="bar"/>
        <c:grouping val="clustered"/>
        <c:varyColors val="0"/>
        <c:ser>
          <c:idx val="0"/>
          <c:order val="0"/>
          <c:tx>
            <c:strRef>
              <c:f>Gráficos!$B$127</c:f>
              <c:strCache>
                <c:ptCount val="1"/>
                <c:pt idx="0">
                  <c:v>Kg producidos por persona</c:v>
                </c:pt>
              </c:strCache>
            </c:strRef>
          </c:tx>
          <c:spPr>
            <a:solidFill>
              <a:schemeClr val="bg2">
                <a:lumMod val="50000"/>
              </a:schemeClr>
            </a:solidFill>
          </c:spPr>
          <c:invertIfNegative val="0"/>
          <c:cat>
            <c:strRef>
              <c:f>Gráficos!$A$131:$A$134</c:f>
              <c:strCache>
                <c:ptCount val="4"/>
                <c:pt idx="0">
                  <c:v>&gt;75001</c:v>
                </c:pt>
                <c:pt idx="1">
                  <c:v>50001-75000</c:v>
                </c:pt>
                <c:pt idx="2">
                  <c:v>25001-50000</c:v>
                </c:pt>
                <c:pt idx="3">
                  <c:v>&lt;25000</c:v>
                </c:pt>
              </c:strCache>
            </c:strRef>
          </c:cat>
          <c:val>
            <c:numRef>
              <c:f>Gráficos!$F$131:$F$134</c:f>
              <c:numCache>
                <c:formatCode>0%</c:formatCode>
                <c:ptCount val="4"/>
                <c:pt idx="0">
                  <c:v>0</c:v>
                </c:pt>
                <c:pt idx="1">
                  <c:v>0</c:v>
                </c:pt>
                <c:pt idx="2">
                  <c:v>0</c:v>
                </c:pt>
                <c:pt idx="3">
                  <c:v>0</c:v>
                </c:pt>
              </c:numCache>
            </c:numRef>
          </c:val>
          <c:extLst xmlns:c16r2="http://schemas.microsoft.com/office/drawing/2015/06/chart">
            <c:ext xmlns:c16="http://schemas.microsoft.com/office/drawing/2014/chart" uri="{C3380CC4-5D6E-409C-BE32-E72D297353CC}">
              <c16:uniqueId val="{00000000-8772-4EB2-80D0-6AA6774E7AB2}"/>
            </c:ext>
          </c:extLst>
        </c:ser>
        <c:dLbls>
          <c:showLegendKey val="0"/>
          <c:showVal val="0"/>
          <c:showCatName val="0"/>
          <c:showSerName val="0"/>
          <c:showPercent val="0"/>
          <c:showBubbleSize val="0"/>
        </c:dLbls>
        <c:gapWidth val="40"/>
        <c:axId val="870846288"/>
        <c:axId val="870851728"/>
      </c:barChart>
      <c:catAx>
        <c:axId val="870846288"/>
        <c:scaling>
          <c:orientation val="minMax"/>
        </c:scaling>
        <c:delete val="0"/>
        <c:axPos val="l"/>
        <c:numFmt formatCode="General" sourceLinked="1"/>
        <c:majorTickMark val="out"/>
        <c:minorTickMark val="none"/>
        <c:tickLblPos val="nextTo"/>
        <c:crossAx val="870851728"/>
        <c:crosses val="autoZero"/>
        <c:auto val="1"/>
        <c:lblAlgn val="ctr"/>
        <c:lblOffset val="100"/>
        <c:noMultiLvlLbl val="0"/>
      </c:catAx>
      <c:valAx>
        <c:axId val="870851728"/>
        <c:scaling>
          <c:orientation val="minMax"/>
        </c:scaling>
        <c:delete val="0"/>
        <c:axPos val="b"/>
        <c:majorGridlines>
          <c:spPr>
            <a:ln>
              <a:solidFill>
                <a:schemeClr val="bg1">
                  <a:lumMod val="85000"/>
                </a:schemeClr>
              </a:solidFill>
              <a:prstDash val="sysDot"/>
            </a:ln>
          </c:spPr>
        </c:majorGridlines>
        <c:title>
          <c:tx>
            <c:rich>
              <a:bodyPr/>
              <a:lstStyle/>
              <a:p>
                <a:pPr>
                  <a:defRPr/>
                </a:pPr>
                <a:r>
                  <a:rPr lang="es-AR"/>
                  <a:t>Establecimientos</a:t>
                </a:r>
              </a:p>
            </c:rich>
          </c:tx>
          <c:overlay val="0"/>
        </c:title>
        <c:numFmt formatCode="0%" sourceLinked="1"/>
        <c:majorTickMark val="out"/>
        <c:minorTickMark val="none"/>
        <c:tickLblPos val="nextTo"/>
        <c:crossAx val="870846288"/>
        <c:crosses val="autoZero"/>
        <c:crossBetween val="between"/>
      </c:valAx>
    </c:plotArea>
    <c:plotVisOnly val="1"/>
    <c:dispBlanksAs val="gap"/>
    <c:showDLblsOverMax val="0"/>
  </c:chart>
  <c:spPr>
    <a:ln>
      <a:solidFill>
        <a:schemeClr val="bg1">
          <a:lumMod val="75000"/>
        </a:schemeClr>
      </a:solidFill>
    </a:ln>
  </c:sp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998538035898307"/>
          <c:y val="0.17122407407407408"/>
          <c:w val="0.76360412950539469"/>
          <c:h val="0.61964111111111109"/>
        </c:manualLayout>
      </c:layout>
      <c:stockChart>
        <c:ser>
          <c:idx val="0"/>
          <c:order val="0"/>
          <c:tx>
            <c:strRef>
              <c:f>Gráficos!$K$142</c:f>
              <c:strCache>
                <c:ptCount val="1"/>
                <c:pt idx="0">
                  <c:v>1° Cuartil</c:v>
                </c:pt>
              </c:strCache>
            </c:strRef>
          </c:tx>
          <c:spPr>
            <a:ln w="28575">
              <a:noFill/>
            </a:ln>
          </c:spPr>
          <c:marker>
            <c:symbol val="none"/>
          </c:marker>
          <c:cat>
            <c:strRef>
              <c:f>Gráficos!$H$144:$I$146</c:f>
              <c:strCache>
                <c:ptCount val="3"/>
                <c:pt idx="0">
                  <c:v>% preñez de vacas '16 (servicio '15)</c:v>
                </c:pt>
                <c:pt idx="1">
                  <c:v>% preñez vaq de 1° (servicio '15)</c:v>
                </c:pt>
                <c:pt idx="2">
                  <c:v>% preñez rodeo de Cría '16 (servicio '15)</c:v>
                </c:pt>
              </c:strCache>
            </c:strRef>
          </c:cat>
          <c:val>
            <c:numRef>
              <c:f>Gráficos!$K$144:$K$146</c:f>
              <c:numCache>
                <c:formatCode>0%</c:formatCode>
                <c:ptCount val="3"/>
                <c:pt idx="0">
                  <c:v>#N/A</c:v>
                </c:pt>
                <c:pt idx="1">
                  <c:v>#N/A</c:v>
                </c:pt>
                <c:pt idx="2">
                  <c:v>#N/A</c:v>
                </c:pt>
              </c:numCache>
            </c:numRef>
          </c:val>
          <c:smooth val="0"/>
          <c:extLst xmlns:c16r2="http://schemas.microsoft.com/office/drawing/2015/06/chart">
            <c:ext xmlns:c16="http://schemas.microsoft.com/office/drawing/2014/chart" uri="{C3380CC4-5D6E-409C-BE32-E72D297353CC}">
              <c16:uniqueId val="{00000000-7D51-4246-BD32-CECBA1BD5A6E}"/>
            </c:ext>
          </c:extLst>
        </c:ser>
        <c:ser>
          <c:idx val="1"/>
          <c:order val="1"/>
          <c:tx>
            <c:strRef>
              <c:f>Gráficos!$J$143</c:f>
              <c:strCache>
                <c:ptCount val="1"/>
                <c:pt idx="0">
                  <c:v>Máx</c:v>
                </c:pt>
              </c:strCache>
            </c:strRef>
          </c:tx>
          <c:spPr>
            <a:ln w="28575">
              <a:noFill/>
            </a:ln>
          </c:spPr>
          <c:marker>
            <c:symbol val="dash"/>
            <c:size val="5"/>
            <c:spPr>
              <a:solidFill>
                <a:schemeClr val="tx1"/>
              </a:solidFill>
              <a:ln>
                <a:solidFill>
                  <a:schemeClr val="tx1"/>
                </a:solidFill>
              </a:ln>
            </c:spPr>
          </c:marker>
          <c:cat>
            <c:strRef>
              <c:f>Gráficos!$H$144:$I$146</c:f>
              <c:strCache>
                <c:ptCount val="3"/>
                <c:pt idx="0">
                  <c:v>% preñez de vacas '16 (servicio '15)</c:v>
                </c:pt>
                <c:pt idx="1">
                  <c:v>% preñez vaq de 1° (servicio '15)</c:v>
                </c:pt>
                <c:pt idx="2">
                  <c:v>% preñez rodeo de Cría '16 (servicio '15)</c:v>
                </c:pt>
              </c:strCache>
            </c:strRef>
          </c:cat>
          <c:val>
            <c:numRef>
              <c:f>Gráficos!$J$144:$J$146</c:f>
              <c:numCache>
                <c:formatCode>0%</c:formatCode>
                <c:ptCount val="3"/>
                <c:pt idx="0">
                  <c:v>#N/A</c:v>
                </c:pt>
                <c:pt idx="1">
                  <c:v>#N/A</c:v>
                </c:pt>
                <c:pt idx="2">
                  <c:v>#N/A</c:v>
                </c:pt>
              </c:numCache>
            </c:numRef>
          </c:val>
          <c:smooth val="0"/>
          <c:extLst xmlns:c16r2="http://schemas.microsoft.com/office/drawing/2015/06/chart">
            <c:ext xmlns:c16="http://schemas.microsoft.com/office/drawing/2014/chart" uri="{C3380CC4-5D6E-409C-BE32-E72D297353CC}">
              <c16:uniqueId val="{00000001-7D51-4246-BD32-CECBA1BD5A6E}"/>
            </c:ext>
          </c:extLst>
        </c:ser>
        <c:ser>
          <c:idx val="2"/>
          <c:order val="2"/>
          <c:tx>
            <c:strRef>
              <c:f>Gráficos!$M$143</c:f>
              <c:strCache>
                <c:ptCount val="1"/>
                <c:pt idx="0">
                  <c:v>Mín</c:v>
                </c:pt>
              </c:strCache>
            </c:strRef>
          </c:tx>
          <c:spPr>
            <a:ln w="28575">
              <a:noFill/>
            </a:ln>
          </c:spPr>
          <c:marker>
            <c:symbol val="dash"/>
            <c:size val="5"/>
            <c:spPr>
              <a:solidFill>
                <a:schemeClr val="tx1"/>
              </a:solidFill>
              <a:ln>
                <a:solidFill>
                  <a:schemeClr val="tx1"/>
                </a:solidFill>
              </a:ln>
            </c:spPr>
          </c:marker>
          <c:cat>
            <c:strRef>
              <c:f>Gráficos!$H$144:$I$146</c:f>
              <c:strCache>
                <c:ptCount val="3"/>
                <c:pt idx="0">
                  <c:v>% preñez de vacas '16 (servicio '15)</c:v>
                </c:pt>
                <c:pt idx="1">
                  <c:v>% preñez vaq de 1° (servicio '15)</c:v>
                </c:pt>
                <c:pt idx="2">
                  <c:v>% preñez rodeo de Cría '16 (servicio '15)</c:v>
                </c:pt>
              </c:strCache>
            </c:strRef>
          </c:cat>
          <c:val>
            <c:numRef>
              <c:f>Gráficos!$M$144:$M$146</c:f>
              <c:numCache>
                <c:formatCode>0%</c:formatCode>
                <c:ptCount val="3"/>
                <c:pt idx="0">
                  <c:v>#N/A</c:v>
                </c:pt>
                <c:pt idx="1">
                  <c:v>#N/A</c:v>
                </c:pt>
                <c:pt idx="2">
                  <c:v>#N/A</c:v>
                </c:pt>
              </c:numCache>
            </c:numRef>
          </c:val>
          <c:smooth val="0"/>
          <c:extLst xmlns:c16r2="http://schemas.microsoft.com/office/drawing/2015/06/chart">
            <c:ext xmlns:c16="http://schemas.microsoft.com/office/drawing/2014/chart" uri="{C3380CC4-5D6E-409C-BE32-E72D297353CC}">
              <c16:uniqueId val="{00000002-7D51-4246-BD32-CECBA1BD5A6E}"/>
            </c:ext>
          </c:extLst>
        </c:ser>
        <c:ser>
          <c:idx val="3"/>
          <c:order val="3"/>
          <c:tx>
            <c:strRef>
              <c:f>Gráficos!$L$142</c:f>
              <c:strCache>
                <c:ptCount val="1"/>
                <c:pt idx="0">
                  <c:v>3°Cuartil</c:v>
                </c:pt>
              </c:strCache>
            </c:strRef>
          </c:tx>
          <c:spPr>
            <a:ln w="28575">
              <a:noFill/>
            </a:ln>
          </c:spPr>
          <c:marker>
            <c:symbol val="none"/>
          </c:marker>
          <c:cat>
            <c:strRef>
              <c:f>Gráficos!$H$144:$I$146</c:f>
              <c:strCache>
                <c:ptCount val="3"/>
                <c:pt idx="0">
                  <c:v>% preñez de vacas '16 (servicio '15)</c:v>
                </c:pt>
                <c:pt idx="1">
                  <c:v>% preñez vaq de 1° (servicio '15)</c:v>
                </c:pt>
                <c:pt idx="2">
                  <c:v>% preñez rodeo de Cría '16 (servicio '15)</c:v>
                </c:pt>
              </c:strCache>
            </c:strRef>
          </c:cat>
          <c:val>
            <c:numRef>
              <c:f>Gráficos!$L$144:$L$146</c:f>
              <c:numCache>
                <c:formatCode>0%</c:formatCode>
                <c:ptCount val="3"/>
                <c:pt idx="0">
                  <c:v>#N/A</c:v>
                </c:pt>
                <c:pt idx="1">
                  <c:v>#N/A</c:v>
                </c:pt>
                <c:pt idx="2">
                  <c:v>#N/A</c:v>
                </c:pt>
              </c:numCache>
            </c:numRef>
          </c:val>
          <c:smooth val="0"/>
          <c:extLst xmlns:c16r2="http://schemas.microsoft.com/office/drawing/2015/06/chart">
            <c:ext xmlns:c16="http://schemas.microsoft.com/office/drawing/2014/chart" uri="{C3380CC4-5D6E-409C-BE32-E72D297353CC}">
              <c16:uniqueId val="{00000003-7D51-4246-BD32-CECBA1BD5A6E}"/>
            </c:ext>
          </c:extLst>
        </c:ser>
        <c:dLbls>
          <c:showLegendKey val="0"/>
          <c:showVal val="0"/>
          <c:showCatName val="0"/>
          <c:showSerName val="0"/>
          <c:showPercent val="0"/>
          <c:showBubbleSize val="0"/>
        </c:dLbls>
        <c:hiLowLines/>
        <c:upDownBars>
          <c:gapWidth val="150"/>
          <c:upBars/>
          <c:downBars>
            <c:spPr>
              <a:solidFill>
                <a:schemeClr val="bg1"/>
              </a:solidFill>
            </c:spPr>
          </c:downBars>
        </c:upDownBars>
        <c:axId val="870848464"/>
        <c:axId val="870829424"/>
      </c:stockChart>
      <c:stockChart>
        <c:ser>
          <c:idx val="4"/>
          <c:order val="4"/>
          <c:tx>
            <c:strRef>
              <c:f>Gráficos!$N$142</c:f>
              <c:strCache>
                <c:ptCount val="1"/>
                <c:pt idx="0">
                  <c:v>Promedio</c:v>
                </c:pt>
              </c:strCache>
            </c:strRef>
          </c:tx>
          <c:spPr>
            <a:ln w="28575">
              <a:noFill/>
            </a:ln>
          </c:spPr>
          <c:marker>
            <c:symbol val="circle"/>
            <c:size val="7"/>
            <c:spPr>
              <a:solidFill>
                <a:schemeClr val="tx1"/>
              </a:solidFill>
              <a:ln>
                <a:solidFill>
                  <a:schemeClr val="tx1"/>
                </a:solidFill>
              </a:ln>
            </c:spPr>
          </c:marker>
          <c:val>
            <c:numRef>
              <c:f>Gráficos!$N$144:$N$146</c:f>
              <c:numCache>
                <c:formatCode>0%</c:formatCode>
                <c:ptCount val="3"/>
                <c:pt idx="0">
                  <c:v>#N/A</c:v>
                </c:pt>
                <c:pt idx="1">
                  <c:v>#N/A</c:v>
                </c:pt>
                <c:pt idx="2">
                  <c:v>#N/A</c:v>
                </c:pt>
              </c:numCache>
            </c:numRef>
          </c:val>
          <c:smooth val="0"/>
          <c:extLst xmlns:c16r2="http://schemas.microsoft.com/office/drawing/2015/06/chart">
            <c:ext xmlns:c16="http://schemas.microsoft.com/office/drawing/2014/chart" uri="{C3380CC4-5D6E-409C-BE32-E72D297353CC}">
              <c16:uniqueId val="{00000004-7D51-4246-BD32-CECBA1BD5A6E}"/>
            </c:ext>
          </c:extLst>
        </c:ser>
        <c:dLbls>
          <c:showLegendKey val="0"/>
          <c:showVal val="0"/>
          <c:showCatName val="0"/>
          <c:showSerName val="0"/>
          <c:showPercent val="0"/>
          <c:showBubbleSize val="0"/>
        </c:dLbls>
        <c:axId val="870852816"/>
        <c:axId val="870852272"/>
      </c:stockChart>
      <c:catAx>
        <c:axId val="870848464"/>
        <c:scaling>
          <c:orientation val="minMax"/>
        </c:scaling>
        <c:delete val="0"/>
        <c:axPos val="b"/>
        <c:numFmt formatCode="General" sourceLinked="0"/>
        <c:majorTickMark val="out"/>
        <c:minorTickMark val="none"/>
        <c:tickLblPos val="nextTo"/>
        <c:crossAx val="870829424"/>
        <c:crosses val="autoZero"/>
        <c:auto val="1"/>
        <c:lblAlgn val="ctr"/>
        <c:lblOffset val="100"/>
        <c:noMultiLvlLbl val="0"/>
      </c:catAx>
      <c:valAx>
        <c:axId val="870829424"/>
        <c:scaling>
          <c:orientation val="minMax"/>
          <c:max val="1"/>
          <c:min val="0.4"/>
        </c:scaling>
        <c:delete val="0"/>
        <c:axPos val="l"/>
        <c:majorGridlines>
          <c:spPr>
            <a:ln>
              <a:solidFill>
                <a:schemeClr val="bg1">
                  <a:lumMod val="85000"/>
                </a:schemeClr>
              </a:solidFill>
              <a:prstDash val="sysDot"/>
            </a:ln>
          </c:spPr>
        </c:majorGridlines>
        <c:numFmt formatCode="0%" sourceLinked="1"/>
        <c:majorTickMark val="out"/>
        <c:minorTickMark val="none"/>
        <c:tickLblPos val="nextTo"/>
        <c:crossAx val="870848464"/>
        <c:crosses val="autoZero"/>
        <c:crossBetween val="between"/>
      </c:valAx>
      <c:valAx>
        <c:axId val="870852272"/>
        <c:scaling>
          <c:orientation val="minMax"/>
          <c:max val="1"/>
          <c:min val="0.4"/>
        </c:scaling>
        <c:delete val="0"/>
        <c:axPos val="r"/>
        <c:numFmt formatCode="0%" sourceLinked="1"/>
        <c:majorTickMark val="out"/>
        <c:minorTickMark val="none"/>
        <c:tickLblPos val="nextTo"/>
        <c:crossAx val="870852816"/>
        <c:crosses val="max"/>
        <c:crossBetween val="between"/>
      </c:valAx>
      <c:catAx>
        <c:axId val="870852816"/>
        <c:scaling>
          <c:orientation val="minMax"/>
        </c:scaling>
        <c:delete val="1"/>
        <c:axPos val="b"/>
        <c:majorTickMark val="out"/>
        <c:minorTickMark val="none"/>
        <c:tickLblPos val="nextTo"/>
        <c:crossAx val="870852272"/>
        <c:crosses val="autoZero"/>
        <c:auto val="1"/>
        <c:lblAlgn val="ctr"/>
        <c:lblOffset val="100"/>
        <c:noMultiLvlLbl val="0"/>
      </c:catAx>
    </c:plotArea>
    <c:legend>
      <c:legendPos val="t"/>
      <c:layout>
        <c:manualLayout>
          <c:xMode val="edge"/>
          <c:yMode val="edge"/>
          <c:x val="0.10102939814814815"/>
          <c:y val="3.2564102564102561E-2"/>
          <c:w val="0.77148287037037033"/>
          <c:h val="9.8142307692307695E-2"/>
        </c:manualLayout>
      </c:layout>
      <c:overlay val="0"/>
    </c:legend>
    <c:plotVisOnly val="1"/>
    <c:dispBlanksAs val="gap"/>
    <c:showDLblsOverMax val="0"/>
  </c:chart>
  <c:spPr>
    <a:ln>
      <a:solidFill>
        <a:schemeClr val="bg1">
          <a:lumMod val="65000"/>
        </a:schemeClr>
      </a:solidFill>
    </a:ln>
  </c:sp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998538035898307"/>
          <c:y val="0.17122407407407408"/>
          <c:w val="0.76360412950539469"/>
          <c:h val="0.61964111111111109"/>
        </c:manualLayout>
      </c:layout>
      <c:stockChart>
        <c:ser>
          <c:idx val="0"/>
          <c:order val="0"/>
          <c:tx>
            <c:strRef>
              <c:f>Gráficos!$E$200</c:f>
              <c:strCache>
                <c:ptCount val="1"/>
                <c:pt idx="0">
                  <c:v>1° Cuartil</c:v>
                </c:pt>
              </c:strCache>
            </c:strRef>
          </c:tx>
          <c:spPr>
            <a:ln w="28575">
              <a:noFill/>
            </a:ln>
          </c:spPr>
          <c:marker>
            <c:symbol val="none"/>
          </c:marker>
          <c:cat>
            <c:strRef>
              <c:f>Gráficos!$C$202:$C$203</c:f>
              <c:strCache>
                <c:ptCount val="2"/>
                <c:pt idx="0">
                  <c:v>% preñez rodeo de cría (servicio '14)</c:v>
                </c:pt>
                <c:pt idx="1">
                  <c:v>% destete  de rodeo de cría (servicio '14) </c:v>
                </c:pt>
              </c:strCache>
            </c:strRef>
          </c:cat>
          <c:val>
            <c:numRef>
              <c:f>Gráficos!$E$202:$E$203</c:f>
              <c:numCache>
                <c:formatCode>0.00</c:formatCode>
                <c:ptCount val="2"/>
                <c:pt idx="0">
                  <c:v>#N/A</c:v>
                </c:pt>
                <c:pt idx="1">
                  <c:v>#N/A</c:v>
                </c:pt>
              </c:numCache>
            </c:numRef>
          </c:val>
          <c:smooth val="0"/>
          <c:extLst xmlns:c16r2="http://schemas.microsoft.com/office/drawing/2015/06/chart">
            <c:ext xmlns:c16="http://schemas.microsoft.com/office/drawing/2014/chart" uri="{C3380CC4-5D6E-409C-BE32-E72D297353CC}">
              <c16:uniqueId val="{00000000-579C-4B83-8369-74D2F29FA24B}"/>
            </c:ext>
          </c:extLst>
        </c:ser>
        <c:ser>
          <c:idx val="1"/>
          <c:order val="1"/>
          <c:tx>
            <c:strRef>
              <c:f>Gráficos!$D$201</c:f>
              <c:strCache>
                <c:ptCount val="1"/>
                <c:pt idx="0">
                  <c:v>Máx</c:v>
                </c:pt>
              </c:strCache>
            </c:strRef>
          </c:tx>
          <c:spPr>
            <a:ln w="28575">
              <a:noFill/>
            </a:ln>
          </c:spPr>
          <c:marker>
            <c:symbol val="dash"/>
            <c:size val="5"/>
            <c:spPr>
              <a:solidFill>
                <a:schemeClr val="tx1"/>
              </a:solidFill>
              <a:ln>
                <a:solidFill>
                  <a:schemeClr val="tx1"/>
                </a:solidFill>
              </a:ln>
            </c:spPr>
          </c:marker>
          <c:cat>
            <c:strRef>
              <c:f>Gráficos!$C$202:$C$203</c:f>
              <c:strCache>
                <c:ptCount val="2"/>
                <c:pt idx="0">
                  <c:v>% preñez rodeo de cría (servicio '14)</c:v>
                </c:pt>
                <c:pt idx="1">
                  <c:v>% destete  de rodeo de cría (servicio '14) </c:v>
                </c:pt>
              </c:strCache>
            </c:strRef>
          </c:cat>
          <c:val>
            <c:numRef>
              <c:f>Gráficos!$D$202:$D$203</c:f>
              <c:numCache>
                <c:formatCode>0.00</c:formatCode>
                <c:ptCount val="2"/>
                <c:pt idx="0">
                  <c:v>#N/A</c:v>
                </c:pt>
                <c:pt idx="1">
                  <c:v>#N/A</c:v>
                </c:pt>
              </c:numCache>
            </c:numRef>
          </c:val>
          <c:smooth val="0"/>
          <c:extLst xmlns:c16r2="http://schemas.microsoft.com/office/drawing/2015/06/chart">
            <c:ext xmlns:c16="http://schemas.microsoft.com/office/drawing/2014/chart" uri="{C3380CC4-5D6E-409C-BE32-E72D297353CC}">
              <c16:uniqueId val="{00000001-579C-4B83-8369-74D2F29FA24B}"/>
            </c:ext>
          </c:extLst>
        </c:ser>
        <c:ser>
          <c:idx val="2"/>
          <c:order val="2"/>
          <c:tx>
            <c:strRef>
              <c:f>Gráficos!$G$201</c:f>
              <c:strCache>
                <c:ptCount val="1"/>
                <c:pt idx="0">
                  <c:v>Mín</c:v>
                </c:pt>
              </c:strCache>
            </c:strRef>
          </c:tx>
          <c:spPr>
            <a:ln w="28575">
              <a:noFill/>
            </a:ln>
          </c:spPr>
          <c:marker>
            <c:symbol val="dash"/>
            <c:size val="5"/>
            <c:spPr>
              <a:solidFill>
                <a:schemeClr val="tx1"/>
              </a:solidFill>
              <a:ln>
                <a:solidFill>
                  <a:schemeClr val="tx1"/>
                </a:solidFill>
              </a:ln>
            </c:spPr>
          </c:marker>
          <c:cat>
            <c:strRef>
              <c:f>Gráficos!$C$202:$C$203</c:f>
              <c:strCache>
                <c:ptCount val="2"/>
                <c:pt idx="0">
                  <c:v>% preñez rodeo de cría (servicio '14)</c:v>
                </c:pt>
                <c:pt idx="1">
                  <c:v>% destete  de rodeo de cría (servicio '14) </c:v>
                </c:pt>
              </c:strCache>
            </c:strRef>
          </c:cat>
          <c:val>
            <c:numRef>
              <c:f>Gráficos!$G$202:$G$203</c:f>
              <c:numCache>
                <c:formatCode>0.00</c:formatCode>
                <c:ptCount val="2"/>
                <c:pt idx="0">
                  <c:v>#N/A</c:v>
                </c:pt>
                <c:pt idx="1">
                  <c:v>#N/A</c:v>
                </c:pt>
              </c:numCache>
            </c:numRef>
          </c:val>
          <c:smooth val="0"/>
          <c:extLst xmlns:c16r2="http://schemas.microsoft.com/office/drawing/2015/06/chart">
            <c:ext xmlns:c16="http://schemas.microsoft.com/office/drawing/2014/chart" uri="{C3380CC4-5D6E-409C-BE32-E72D297353CC}">
              <c16:uniqueId val="{00000002-579C-4B83-8369-74D2F29FA24B}"/>
            </c:ext>
          </c:extLst>
        </c:ser>
        <c:ser>
          <c:idx val="3"/>
          <c:order val="3"/>
          <c:tx>
            <c:strRef>
              <c:f>Gráficos!$F$200</c:f>
              <c:strCache>
                <c:ptCount val="1"/>
                <c:pt idx="0">
                  <c:v>3°Cuartil</c:v>
                </c:pt>
              </c:strCache>
            </c:strRef>
          </c:tx>
          <c:spPr>
            <a:ln w="28575">
              <a:noFill/>
            </a:ln>
          </c:spPr>
          <c:marker>
            <c:symbol val="none"/>
          </c:marker>
          <c:cat>
            <c:strRef>
              <c:f>Gráficos!$C$202:$C$203</c:f>
              <c:strCache>
                <c:ptCount val="2"/>
                <c:pt idx="0">
                  <c:v>% preñez rodeo de cría (servicio '14)</c:v>
                </c:pt>
                <c:pt idx="1">
                  <c:v>% destete  de rodeo de cría (servicio '14) </c:v>
                </c:pt>
              </c:strCache>
            </c:strRef>
          </c:cat>
          <c:val>
            <c:numRef>
              <c:f>Gráficos!$F$202:$F$203</c:f>
              <c:numCache>
                <c:formatCode>0.00</c:formatCode>
                <c:ptCount val="2"/>
                <c:pt idx="0">
                  <c:v>#N/A</c:v>
                </c:pt>
                <c:pt idx="1">
                  <c:v>#N/A</c:v>
                </c:pt>
              </c:numCache>
            </c:numRef>
          </c:val>
          <c:smooth val="0"/>
          <c:extLst xmlns:c16r2="http://schemas.microsoft.com/office/drawing/2015/06/chart">
            <c:ext xmlns:c16="http://schemas.microsoft.com/office/drawing/2014/chart" uri="{C3380CC4-5D6E-409C-BE32-E72D297353CC}">
              <c16:uniqueId val="{00000003-579C-4B83-8369-74D2F29FA24B}"/>
            </c:ext>
          </c:extLst>
        </c:ser>
        <c:dLbls>
          <c:showLegendKey val="0"/>
          <c:showVal val="0"/>
          <c:showCatName val="0"/>
          <c:showSerName val="0"/>
          <c:showPercent val="0"/>
          <c:showBubbleSize val="0"/>
        </c:dLbls>
        <c:hiLowLines/>
        <c:upDownBars>
          <c:gapWidth val="150"/>
          <c:upBars/>
          <c:downBars>
            <c:spPr>
              <a:solidFill>
                <a:schemeClr val="bg1"/>
              </a:solidFill>
            </c:spPr>
          </c:downBars>
        </c:upDownBars>
        <c:axId val="870807664"/>
        <c:axId val="870796240"/>
      </c:stockChart>
      <c:stockChart>
        <c:ser>
          <c:idx val="4"/>
          <c:order val="4"/>
          <c:tx>
            <c:strRef>
              <c:f>Gráficos!$H$200</c:f>
              <c:strCache>
                <c:ptCount val="1"/>
                <c:pt idx="0">
                  <c:v>Promedio</c:v>
                </c:pt>
              </c:strCache>
            </c:strRef>
          </c:tx>
          <c:spPr>
            <a:ln w="28575">
              <a:noFill/>
            </a:ln>
          </c:spPr>
          <c:marker>
            <c:symbol val="circle"/>
            <c:size val="7"/>
            <c:spPr>
              <a:solidFill>
                <a:schemeClr val="tx1"/>
              </a:solidFill>
              <a:ln>
                <a:solidFill>
                  <a:schemeClr val="tx1"/>
                </a:solidFill>
              </a:ln>
            </c:spPr>
          </c:marker>
          <c:val>
            <c:numRef>
              <c:f>Gráficos!$H$202:$H$203</c:f>
              <c:numCache>
                <c:formatCode>0.00</c:formatCode>
                <c:ptCount val="2"/>
                <c:pt idx="0">
                  <c:v>#N/A</c:v>
                </c:pt>
                <c:pt idx="1">
                  <c:v>#N/A</c:v>
                </c:pt>
              </c:numCache>
            </c:numRef>
          </c:val>
          <c:smooth val="0"/>
          <c:extLst xmlns:c16r2="http://schemas.microsoft.com/office/drawing/2015/06/chart">
            <c:ext xmlns:c16="http://schemas.microsoft.com/office/drawing/2014/chart" uri="{C3380CC4-5D6E-409C-BE32-E72D297353CC}">
              <c16:uniqueId val="{00000004-579C-4B83-8369-74D2F29FA24B}"/>
            </c:ext>
          </c:extLst>
        </c:ser>
        <c:dLbls>
          <c:showLegendKey val="0"/>
          <c:showVal val="0"/>
          <c:showCatName val="0"/>
          <c:showSerName val="0"/>
          <c:showPercent val="0"/>
          <c:showBubbleSize val="0"/>
        </c:dLbls>
        <c:axId val="870790256"/>
        <c:axId val="870802768"/>
      </c:stockChart>
      <c:catAx>
        <c:axId val="870807664"/>
        <c:scaling>
          <c:orientation val="minMax"/>
        </c:scaling>
        <c:delete val="0"/>
        <c:axPos val="b"/>
        <c:numFmt formatCode="General" sourceLinked="0"/>
        <c:majorTickMark val="out"/>
        <c:minorTickMark val="none"/>
        <c:tickLblPos val="nextTo"/>
        <c:crossAx val="870796240"/>
        <c:crosses val="autoZero"/>
        <c:auto val="1"/>
        <c:lblAlgn val="ctr"/>
        <c:lblOffset val="100"/>
        <c:noMultiLvlLbl val="0"/>
      </c:catAx>
      <c:valAx>
        <c:axId val="870796240"/>
        <c:scaling>
          <c:orientation val="minMax"/>
          <c:max val="1"/>
        </c:scaling>
        <c:delete val="0"/>
        <c:axPos val="l"/>
        <c:majorGridlines>
          <c:spPr>
            <a:ln>
              <a:solidFill>
                <a:schemeClr val="bg1">
                  <a:lumMod val="85000"/>
                </a:schemeClr>
              </a:solidFill>
              <a:prstDash val="sysDot"/>
            </a:ln>
          </c:spPr>
        </c:majorGridlines>
        <c:numFmt formatCode="0.00" sourceLinked="1"/>
        <c:majorTickMark val="out"/>
        <c:minorTickMark val="none"/>
        <c:tickLblPos val="nextTo"/>
        <c:crossAx val="870807664"/>
        <c:crosses val="autoZero"/>
        <c:crossBetween val="between"/>
      </c:valAx>
      <c:valAx>
        <c:axId val="870802768"/>
        <c:scaling>
          <c:orientation val="minMax"/>
          <c:max val="1"/>
          <c:min val="0"/>
        </c:scaling>
        <c:delete val="0"/>
        <c:axPos val="r"/>
        <c:numFmt formatCode="0.00" sourceLinked="1"/>
        <c:majorTickMark val="out"/>
        <c:minorTickMark val="none"/>
        <c:tickLblPos val="nextTo"/>
        <c:crossAx val="870790256"/>
        <c:crosses val="max"/>
        <c:crossBetween val="between"/>
      </c:valAx>
      <c:catAx>
        <c:axId val="870790256"/>
        <c:scaling>
          <c:orientation val="minMax"/>
        </c:scaling>
        <c:delete val="1"/>
        <c:axPos val="b"/>
        <c:majorTickMark val="out"/>
        <c:minorTickMark val="none"/>
        <c:tickLblPos val="nextTo"/>
        <c:crossAx val="870802768"/>
        <c:crosses val="autoZero"/>
        <c:auto val="1"/>
        <c:lblAlgn val="ctr"/>
        <c:lblOffset val="100"/>
        <c:noMultiLvlLbl val="0"/>
      </c:catAx>
    </c:plotArea>
    <c:legend>
      <c:legendPos val="t"/>
      <c:overlay val="0"/>
    </c:legend>
    <c:plotVisOnly val="1"/>
    <c:dispBlanksAs val="gap"/>
    <c:showDLblsOverMax val="0"/>
  </c:chart>
  <c:spPr>
    <a:ln>
      <a:solidFill>
        <a:schemeClr val="bg1">
          <a:lumMod val="65000"/>
        </a:schemeClr>
      </a:solidFill>
    </a:ln>
  </c:sp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998538035898307"/>
          <c:y val="0.17122407407407408"/>
          <c:w val="0.76360412950539469"/>
          <c:h val="0.61964111111111109"/>
        </c:manualLayout>
      </c:layout>
      <c:stockChart>
        <c:ser>
          <c:idx val="0"/>
          <c:order val="0"/>
          <c:tx>
            <c:strRef>
              <c:f>Gráficos!$K$142</c:f>
              <c:strCache>
                <c:ptCount val="1"/>
                <c:pt idx="0">
                  <c:v>1° Cuartil</c:v>
                </c:pt>
              </c:strCache>
            </c:strRef>
          </c:tx>
          <c:spPr>
            <a:ln w="28575">
              <a:noFill/>
            </a:ln>
          </c:spPr>
          <c:marker>
            <c:symbol val="none"/>
          </c:marker>
          <c:cat>
            <c:strRef>
              <c:f>(Gráficos!$I$146,Gráficos!$C$202)</c:f>
              <c:strCache>
                <c:ptCount val="2"/>
                <c:pt idx="0">
                  <c:v>% preñez rodeo de Cría '16 (servicio '15)</c:v>
                </c:pt>
                <c:pt idx="1">
                  <c:v>% preñez rodeo de cría (servicio '14)</c:v>
                </c:pt>
              </c:strCache>
            </c:strRef>
          </c:cat>
          <c:val>
            <c:numRef>
              <c:f>(Gráficos!$K$146,Gráficos!$E$202)</c:f>
              <c:numCache>
                <c:formatCode>0.00</c:formatCode>
                <c:ptCount val="2"/>
                <c:pt idx="0" formatCode="0%">
                  <c:v>#N/A</c:v>
                </c:pt>
                <c:pt idx="1">
                  <c:v>#N/A</c:v>
                </c:pt>
              </c:numCache>
            </c:numRef>
          </c:val>
          <c:smooth val="0"/>
          <c:extLst xmlns:c16r2="http://schemas.microsoft.com/office/drawing/2015/06/chart">
            <c:ext xmlns:c16="http://schemas.microsoft.com/office/drawing/2014/chart" uri="{C3380CC4-5D6E-409C-BE32-E72D297353CC}">
              <c16:uniqueId val="{00000000-9D42-4E74-9D50-77A9B157E4C6}"/>
            </c:ext>
          </c:extLst>
        </c:ser>
        <c:ser>
          <c:idx val="1"/>
          <c:order val="1"/>
          <c:tx>
            <c:strRef>
              <c:f>Gráficos!$J$143</c:f>
              <c:strCache>
                <c:ptCount val="1"/>
                <c:pt idx="0">
                  <c:v>Máx</c:v>
                </c:pt>
              </c:strCache>
            </c:strRef>
          </c:tx>
          <c:spPr>
            <a:ln w="28575">
              <a:noFill/>
            </a:ln>
          </c:spPr>
          <c:marker>
            <c:symbol val="dash"/>
            <c:size val="5"/>
            <c:spPr>
              <a:solidFill>
                <a:schemeClr val="tx1"/>
              </a:solidFill>
              <a:ln>
                <a:solidFill>
                  <a:schemeClr val="tx1"/>
                </a:solidFill>
              </a:ln>
            </c:spPr>
          </c:marker>
          <c:cat>
            <c:strRef>
              <c:f>(Gráficos!$I$146,Gráficos!$C$202)</c:f>
              <c:strCache>
                <c:ptCount val="2"/>
                <c:pt idx="0">
                  <c:v>% preñez rodeo de Cría '16 (servicio '15)</c:v>
                </c:pt>
                <c:pt idx="1">
                  <c:v>% preñez rodeo de cría (servicio '14)</c:v>
                </c:pt>
              </c:strCache>
            </c:strRef>
          </c:cat>
          <c:val>
            <c:numRef>
              <c:f>(Gráficos!$J$146,Gráficos!$D$202)</c:f>
              <c:numCache>
                <c:formatCode>0.00</c:formatCode>
                <c:ptCount val="2"/>
                <c:pt idx="0" formatCode="0%">
                  <c:v>#N/A</c:v>
                </c:pt>
                <c:pt idx="1">
                  <c:v>#N/A</c:v>
                </c:pt>
              </c:numCache>
            </c:numRef>
          </c:val>
          <c:smooth val="0"/>
          <c:extLst xmlns:c16r2="http://schemas.microsoft.com/office/drawing/2015/06/chart">
            <c:ext xmlns:c16="http://schemas.microsoft.com/office/drawing/2014/chart" uri="{C3380CC4-5D6E-409C-BE32-E72D297353CC}">
              <c16:uniqueId val="{00000001-9D42-4E74-9D50-77A9B157E4C6}"/>
            </c:ext>
          </c:extLst>
        </c:ser>
        <c:ser>
          <c:idx val="2"/>
          <c:order val="2"/>
          <c:tx>
            <c:strRef>
              <c:f>Gráficos!$M$143</c:f>
              <c:strCache>
                <c:ptCount val="1"/>
                <c:pt idx="0">
                  <c:v>Mín</c:v>
                </c:pt>
              </c:strCache>
            </c:strRef>
          </c:tx>
          <c:spPr>
            <a:ln w="28575">
              <a:noFill/>
            </a:ln>
          </c:spPr>
          <c:marker>
            <c:symbol val="dash"/>
            <c:size val="5"/>
            <c:spPr>
              <a:solidFill>
                <a:schemeClr val="tx1"/>
              </a:solidFill>
              <a:ln>
                <a:solidFill>
                  <a:schemeClr val="tx1"/>
                </a:solidFill>
              </a:ln>
            </c:spPr>
          </c:marker>
          <c:cat>
            <c:strRef>
              <c:f>(Gráficos!$I$146,Gráficos!$C$202)</c:f>
              <c:strCache>
                <c:ptCount val="2"/>
                <c:pt idx="0">
                  <c:v>% preñez rodeo de Cría '16 (servicio '15)</c:v>
                </c:pt>
                <c:pt idx="1">
                  <c:v>% preñez rodeo de cría (servicio '14)</c:v>
                </c:pt>
              </c:strCache>
            </c:strRef>
          </c:cat>
          <c:val>
            <c:numRef>
              <c:f>(Gráficos!$M$146,Gráficos!$G$202)</c:f>
              <c:numCache>
                <c:formatCode>0.00</c:formatCode>
                <c:ptCount val="2"/>
                <c:pt idx="0" formatCode="0%">
                  <c:v>#N/A</c:v>
                </c:pt>
                <c:pt idx="1">
                  <c:v>#N/A</c:v>
                </c:pt>
              </c:numCache>
            </c:numRef>
          </c:val>
          <c:smooth val="0"/>
          <c:extLst xmlns:c16r2="http://schemas.microsoft.com/office/drawing/2015/06/chart">
            <c:ext xmlns:c16="http://schemas.microsoft.com/office/drawing/2014/chart" uri="{C3380CC4-5D6E-409C-BE32-E72D297353CC}">
              <c16:uniqueId val="{00000002-9D42-4E74-9D50-77A9B157E4C6}"/>
            </c:ext>
          </c:extLst>
        </c:ser>
        <c:ser>
          <c:idx val="3"/>
          <c:order val="3"/>
          <c:tx>
            <c:strRef>
              <c:f>Gráficos!$L$142</c:f>
              <c:strCache>
                <c:ptCount val="1"/>
                <c:pt idx="0">
                  <c:v>3°Cuartil</c:v>
                </c:pt>
              </c:strCache>
            </c:strRef>
          </c:tx>
          <c:spPr>
            <a:ln w="28575">
              <a:noFill/>
            </a:ln>
          </c:spPr>
          <c:marker>
            <c:symbol val="none"/>
          </c:marker>
          <c:cat>
            <c:strRef>
              <c:f>(Gráficos!$I$146,Gráficos!$C$202)</c:f>
              <c:strCache>
                <c:ptCount val="2"/>
                <c:pt idx="0">
                  <c:v>% preñez rodeo de Cría '16 (servicio '15)</c:v>
                </c:pt>
                <c:pt idx="1">
                  <c:v>% preñez rodeo de cría (servicio '14)</c:v>
                </c:pt>
              </c:strCache>
            </c:strRef>
          </c:cat>
          <c:val>
            <c:numRef>
              <c:f>(Gráficos!$L$146,Gráficos!$F$202)</c:f>
              <c:numCache>
                <c:formatCode>0.00</c:formatCode>
                <c:ptCount val="2"/>
                <c:pt idx="0" formatCode="0%">
                  <c:v>#N/A</c:v>
                </c:pt>
                <c:pt idx="1">
                  <c:v>#N/A</c:v>
                </c:pt>
              </c:numCache>
            </c:numRef>
          </c:val>
          <c:smooth val="0"/>
          <c:extLst xmlns:c16r2="http://schemas.microsoft.com/office/drawing/2015/06/chart">
            <c:ext xmlns:c16="http://schemas.microsoft.com/office/drawing/2014/chart" uri="{C3380CC4-5D6E-409C-BE32-E72D297353CC}">
              <c16:uniqueId val="{00000003-9D42-4E74-9D50-77A9B157E4C6}"/>
            </c:ext>
          </c:extLst>
        </c:ser>
        <c:dLbls>
          <c:showLegendKey val="0"/>
          <c:showVal val="0"/>
          <c:showCatName val="0"/>
          <c:showSerName val="0"/>
          <c:showPercent val="0"/>
          <c:showBubbleSize val="0"/>
        </c:dLbls>
        <c:hiLowLines/>
        <c:upDownBars>
          <c:gapWidth val="150"/>
          <c:upBars/>
          <c:downBars>
            <c:spPr>
              <a:solidFill>
                <a:schemeClr val="bg1"/>
              </a:solidFill>
            </c:spPr>
          </c:downBars>
        </c:upDownBars>
        <c:axId val="870791344"/>
        <c:axId val="870792976"/>
      </c:stockChart>
      <c:stockChart>
        <c:ser>
          <c:idx val="4"/>
          <c:order val="4"/>
          <c:tx>
            <c:strRef>
              <c:f>Gráficos!$N$142</c:f>
              <c:strCache>
                <c:ptCount val="1"/>
                <c:pt idx="0">
                  <c:v>Promedio</c:v>
                </c:pt>
              </c:strCache>
            </c:strRef>
          </c:tx>
          <c:spPr>
            <a:ln w="28575">
              <a:noFill/>
            </a:ln>
          </c:spPr>
          <c:marker>
            <c:symbol val="circle"/>
            <c:size val="7"/>
            <c:spPr>
              <a:solidFill>
                <a:schemeClr val="tx1"/>
              </a:solidFill>
              <a:ln>
                <a:solidFill>
                  <a:schemeClr val="tx1"/>
                </a:solidFill>
              </a:ln>
            </c:spPr>
          </c:marker>
          <c:val>
            <c:numRef>
              <c:f>(Gráficos!$N$146,Gráficos!$H$202)</c:f>
              <c:numCache>
                <c:formatCode>0.00</c:formatCode>
                <c:ptCount val="2"/>
                <c:pt idx="0" formatCode="0%">
                  <c:v>#N/A</c:v>
                </c:pt>
                <c:pt idx="1">
                  <c:v>#N/A</c:v>
                </c:pt>
              </c:numCache>
            </c:numRef>
          </c:val>
          <c:smooth val="0"/>
          <c:extLst xmlns:c16r2="http://schemas.microsoft.com/office/drawing/2015/06/chart">
            <c:ext xmlns:c16="http://schemas.microsoft.com/office/drawing/2014/chart" uri="{C3380CC4-5D6E-409C-BE32-E72D297353CC}">
              <c16:uniqueId val="{00000004-9D42-4E74-9D50-77A9B157E4C6}"/>
            </c:ext>
          </c:extLst>
        </c:ser>
        <c:dLbls>
          <c:showLegendKey val="0"/>
          <c:showVal val="0"/>
          <c:showCatName val="0"/>
          <c:showSerName val="0"/>
          <c:showPercent val="0"/>
          <c:showBubbleSize val="0"/>
        </c:dLbls>
        <c:axId val="870802224"/>
        <c:axId val="870795152"/>
      </c:stockChart>
      <c:catAx>
        <c:axId val="870791344"/>
        <c:scaling>
          <c:orientation val="minMax"/>
        </c:scaling>
        <c:delete val="0"/>
        <c:axPos val="b"/>
        <c:numFmt formatCode="General" sourceLinked="0"/>
        <c:majorTickMark val="out"/>
        <c:minorTickMark val="none"/>
        <c:tickLblPos val="nextTo"/>
        <c:crossAx val="870792976"/>
        <c:crosses val="autoZero"/>
        <c:auto val="1"/>
        <c:lblAlgn val="ctr"/>
        <c:lblOffset val="100"/>
        <c:noMultiLvlLbl val="0"/>
      </c:catAx>
      <c:valAx>
        <c:axId val="870792976"/>
        <c:scaling>
          <c:orientation val="minMax"/>
          <c:max val="1"/>
          <c:min val="0.4"/>
        </c:scaling>
        <c:delete val="0"/>
        <c:axPos val="l"/>
        <c:majorGridlines>
          <c:spPr>
            <a:ln>
              <a:solidFill>
                <a:schemeClr val="bg1">
                  <a:lumMod val="85000"/>
                </a:schemeClr>
              </a:solidFill>
              <a:prstDash val="sysDot"/>
            </a:ln>
          </c:spPr>
        </c:majorGridlines>
        <c:numFmt formatCode="0%" sourceLinked="1"/>
        <c:majorTickMark val="out"/>
        <c:minorTickMark val="none"/>
        <c:tickLblPos val="nextTo"/>
        <c:crossAx val="870791344"/>
        <c:crosses val="autoZero"/>
        <c:crossBetween val="between"/>
      </c:valAx>
      <c:valAx>
        <c:axId val="870795152"/>
        <c:scaling>
          <c:orientation val="minMax"/>
          <c:max val="1"/>
          <c:min val="0.4"/>
        </c:scaling>
        <c:delete val="0"/>
        <c:axPos val="r"/>
        <c:numFmt formatCode="0%" sourceLinked="1"/>
        <c:majorTickMark val="out"/>
        <c:minorTickMark val="none"/>
        <c:tickLblPos val="nextTo"/>
        <c:crossAx val="870802224"/>
        <c:crosses val="max"/>
        <c:crossBetween val="between"/>
      </c:valAx>
      <c:catAx>
        <c:axId val="870802224"/>
        <c:scaling>
          <c:orientation val="minMax"/>
        </c:scaling>
        <c:delete val="1"/>
        <c:axPos val="b"/>
        <c:majorTickMark val="out"/>
        <c:minorTickMark val="none"/>
        <c:tickLblPos val="nextTo"/>
        <c:crossAx val="870795152"/>
        <c:crosses val="autoZero"/>
        <c:auto val="1"/>
        <c:lblAlgn val="ctr"/>
        <c:lblOffset val="100"/>
        <c:noMultiLvlLbl val="0"/>
      </c:catAx>
    </c:plotArea>
    <c:legend>
      <c:legendPos val="t"/>
      <c:layout>
        <c:manualLayout>
          <c:xMode val="edge"/>
          <c:yMode val="edge"/>
          <c:x val="0.12160810185185185"/>
          <c:y val="2.7136752136752137E-2"/>
          <c:w val="0.75678379629629633"/>
          <c:h val="9.8142307692307695E-2"/>
        </c:manualLayout>
      </c:layout>
      <c:overlay val="0"/>
    </c:legend>
    <c:plotVisOnly val="1"/>
    <c:dispBlanksAs val="gap"/>
    <c:showDLblsOverMax val="0"/>
  </c:chart>
  <c:spPr>
    <a:ln>
      <a:solidFill>
        <a:schemeClr val="bg1">
          <a:lumMod val="65000"/>
        </a:schemeClr>
      </a:solidFill>
    </a:ln>
  </c:sp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8889166666666665"/>
          <c:y val="0.20150213675213674"/>
          <c:w val="0.65472817460317456"/>
          <c:h val="0.65900427350427349"/>
        </c:manualLayout>
      </c:layout>
      <c:stockChart>
        <c:ser>
          <c:idx val="0"/>
          <c:order val="0"/>
          <c:tx>
            <c:strRef>
              <c:f>Gráficos!$M$201</c:f>
              <c:strCache>
                <c:ptCount val="1"/>
                <c:pt idx="0">
                  <c:v>1° Cuartil</c:v>
                </c:pt>
              </c:strCache>
            </c:strRef>
          </c:tx>
          <c:spPr>
            <a:ln w="28575">
              <a:noFill/>
            </a:ln>
          </c:spPr>
          <c:marker>
            <c:symbol val="none"/>
          </c:marker>
          <c:cat>
            <c:strRef>
              <c:f>Gráficos!$K$202</c:f>
              <c:strCache>
                <c:ptCount val="1"/>
                <c:pt idx="0">
                  <c:v>Pérdida Preñez-destete S/E</c:v>
                </c:pt>
              </c:strCache>
            </c:strRef>
          </c:cat>
          <c:val>
            <c:numRef>
              <c:f>Gráficos!$M$203</c:f>
              <c:numCache>
                <c:formatCode>0.00</c:formatCode>
                <c:ptCount val="1"/>
                <c:pt idx="0">
                  <c:v>0</c:v>
                </c:pt>
              </c:numCache>
            </c:numRef>
          </c:val>
          <c:smooth val="0"/>
          <c:extLst xmlns:c16r2="http://schemas.microsoft.com/office/drawing/2015/06/chart">
            <c:ext xmlns:c16="http://schemas.microsoft.com/office/drawing/2014/chart" uri="{C3380CC4-5D6E-409C-BE32-E72D297353CC}">
              <c16:uniqueId val="{00000000-D8B2-4409-B703-381DF839CAF7}"/>
            </c:ext>
          </c:extLst>
        </c:ser>
        <c:ser>
          <c:idx val="1"/>
          <c:order val="1"/>
          <c:tx>
            <c:strRef>
              <c:f>Gráficos!$L$202</c:f>
              <c:strCache>
                <c:ptCount val="1"/>
                <c:pt idx="0">
                  <c:v>Máx</c:v>
                </c:pt>
              </c:strCache>
            </c:strRef>
          </c:tx>
          <c:spPr>
            <a:ln w="28575">
              <a:noFill/>
            </a:ln>
          </c:spPr>
          <c:marker>
            <c:symbol val="dash"/>
            <c:size val="5"/>
            <c:spPr>
              <a:solidFill>
                <a:schemeClr val="tx1"/>
              </a:solidFill>
              <a:ln>
                <a:solidFill>
                  <a:schemeClr val="tx1"/>
                </a:solidFill>
              </a:ln>
            </c:spPr>
          </c:marker>
          <c:cat>
            <c:strRef>
              <c:f>Gráficos!$K$202</c:f>
              <c:strCache>
                <c:ptCount val="1"/>
                <c:pt idx="0">
                  <c:v>Pérdida Preñez-destete S/E</c:v>
                </c:pt>
              </c:strCache>
            </c:strRef>
          </c:cat>
          <c:val>
            <c:numRef>
              <c:f>Gráficos!$L$203</c:f>
              <c:numCache>
                <c:formatCode>0.00</c:formatCode>
                <c:ptCount val="1"/>
                <c:pt idx="0">
                  <c:v>0</c:v>
                </c:pt>
              </c:numCache>
            </c:numRef>
          </c:val>
          <c:smooth val="0"/>
          <c:extLst xmlns:c16r2="http://schemas.microsoft.com/office/drawing/2015/06/chart">
            <c:ext xmlns:c16="http://schemas.microsoft.com/office/drawing/2014/chart" uri="{C3380CC4-5D6E-409C-BE32-E72D297353CC}">
              <c16:uniqueId val="{00000001-D8B2-4409-B703-381DF839CAF7}"/>
            </c:ext>
          </c:extLst>
        </c:ser>
        <c:ser>
          <c:idx val="2"/>
          <c:order val="2"/>
          <c:tx>
            <c:strRef>
              <c:f>Gráficos!$G$201</c:f>
              <c:strCache>
                <c:ptCount val="1"/>
                <c:pt idx="0">
                  <c:v>Mín</c:v>
                </c:pt>
              </c:strCache>
            </c:strRef>
          </c:tx>
          <c:spPr>
            <a:ln w="28575">
              <a:noFill/>
            </a:ln>
          </c:spPr>
          <c:marker>
            <c:symbol val="dash"/>
            <c:size val="5"/>
            <c:spPr>
              <a:solidFill>
                <a:schemeClr val="tx1"/>
              </a:solidFill>
              <a:ln>
                <a:solidFill>
                  <a:schemeClr val="tx1"/>
                </a:solidFill>
              </a:ln>
            </c:spPr>
          </c:marker>
          <c:cat>
            <c:strRef>
              <c:f>Gráficos!$K$202</c:f>
              <c:strCache>
                <c:ptCount val="1"/>
                <c:pt idx="0">
                  <c:v>Pérdida Preñez-destete S/E</c:v>
                </c:pt>
              </c:strCache>
            </c:strRef>
          </c:cat>
          <c:val>
            <c:numRef>
              <c:f>Gráficos!$O$203</c:f>
              <c:numCache>
                <c:formatCode>0.00</c:formatCode>
                <c:ptCount val="1"/>
                <c:pt idx="0">
                  <c:v>0</c:v>
                </c:pt>
              </c:numCache>
            </c:numRef>
          </c:val>
          <c:smooth val="0"/>
          <c:extLst xmlns:c16r2="http://schemas.microsoft.com/office/drawing/2015/06/chart">
            <c:ext xmlns:c16="http://schemas.microsoft.com/office/drawing/2014/chart" uri="{C3380CC4-5D6E-409C-BE32-E72D297353CC}">
              <c16:uniqueId val="{00000002-D8B2-4409-B703-381DF839CAF7}"/>
            </c:ext>
          </c:extLst>
        </c:ser>
        <c:ser>
          <c:idx val="3"/>
          <c:order val="3"/>
          <c:tx>
            <c:strRef>
              <c:f>Gráficos!$N$201</c:f>
              <c:strCache>
                <c:ptCount val="1"/>
                <c:pt idx="0">
                  <c:v>3°Cuartil</c:v>
                </c:pt>
              </c:strCache>
            </c:strRef>
          </c:tx>
          <c:spPr>
            <a:ln w="28575">
              <a:noFill/>
            </a:ln>
          </c:spPr>
          <c:marker>
            <c:symbol val="none"/>
          </c:marker>
          <c:cat>
            <c:strRef>
              <c:f>Gráficos!$K$202</c:f>
              <c:strCache>
                <c:ptCount val="1"/>
                <c:pt idx="0">
                  <c:v>Pérdida Preñez-destete S/E</c:v>
                </c:pt>
              </c:strCache>
            </c:strRef>
          </c:cat>
          <c:val>
            <c:numRef>
              <c:f>Gráficos!$N$203</c:f>
              <c:numCache>
                <c:formatCode>0.00</c:formatCode>
                <c:ptCount val="1"/>
                <c:pt idx="0">
                  <c:v>0</c:v>
                </c:pt>
              </c:numCache>
            </c:numRef>
          </c:val>
          <c:smooth val="0"/>
          <c:extLst xmlns:c16r2="http://schemas.microsoft.com/office/drawing/2015/06/chart">
            <c:ext xmlns:c16="http://schemas.microsoft.com/office/drawing/2014/chart" uri="{C3380CC4-5D6E-409C-BE32-E72D297353CC}">
              <c16:uniqueId val="{00000003-D8B2-4409-B703-381DF839CAF7}"/>
            </c:ext>
          </c:extLst>
        </c:ser>
        <c:dLbls>
          <c:showLegendKey val="0"/>
          <c:showVal val="0"/>
          <c:showCatName val="0"/>
          <c:showSerName val="0"/>
          <c:showPercent val="0"/>
          <c:showBubbleSize val="0"/>
        </c:dLbls>
        <c:hiLowLines/>
        <c:upDownBars>
          <c:gapWidth val="150"/>
          <c:upBars/>
          <c:downBars>
            <c:spPr>
              <a:solidFill>
                <a:schemeClr val="bg1"/>
              </a:solidFill>
            </c:spPr>
          </c:downBars>
        </c:upDownBars>
        <c:axId val="870808208"/>
        <c:axId val="870799504"/>
      </c:stockChart>
      <c:stockChart>
        <c:ser>
          <c:idx val="4"/>
          <c:order val="4"/>
          <c:tx>
            <c:strRef>
              <c:f>Gráficos!$P$201</c:f>
              <c:strCache>
                <c:ptCount val="1"/>
                <c:pt idx="0">
                  <c:v>Promedio</c:v>
                </c:pt>
              </c:strCache>
            </c:strRef>
          </c:tx>
          <c:spPr>
            <a:ln w="28575">
              <a:noFill/>
            </a:ln>
          </c:spPr>
          <c:marker>
            <c:symbol val="circle"/>
            <c:size val="7"/>
            <c:spPr>
              <a:solidFill>
                <a:schemeClr val="tx1"/>
              </a:solidFill>
              <a:ln>
                <a:solidFill>
                  <a:schemeClr val="tx1"/>
                </a:solidFill>
              </a:ln>
            </c:spPr>
          </c:marker>
          <c:val>
            <c:numRef>
              <c:f>Gráficos!$P$203</c:f>
              <c:numCache>
                <c:formatCode>0.00</c:formatCode>
                <c:ptCount val="1"/>
                <c:pt idx="0">
                  <c:v>0</c:v>
                </c:pt>
              </c:numCache>
            </c:numRef>
          </c:val>
          <c:smooth val="0"/>
          <c:extLst xmlns:c16r2="http://schemas.microsoft.com/office/drawing/2015/06/chart">
            <c:ext xmlns:c16="http://schemas.microsoft.com/office/drawing/2014/chart" uri="{C3380CC4-5D6E-409C-BE32-E72D297353CC}">
              <c16:uniqueId val="{00000004-D8B2-4409-B703-381DF839CAF7}"/>
            </c:ext>
          </c:extLst>
        </c:ser>
        <c:dLbls>
          <c:showLegendKey val="0"/>
          <c:showVal val="0"/>
          <c:showCatName val="0"/>
          <c:showSerName val="0"/>
          <c:showPercent val="0"/>
          <c:showBubbleSize val="0"/>
        </c:dLbls>
        <c:axId val="870793520"/>
        <c:axId val="870795696"/>
      </c:stockChart>
      <c:catAx>
        <c:axId val="870808208"/>
        <c:scaling>
          <c:orientation val="minMax"/>
        </c:scaling>
        <c:delete val="0"/>
        <c:axPos val="b"/>
        <c:numFmt formatCode="General" sourceLinked="1"/>
        <c:majorTickMark val="out"/>
        <c:minorTickMark val="none"/>
        <c:tickLblPos val="nextTo"/>
        <c:crossAx val="870799504"/>
        <c:crosses val="autoZero"/>
        <c:auto val="1"/>
        <c:lblAlgn val="ctr"/>
        <c:lblOffset val="100"/>
        <c:noMultiLvlLbl val="0"/>
      </c:catAx>
      <c:valAx>
        <c:axId val="870799504"/>
        <c:scaling>
          <c:orientation val="minMax"/>
          <c:max val="0.35000000000000003"/>
        </c:scaling>
        <c:delete val="0"/>
        <c:axPos val="l"/>
        <c:majorGridlines>
          <c:spPr>
            <a:ln>
              <a:solidFill>
                <a:schemeClr val="bg1">
                  <a:lumMod val="85000"/>
                </a:schemeClr>
              </a:solidFill>
              <a:prstDash val="sysDot"/>
            </a:ln>
          </c:spPr>
        </c:majorGridlines>
        <c:numFmt formatCode="0.00" sourceLinked="1"/>
        <c:majorTickMark val="out"/>
        <c:minorTickMark val="none"/>
        <c:tickLblPos val="nextTo"/>
        <c:crossAx val="870808208"/>
        <c:crosses val="autoZero"/>
        <c:crossBetween val="between"/>
      </c:valAx>
      <c:valAx>
        <c:axId val="870795696"/>
        <c:scaling>
          <c:orientation val="minMax"/>
          <c:max val="0.35000000000000003"/>
          <c:min val="0"/>
        </c:scaling>
        <c:delete val="0"/>
        <c:axPos val="r"/>
        <c:numFmt formatCode="0.00" sourceLinked="1"/>
        <c:majorTickMark val="out"/>
        <c:minorTickMark val="none"/>
        <c:tickLblPos val="nextTo"/>
        <c:crossAx val="870793520"/>
        <c:crosses val="max"/>
        <c:crossBetween val="between"/>
      </c:valAx>
      <c:catAx>
        <c:axId val="870793520"/>
        <c:scaling>
          <c:orientation val="minMax"/>
        </c:scaling>
        <c:delete val="1"/>
        <c:axPos val="b"/>
        <c:majorTickMark val="out"/>
        <c:minorTickMark val="none"/>
        <c:tickLblPos val="nextTo"/>
        <c:crossAx val="870795696"/>
        <c:crosses val="autoZero"/>
        <c:auto val="1"/>
        <c:lblAlgn val="ctr"/>
        <c:lblOffset val="100"/>
        <c:noMultiLvlLbl val="0"/>
      </c:catAx>
    </c:plotArea>
    <c:legend>
      <c:legendPos val="t"/>
      <c:overlay val="0"/>
    </c:legend>
    <c:plotVisOnly val="1"/>
    <c:dispBlanksAs val="gap"/>
    <c:showDLblsOverMax val="0"/>
  </c:chart>
  <c:spPr>
    <a:ln>
      <a:solidFill>
        <a:schemeClr val="bg1">
          <a:lumMod val="65000"/>
        </a:schemeClr>
      </a:solidFill>
    </a:ln>
  </c:sp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771241830065361"/>
          <c:y val="0.17036104299084129"/>
          <c:w val="0.73152974309857088"/>
          <c:h val="0.67386282051282054"/>
        </c:manualLayout>
      </c:layout>
      <c:stockChart>
        <c:ser>
          <c:idx val="0"/>
          <c:order val="0"/>
          <c:tx>
            <c:strRef>
              <c:f>Gráficos!$E$200</c:f>
              <c:strCache>
                <c:ptCount val="1"/>
                <c:pt idx="0">
                  <c:v>1° Cuartil</c:v>
                </c:pt>
              </c:strCache>
            </c:strRef>
          </c:tx>
          <c:spPr>
            <a:ln w="28575">
              <a:noFill/>
            </a:ln>
          </c:spPr>
          <c:marker>
            <c:symbol val="none"/>
          </c:marker>
          <c:cat>
            <c:strRef>
              <c:f>Gráficos!$C$204</c:f>
              <c:strCache>
                <c:ptCount val="1"/>
                <c:pt idx="0">
                  <c:v>Peso medio del destete</c:v>
                </c:pt>
              </c:strCache>
            </c:strRef>
          </c:cat>
          <c:val>
            <c:numRef>
              <c:f>Gráficos!$E$204</c:f>
              <c:numCache>
                <c:formatCode>0</c:formatCode>
                <c:ptCount val="1"/>
                <c:pt idx="0">
                  <c:v>0</c:v>
                </c:pt>
              </c:numCache>
            </c:numRef>
          </c:val>
          <c:smooth val="0"/>
          <c:extLst xmlns:c16r2="http://schemas.microsoft.com/office/drawing/2015/06/chart">
            <c:ext xmlns:c16="http://schemas.microsoft.com/office/drawing/2014/chart" uri="{C3380CC4-5D6E-409C-BE32-E72D297353CC}">
              <c16:uniqueId val="{00000000-5A99-4B24-891F-1F6A230E7AD1}"/>
            </c:ext>
          </c:extLst>
        </c:ser>
        <c:ser>
          <c:idx val="1"/>
          <c:order val="1"/>
          <c:tx>
            <c:strRef>
              <c:f>Gráficos!$D$200</c:f>
              <c:strCache>
                <c:ptCount val="1"/>
                <c:pt idx="0">
                  <c:v>Máx</c:v>
                </c:pt>
              </c:strCache>
            </c:strRef>
          </c:tx>
          <c:spPr>
            <a:ln w="28575">
              <a:noFill/>
            </a:ln>
          </c:spPr>
          <c:marker>
            <c:symbol val="dash"/>
            <c:size val="5"/>
            <c:spPr>
              <a:solidFill>
                <a:schemeClr val="tx1"/>
              </a:solidFill>
              <a:ln>
                <a:solidFill>
                  <a:schemeClr val="tx1"/>
                </a:solidFill>
              </a:ln>
            </c:spPr>
          </c:marker>
          <c:cat>
            <c:strRef>
              <c:f>Gráficos!$C$204</c:f>
              <c:strCache>
                <c:ptCount val="1"/>
                <c:pt idx="0">
                  <c:v>Peso medio del destete</c:v>
                </c:pt>
              </c:strCache>
            </c:strRef>
          </c:cat>
          <c:val>
            <c:numRef>
              <c:f>Gráficos!$D$204</c:f>
              <c:numCache>
                <c:formatCode>0</c:formatCode>
                <c:ptCount val="1"/>
                <c:pt idx="0">
                  <c:v>0</c:v>
                </c:pt>
              </c:numCache>
            </c:numRef>
          </c:val>
          <c:smooth val="0"/>
          <c:extLst xmlns:c16r2="http://schemas.microsoft.com/office/drawing/2015/06/chart">
            <c:ext xmlns:c16="http://schemas.microsoft.com/office/drawing/2014/chart" uri="{C3380CC4-5D6E-409C-BE32-E72D297353CC}">
              <c16:uniqueId val="{00000001-5A99-4B24-891F-1F6A230E7AD1}"/>
            </c:ext>
          </c:extLst>
        </c:ser>
        <c:ser>
          <c:idx val="2"/>
          <c:order val="2"/>
          <c:tx>
            <c:strRef>
              <c:f>Gráficos!$G$201</c:f>
              <c:strCache>
                <c:ptCount val="1"/>
                <c:pt idx="0">
                  <c:v>Mín</c:v>
                </c:pt>
              </c:strCache>
            </c:strRef>
          </c:tx>
          <c:spPr>
            <a:ln w="28575">
              <a:noFill/>
            </a:ln>
          </c:spPr>
          <c:marker>
            <c:symbol val="dash"/>
            <c:size val="5"/>
            <c:spPr>
              <a:solidFill>
                <a:schemeClr val="tx1"/>
              </a:solidFill>
              <a:ln>
                <a:solidFill>
                  <a:schemeClr val="tx1"/>
                </a:solidFill>
              </a:ln>
            </c:spPr>
          </c:marker>
          <c:cat>
            <c:strRef>
              <c:f>Gráficos!$C$204</c:f>
              <c:strCache>
                <c:ptCount val="1"/>
                <c:pt idx="0">
                  <c:v>Peso medio del destete</c:v>
                </c:pt>
              </c:strCache>
            </c:strRef>
          </c:cat>
          <c:val>
            <c:numRef>
              <c:f>Gráficos!$G$204</c:f>
              <c:numCache>
                <c:formatCode>0</c:formatCode>
                <c:ptCount val="1"/>
                <c:pt idx="0">
                  <c:v>0</c:v>
                </c:pt>
              </c:numCache>
            </c:numRef>
          </c:val>
          <c:smooth val="0"/>
          <c:extLst xmlns:c16r2="http://schemas.microsoft.com/office/drawing/2015/06/chart">
            <c:ext xmlns:c16="http://schemas.microsoft.com/office/drawing/2014/chart" uri="{C3380CC4-5D6E-409C-BE32-E72D297353CC}">
              <c16:uniqueId val="{00000002-5A99-4B24-891F-1F6A230E7AD1}"/>
            </c:ext>
          </c:extLst>
        </c:ser>
        <c:ser>
          <c:idx val="3"/>
          <c:order val="3"/>
          <c:tx>
            <c:strRef>
              <c:f>Gráficos!$F$200</c:f>
              <c:strCache>
                <c:ptCount val="1"/>
                <c:pt idx="0">
                  <c:v>3°Cuartil</c:v>
                </c:pt>
              </c:strCache>
            </c:strRef>
          </c:tx>
          <c:spPr>
            <a:ln w="28575">
              <a:noFill/>
            </a:ln>
          </c:spPr>
          <c:marker>
            <c:symbol val="none"/>
          </c:marker>
          <c:cat>
            <c:strRef>
              <c:f>Gráficos!$C$204</c:f>
              <c:strCache>
                <c:ptCount val="1"/>
                <c:pt idx="0">
                  <c:v>Peso medio del destete</c:v>
                </c:pt>
              </c:strCache>
            </c:strRef>
          </c:cat>
          <c:val>
            <c:numRef>
              <c:f>Gráficos!$F$204</c:f>
              <c:numCache>
                <c:formatCode>0</c:formatCode>
                <c:ptCount val="1"/>
                <c:pt idx="0">
                  <c:v>0</c:v>
                </c:pt>
              </c:numCache>
            </c:numRef>
          </c:val>
          <c:smooth val="0"/>
          <c:extLst xmlns:c16r2="http://schemas.microsoft.com/office/drawing/2015/06/chart">
            <c:ext xmlns:c16="http://schemas.microsoft.com/office/drawing/2014/chart" uri="{C3380CC4-5D6E-409C-BE32-E72D297353CC}">
              <c16:uniqueId val="{00000003-5A99-4B24-891F-1F6A230E7AD1}"/>
            </c:ext>
          </c:extLst>
        </c:ser>
        <c:dLbls>
          <c:showLegendKey val="0"/>
          <c:showVal val="0"/>
          <c:showCatName val="0"/>
          <c:showSerName val="0"/>
          <c:showPercent val="0"/>
          <c:showBubbleSize val="0"/>
        </c:dLbls>
        <c:hiLowLines/>
        <c:upDownBars>
          <c:gapWidth val="150"/>
          <c:upBars/>
          <c:downBars>
            <c:spPr>
              <a:solidFill>
                <a:schemeClr val="bg1"/>
              </a:solidFill>
            </c:spPr>
          </c:downBars>
        </c:upDownBars>
        <c:axId val="870814736"/>
        <c:axId val="870806032"/>
      </c:stockChart>
      <c:stockChart>
        <c:ser>
          <c:idx val="4"/>
          <c:order val="4"/>
          <c:tx>
            <c:strRef>
              <c:f>Gráficos!$H$200</c:f>
              <c:strCache>
                <c:ptCount val="1"/>
                <c:pt idx="0">
                  <c:v>Promedio</c:v>
                </c:pt>
              </c:strCache>
            </c:strRef>
          </c:tx>
          <c:spPr>
            <a:ln w="28575">
              <a:noFill/>
            </a:ln>
          </c:spPr>
          <c:marker>
            <c:symbol val="circle"/>
            <c:size val="7"/>
            <c:spPr>
              <a:solidFill>
                <a:schemeClr val="tx1"/>
              </a:solidFill>
              <a:ln>
                <a:solidFill>
                  <a:schemeClr val="tx1"/>
                </a:solidFill>
              </a:ln>
            </c:spPr>
          </c:marker>
          <c:val>
            <c:numRef>
              <c:f>Gráficos!$H$204</c:f>
              <c:numCache>
                <c:formatCode>0</c:formatCode>
                <c:ptCount val="1"/>
                <c:pt idx="0">
                  <c:v>0</c:v>
                </c:pt>
              </c:numCache>
            </c:numRef>
          </c:val>
          <c:smooth val="0"/>
          <c:extLst xmlns:c16r2="http://schemas.microsoft.com/office/drawing/2015/06/chart">
            <c:ext xmlns:c16="http://schemas.microsoft.com/office/drawing/2014/chart" uri="{C3380CC4-5D6E-409C-BE32-E72D297353CC}">
              <c16:uniqueId val="{00000004-5A99-4B24-891F-1F6A230E7AD1}"/>
            </c:ext>
          </c:extLst>
        </c:ser>
        <c:dLbls>
          <c:showLegendKey val="0"/>
          <c:showVal val="0"/>
          <c:showCatName val="0"/>
          <c:showSerName val="0"/>
          <c:showPercent val="0"/>
          <c:showBubbleSize val="0"/>
        </c:dLbls>
        <c:axId val="870816912"/>
        <c:axId val="870810384"/>
      </c:stockChart>
      <c:catAx>
        <c:axId val="870814736"/>
        <c:scaling>
          <c:orientation val="minMax"/>
        </c:scaling>
        <c:delete val="0"/>
        <c:axPos val="b"/>
        <c:numFmt formatCode="General" sourceLinked="1"/>
        <c:majorTickMark val="out"/>
        <c:minorTickMark val="none"/>
        <c:tickLblPos val="nextTo"/>
        <c:crossAx val="870806032"/>
        <c:crosses val="autoZero"/>
        <c:auto val="1"/>
        <c:lblAlgn val="ctr"/>
        <c:lblOffset val="100"/>
        <c:noMultiLvlLbl val="0"/>
      </c:catAx>
      <c:valAx>
        <c:axId val="870806032"/>
        <c:scaling>
          <c:orientation val="minMax"/>
          <c:max val="250"/>
          <c:min val="0"/>
        </c:scaling>
        <c:delete val="0"/>
        <c:axPos val="l"/>
        <c:majorGridlines>
          <c:spPr>
            <a:ln>
              <a:solidFill>
                <a:schemeClr val="bg1">
                  <a:lumMod val="85000"/>
                </a:schemeClr>
              </a:solidFill>
              <a:prstDash val="sysDot"/>
            </a:ln>
          </c:spPr>
        </c:majorGridlines>
        <c:numFmt formatCode="0" sourceLinked="1"/>
        <c:majorTickMark val="out"/>
        <c:minorTickMark val="none"/>
        <c:tickLblPos val="nextTo"/>
        <c:crossAx val="870814736"/>
        <c:crosses val="autoZero"/>
        <c:crossBetween val="between"/>
        <c:majorUnit val="25"/>
      </c:valAx>
      <c:valAx>
        <c:axId val="870810384"/>
        <c:scaling>
          <c:orientation val="minMax"/>
          <c:max val="250"/>
          <c:min val="0"/>
        </c:scaling>
        <c:delete val="0"/>
        <c:axPos val="r"/>
        <c:numFmt formatCode="0" sourceLinked="1"/>
        <c:majorTickMark val="out"/>
        <c:minorTickMark val="none"/>
        <c:tickLblPos val="nextTo"/>
        <c:crossAx val="870816912"/>
        <c:crosses val="max"/>
        <c:crossBetween val="between"/>
        <c:majorUnit val="25"/>
      </c:valAx>
      <c:catAx>
        <c:axId val="870816912"/>
        <c:scaling>
          <c:orientation val="minMax"/>
        </c:scaling>
        <c:delete val="1"/>
        <c:axPos val="b"/>
        <c:majorTickMark val="out"/>
        <c:minorTickMark val="none"/>
        <c:tickLblPos val="nextTo"/>
        <c:crossAx val="870810384"/>
        <c:crosses val="autoZero"/>
        <c:auto val="1"/>
        <c:lblAlgn val="ctr"/>
        <c:lblOffset val="100"/>
        <c:noMultiLvlLbl val="0"/>
      </c:catAx>
    </c:plotArea>
    <c:legend>
      <c:legendPos val="t"/>
      <c:layout>
        <c:manualLayout>
          <c:xMode val="edge"/>
          <c:yMode val="edge"/>
          <c:x val="2.4497991967871485E-2"/>
          <c:y val="3.2564102564102561E-2"/>
          <c:w val="0.97225568942436413"/>
          <c:h val="9.8142307692307695E-2"/>
        </c:manualLayout>
      </c:layout>
      <c:overlay val="0"/>
    </c:legend>
    <c:plotVisOnly val="1"/>
    <c:dispBlanksAs val="gap"/>
    <c:showDLblsOverMax val="0"/>
  </c:chart>
  <c:spPr>
    <a:ln>
      <a:solidFill>
        <a:schemeClr val="bg1">
          <a:lumMod val="65000"/>
        </a:schemeClr>
      </a:solidFill>
    </a:ln>
  </c:sp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211226851851852"/>
          <c:y val="0.13669017094017094"/>
          <c:w val="0.85554976851851849"/>
          <c:h val="0.70995085470085484"/>
        </c:manualLayout>
      </c:layout>
      <c:barChart>
        <c:barDir val="col"/>
        <c:grouping val="stacked"/>
        <c:varyColors val="0"/>
        <c:ser>
          <c:idx val="0"/>
          <c:order val="0"/>
          <c:tx>
            <c:strRef>
              <c:f>Gráficos!$C$172</c:f>
              <c:strCache>
                <c:ptCount val="1"/>
                <c:pt idx="0">
                  <c:v>Edad al primer servicio</c:v>
                </c:pt>
              </c:strCache>
            </c:strRef>
          </c:tx>
          <c:spPr>
            <a:solidFill>
              <a:schemeClr val="bg2">
                <a:lumMod val="50000"/>
              </a:schemeClr>
            </a:solidFill>
          </c:spPr>
          <c:invertIfNegative val="0"/>
          <c:dLbls>
            <c:spPr>
              <a:noFill/>
              <a:ln>
                <a:noFill/>
              </a:ln>
              <a:effectLst/>
            </c:spPr>
            <c:txPr>
              <a:bodyPr/>
              <a:lstStyle/>
              <a:p>
                <a:pPr>
                  <a:defRPr b="1">
                    <a:solidFill>
                      <a:schemeClr val="bg1"/>
                    </a:solidFill>
                  </a:defRPr>
                </a:pPr>
                <a:endParaRPr lang="es-AR"/>
              </a:p>
            </c:tx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0"/>
              </c:ext>
            </c:extLst>
          </c:dLbls>
          <c:cat>
            <c:strRef>
              <c:f>Gráficos!$D$172:$G$172</c:f>
              <c:strCache>
                <c:ptCount val="4"/>
                <c:pt idx="0">
                  <c:v>15 meses</c:v>
                </c:pt>
                <c:pt idx="1">
                  <c:v>18 meses</c:v>
                </c:pt>
                <c:pt idx="2">
                  <c:v>22 meses</c:v>
                </c:pt>
                <c:pt idx="3">
                  <c:v>24 meses</c:v>
                </c:pt>
              </c:strCache>
            </c:strRef>
          </c:cat>
          <c:val>
            <c:numRef>
              <c:f>Gráficos!$D$174:$G$174</c:f>
              <c:numCache>
                <c:formatCode>0%</c:formatCode>
                <c:ptCount val="4"/>
                <c:pt idx="0">
                  <c:v>0</c:v>
                </c:pt>
                <c:pt idx="1">
                  <c:v>0</c:v>
                </c:pt>
                <c:pt idx="2">
                  <c:v>0</c:v>
                </c:pt>
                <c:pt idx="3">
                  <c:v>0</c:v>
                </c:pt>
              </c:numCache>
            </c:numRef>
          </c:val>
          <c:extLst xmlns:c16r2="http://schemas.microsoft.com/office/drawing/2015/06/chart">
            <c:ext xmlns:c16="http://schemas.microsoft.com/office/drawing/2014/chart" uri="{C3380CC4-5D6E-409C-BE32-E72D297353CC}">
              <c16:uniqueId val="{00000000-85DA-4505-A19B-C86A0F338D08}"/>
            </c:ext>
          </c:extLst>
        </c:ser>
        <c:dLbls>
          <c:showLegendKey val="0"/>
          <c:showVal val="0"/>
          <c:showCatName val="0"/>
          <c:showSerName val="0"/>
          <c:showPercent val="0"/>
          <c:showBubbleSize val="0"/>
        </c:dLbls>
        <c:gapWidth val="61"/>
        <c:overlap val="100"/>
        <c:axId val="870792432"/>
        <c:axId val="870816368"/>
      </c:barChart>
      <c:catAx>
        <c:axId val="870792432"/>
        <c:scaling>
          <c:orientation val="minMax"/>
        </c:scaling>
        <c:delete val="0"/>
        <c:axPos val="b"/>
        <c:numFmt formatCode="General" sourceLinked="1"/>
        <c:majorTickMark val="out"/>
        <c:minorTickMark val="none"/>
        <c:tickLblPos val="nextTo"/>
        <c:crossAx val="870816368"/>
        <c:crosses val="autoZero"/>
        <c:auto val="1"/>
        <c:lblAlgn val="ctr"/>
        <c:lblOffset val="100"/>
        <c:noMultiLvlLbl val="0"/>
      </c:catAx>
      <c:valAx>
        <c:axId val="870816368"/>
        <c:scaling>
          <c:orientation val="minMax"/>
        </c:scaling>
        <c:delete val="0"/>
        <c:axPos val="l"/>
        <c:majorGridlines>
          <c:spPr>
            <a:ln>
              <a:solidFill>
                <a:schemeClr val="bg1">
                  <a:lumMod val="85000"/>
                </a:schemeClr>
              </a:solidFill>
              <a:prstDash val="sysDot"/>
            </a:ln>
          </c:spPr>
        </c:majorGridlines>
        <c:numFmt formatCode="0%" sourceLinked="1"/>
        <c:majorTickMark val="out"/>
        <c:minorTickMark val="none"/>
        <c:tickLblPos val="nextTo"/>
        <c:crossAx val="870792432"/>
        <c:crosses val="autoZero"/>
        <c:crossBetween val="between"/>
      </c:valAx>
    </c:plotArea>
    <c:legend>
      <c:legendPos val="t"/>
      <c:overlay val="0"/>
    </c:legend>
    <c:plotVisOnly val="1"/>
    <c:dispBlanksAs val="gap"/>
    <c:showDLblsOverMax val="0"/>
  </c:chart>
  <c:spPr>
    <a:ln>
      <a:solidFill>
        <a:schemeClr val="bg1">
          <a:lumMod val="75000"/>
        </a:schemeClr>
      </a:solidFill>
    </a:ln>
  </c:sp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211226851851852"/>
          <c:y val="0.13669017094017094"/>
          <c:w val="0.85554976851851849"/>
          <c:h val="0.70995085470085484"/>
        </c:manualLayout>
      </c:layout>
      <c:barChart>
        <c:barDir val="col"/>
        <c:grouping val="stacked"/>
        <c:varyColors val="0"/>
        <c:ser>
          <c:idx val="0"/>
          <c:order val="0"/>
          <c:tx>
            <c:strRef>
              <c:f>Gráficos!$K$171</c:f>
              <c:strCache>
                <c:ptCount val="1"/>
                <c:pt idx="0">
                  <c:v>% del rodeo en IA en vaquillonas</c:v>
                </c:pt>
              </c:strCache>
            </c:strRef>
          </c:tx>
          <c:spPr>
            <a:solidFill>
              <a:schemeClr val="accent3"/>
            </a:solidFill>
            <a:ln>
              <a:solidFill>
                <a:schemeClr val="bg1">
                  <a:lumMod val="65000"/>
                </a:schemeClr>
              </a:solidFill>
            </a:ln>
          </c:spPr>
          <c:invertIfNegative val="0"/>
          <c:dLbls>
            <c:spPr>
              <a:noFill/>
              <a:ln>
                <a:noFill/>
              </a:ln>
              <a:effectLst/>
            </c:spPr>
            <c:txPr>
              <a:bodyPr/>
              <a:lstStyle/>
              <a:p>
                <a:pPr>
                  <a:defRPr b="1">
                    <a:solidFill>
                      <a:schemeClr val="bg1"/>
                    </a:solidFill>
                  </a:defRPr>
                </a:pPr>
                <a:endParaRPr lang="es-AR"/>
              </a:p>
            </c:tx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0"/>
              </c:ext>
            </c:extLst>
          </c:dLbls>
          <c:cat>
            <c:strRef>
              <c:f>Gráficos!$L$171:$O$171</c:f>
              <c:strCache>
                <c:ptCount val="4"/>
                <c:pt idx="0">
                  <c:v>&gt;25%</c:v>
                </c:pt>
                <c:pt idx="1">
                  <c:v>25%-50%</c:v>
                </c:pt>
                <c:pt idx="2">
                  <c:v>50%-75%</c:v>
                </c:pt>
                <c:pt idx="3">
                  <c:v>&gt;75%</c:v>
                </c:pt>
              </c:strCache>
            </c:strRef>
          </c:cat>
          <c:val>
            <c:numRef>
              <c:f>Gráficos!$L$173:$O$173</c:f>
              <c:numCache>
                <c:formatCode>0%</c:formatCode>
                <c:ptCount val="4"/>
                <c:pt idx="0">
                  <c:v>#N/A</c:v>
                </c:pt>
                <c:pt idx="1">
                  <c:v>#N/A</c:v>
                </c:pt>
                <c:pt idx="2">
                  <c:v>#N/A</c:v>
                </c:pt>
                <c:pt idx="3">
                  <c:v>#N/A</c:v>
                </c:pt>
              </c:numCache>
            </c:numRef>
          </c:val>
          <c:extLst xmlns:c16r2="http://schemas.microsoft.com/office/drawing/2015/06/chart">
            <c:ext xmlns:c16="http://schemas.microsoft.com/office/drawing/2014/chart" uri="{C3380CC4-5D6E-409C-BE32-E72D297353CC}">
              <c16:uniqueId val="{00000000-8B3B-4179-8671-127154BC6BD7}"/>
            </c:ext>
          </c:extLst>
        </c:ser>
        <c:dLbls>
          <c:showLegendKey val="0"/>
          <c:showVal val="0"/>
          <c:showCatName val="0"/>
          <c:showSerName val="0"/>
          <c:showPercent val="0"/>
          <c:showBubbleSize val="0"/>
        </c:dLbls>
        <c:gapWidth val="61"/>
        <c:overlap val="100"/>
        <c:axId val="870817456"/>
        <c:axId val="870791888"/>
      </c:barChart>
      <c:catAx>
        <c:axId val="870817456"/>
        <c:scaling>
          <c:orientation val="minMax"/>
        </c:scaling>
        <c:delete val="0"/>
        <c:axPos val="b"/>
        <c:numFmt formatCode="General" sourceLinked="1"/>
        <c:majorTickMark val="out"/>
        <c:minorTickMark val="none"/>
        <c:tickLblPos val="nextTo"/>
        <c:crossAx val="870791888"/>
        <c:crosses val="autoZero"/>
        <c:auto val="1"/>
        <c:lblAlgn val="ctr"/>
        <c:lblOffset val="100"/>
        <c:noMultiLvlLbl val="0"/>
      </c:catAx>
      <c:valAx>
        <c:axId val="870791888"/>
        <c:scaling>
          <c:orientation val="minMax"/>
        </c:scaling>
        <c:delete val="0"/>
        <c:axPos val="l"/>
        <c:majorGridlines>
          <c:spPr>
            <a:ln>
              <a:solidFill>
                <a:schemeClr val="bg1">
                  <a:lumMod val="85000"/>
                </a:schemeClr>
              </a:solidFill>
              <a:prstDash val="sysDot"/>
            </a:ln>
          </c:spPr>
        </c:majorGridlines>
        <c:numFmt formatCode="0%" sourceLinked="1"/>
        <c:majorTickMark val="out"/>
        <c:minorTickMark val="none"/>
        <c:tickLblPos val="nextTo"/>
        <c:crossAx val="870817456"/>
        <c:crosses val="autoZero"/>
        <c:crossBetween val="between"/>
      </c:valAx>
    </c:plotArea>
    <c:legend>
      <c:legendPos val="t"/>
      <c:overlay val="0"/>
    </c:legend>
    <c:plotVisOnly val="1"/>
    <c:dispBlanksAs val="gap"/>
    <c:showDLblsOverMax val="0"/>
  </c:chart>
  <c:spPr>
    <a:ln>
      <a:solidFill>
        <a:schemeClr val="bg1">
          <a:lumMod val="75000"/>
        </a:schemeClr>
      </a:solidFill>
    </a:ln>
  </c:sp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400"/>
              <a:t>Mes inicio servicio principal</a:t>
            </a:r>
          </a:p>
        </c:rich>
      </c:tx>
      <c:layout>
        <c:manualLayout>
          <c:xMode val="edge"/>
          <c:yMode val="edge"/>
          <c:x val="0.28725370370370368"/>
          <c:y val="6.3646912556983001E-2"/>
        </c:manualLayout>
      </c:layout>
      <c:overlay val="0"/>
    </c:title>
    <c:autoTitleDeleted val="0"/>
    <c:plotArea>
      <c:layout>
        <c:manualLayout>
          <c:layoutTarget val="inner"/>
          <c:xMode val="edge"/>
          <c:yMode val="edge"/>
          <c:x val="2.5091203703703702E-2"/>
          <c:y val="0.29094571073352671"/>
          <c:w val="0.97805670868521011"/>
          <c:h val="0.46026392454781551"/>
        </c:manualLayout>
      </c:layout>
      <c:bubbleChart>
        <c:varyColors val="0"/>
        <c:ser>
          <c:idx val="0"/>
          <c:order val="0"/>
          <c:tx>
            <c:v>Mes inicio de servicio</c:v>
          </c:tx>
          <c:spPr>
            <a:solidFill>
              <a:schemeClr val="accent6"/>
            </a:solidFill>
            <a:ln w="25400">
              <a:noFill/>
            </a:ln>
          </c:spPr>
          <c:invertIfNegative val="0"/>
          <c:xVal>
            <c:strRef>
              <c:f>Gráficos!$B$229:$B$240</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xVal>
          <c:yVal>
            <c:numRef>
              <c:f>Gráficos!$A$229:$A$240</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yVal>
          <c:bubbleSize>
            <c:numRef>
              <c:f>Gráficos!$C$229:$C$240</c:f>
              <c:numCache>
                <c:formatCode>General</c:formatCode>
                <c:ptCount val="12"/>
                <c:pt idx="0">
                  <c:v>#N/A</c:v>
                </c:pt>
                <c:pt idx="1">
                  <c:v>#N/A</c:v>
                </c:pt>
                <c:pt idx="2">
                  <c:v>#N/A</c:v>
                </c:pt>
                <c:pt idx="3">
                  <c:v>#N/A</c:v>
                </c:pt>
                <c:pt idx="4">
                  <c:v>#N/A</c:v>
                </c:pt>
                <c:pt idx="5">
                  <c:v>#N/A</c:v>
                </c:pt>
                <c:pt idx="6">
                  <c:v>#N/A</c:v>
                </c:pt>
                <c:pt idx="7">
                  <c:v>#N/A</c:v>
                </c:pt>
                <c:pt idx="8">
                  <c:v>#N/A</c:v>
                </c:pt>
                <c:pt idx="9">
                  <c:v>#N/A</c:v>
                </c:pt>
                <c:pt idx="10">
                  <c:v>#N/A</c:v>
                </c:pt>
                <c:pt idx="11">
                  <c:v>#N/A</c:v>
                </c:pt>
              </c:numCache>
            </c:numRef>
          </c:bubbleSize>
          <c:bubble3D val="0"/>
          <c:extLst xmlns:c16r2="http://schemas.microsoft.com/office/drawing/2015/06/chart">
            <c:ext xmlns:c16="http://schemas.microsoft.com/office/drawing/2014/chart" uri="{C3380CC4-5D6E-409C-BE32-E72D297353CC}">
              <c16:uniqueId val="{00000000-6A9B-418A-A3C9-6B7C39A9C7C8}"/>
            </c:ext>
          </c:extLst>
        </c:ser>
        <c:dLbls>
          <c:showLegendKey val="0"/>
          <c:showVal val="0"/>
          <c:showCatName val="0"/>
          <c:showSerName val="0"/>
          <c:showPercent val="0"/>
          <c:showBubbleSize val="0"/>
        </c:dLbls>
        <c:bubbleScale val="150"/>
        <c:showNegBubbles val="0"/>
        <c:axId val="870819632"/>
        <c:axId val="870801680"/>
      </c:bubbleChart>
      <c:valAx>
        <c:axId val="870819632"/>
        <c:scaling>
          <c:orientation val="minMax"/>
          <c:max val="13"/>
          <c:min val="0"/>
        </c:scaling>
        <c:delete val="0"/>
        <c:axPos val="b"/>
        <c:title>
          <c:tx>
            <c:rich>
              <a:bodyPr/>
              <a:lstStyle/>
              <a:p>
                <a:pPr>
                  <a:defRPr/>
                </a:pPr>
                <a:r>
                  <a:rPr lang="es-AR"/>
                  <a:t>Mes</a:t>
                </a:r>
              </a:p>
            </c:rich>
          </c:tx>
          <c:overlay val="0"/>
        </c:title>
        <c:numFmt formatCode="General" sourceLinked="1"/>
        <c:majorTickMark val="out"/>
        <c:minorTickMark val="none"/>
        <c:tickLblPos val="nextTo"/>
        <c:crossAx val="870801680"/>
        <c:crosses val="autoZero"/>
        <c:crossBetween val="midCat"/>
        <c:majorUnit val="1"/>
      </c:valAx>
      <c:valAx>
        <c:axId val="870801680"/>
        <c:scaling>
          <c:orientation val="minMax"/>
        </c:scaling>
        <c:delete val="1"/>
        <c:axPos val="l"/>
        <c:numFmt formatCode="General" sourceLinked="1"/>
        <c:majorTickMark val="out"/>
        <c:minorTickMark val="none"/>
        <c:tickLblPos val="nextTo"/>
        <c:crossAx val="870819632"/>
        <c:crosses val="autoZero"/>
        <c:crossBetween val="midCat"/>
      </c:valAx>
    </c:plotArea>
    <c:plotVisOnly val="1"/>
    <c:dispBlanksAs val="gap"/>
    <c:showDLblsOverMax val="0"/>
  </c:chart>
  <c:spPr>
    <a:ln>
      <a:solidFill>
        <a:schemeClr val="bg1"/>
      </a:solidFill>
    </a:ln>
  </c:sp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400"/>
              <a:t>Mes inicio servicio alternativo</a:t>
            </a:r>
          </a:p>
        </c:rich>
      </c:tx>
      <c:layout>
        <c:manualLayout>
          <c:xMode val="edge"/>
          <c:yMode val="edge"/>
          <c:x val="0.26079537037037037"/>
          <c:y val="7.8616716244624865E-2"/>
        </c:manualLayout>
      </c:layout>
      <c:overlay val="0"/>
    </c:title>
    <c:autoTitleDeleted val="0"/>
    <c:plotArea>
      <c:layout>
        <c:manualLayout>
          <c:layoutTarget val="inner"/>
          <c:xMode val="edge"/>
          <c:yMode val="edge"/>
          <c:x val="1.1931792601196613E-2"/>
          <c:y val="0.28528829317043353"/>
          <c:w val="0.97805670868521011"/>
          <c:h val="0.48067857768024369"/>
        </c:manualLayout>
      </c:layout>
      <c:bubbleChart>
        <c:varyColors val="0"/>
        <c:ser>
          <c:idx val="0"/>
          <c:order val="0"/>
          <c:spPr>
            <a:solidFill>
              <a:srgbClr val="FFC000"/>
            </a:solidFill>
            <a:ln w="25400">
              <a:noFill/>
            </a:ln>
          </c:spPr>
          <c:invertIfNegative val="0"/>
          <c:xVal>
            <c:strRef>
              <c:f>Gráficos!$B$229:$B$240</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xVal>
          <c:yVal>
            <c:numRef>
              <c:f>Gráficos!$A$229:$A$240</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yVal>
          <c:bubbleSize>
            <c:numRef>
              <c:f>Gráficos!$D$229:$D$240</c:f>
              <c:numCache>
                <c:formatCode>General</c:formatCode>
                <c:ptCount val="12"/>
                <c:pt idx="0">
                  <c:v>#N/A</c:v>
                </c:pt>
                <c:pt idx="1">
                  <c:v>#N/A</c:v>
                </c:pt>
                <c:pt idx="2">
                  <c:v>#N/A</c:v>
                </c:pt>
                <c:pt idx="3">
                  <c:v>#N/A</c:v>
                </c:pt>
                <c:pt idx="4">
                  <c:v>#N/A</c:v>
                </c:pt>
                <c:pt idx="5">
                  <c:v>#N/A</c:v>
                </c:pt>
                <c:pt idx="6">
                  <c:v>#N/A</c:v>
                </c:pt>
                <c:pt idx="7">
                  <c:v>#N/A</c:v>
                </c:pt>
                <c:pt idx="8">
                  <c:v>#N/A</c:v>
                </c:pt>
                <c:pt idx="9">
                  <c:v>#N/A</c:v>
                </c:pt>
                <c:pt idx="10">
                  <c:v>#N/A</c:v>
                </c:pt>
                <c:pt idx="11">
                  <c:v>#N/A</c:v>
                </c:pt>
              </c:numCache>
            </c:numRef>
          </c:bubbleSize>
          <c:bubble3D val="0"/>
          <c:extLst xmlns:c16r2="http://schemas.microsoft.com/office/drawing/2015/06/chart">
            <c:ext xmlns:c16="http://schemas.microsoft.com/office/drawing/2014/chart" uri="{C3380CC4-5D6E-409C-BE32-E72D297353CC}">
              <c16:uniqueId val="{00000000-F9D8-4B7D-B6AF-F9C1DF266894}"/>
            </c:ext>
          </c:extLst>
        </c:ser>
        <c:dLbls>
          <c:showLegendKey val="0"/>
          <c:showVal val="0"/>
          <c:showCatName val="0"/>
          <c:showSerName val="0"/>
          <c:showPercent val="0"/>
          <c:showBubbleSize val="0"/>
        </c:dLbls>
        <c:bubbleScale val="150"/>
        <c:showNegBubbles val="0"/>
        <c:axId val="870809840"/>
        <c:axId val="870818000"/>
      </c:bubbleChart>
      <c:valAx>
        <c:axId val="870809840"/>
        <c:scaling>
          <c:orientation val="minMax"/>
          <c:max val="13"/>
          <c:min val="0"/>
        </c:scaling>
        <c:delete val="0"/>
        <c:axPos val="b"/>
        <c:title>
          <c:tx>
            <c:rich>
              <a:bodyPr/>
              <a:lstStyle/>
              <a:p>
                <a:pPr>
                  <a:defRPr/>
                </a:pPr>
                <a:r>
                  <a:rPr lang="es-AR"/>
                  <a:t>Mes</a:t>
                </a:r>
              </a:p>
            </c:rich>
          </c:tx>
          <c:overlay val="0"/>
        </c:title>
        <c:numFmt formatCode="General" sourceLinked="1"/>
        <c:majorTickMark val="out"/>
        <c:minorTickMark val="none"/>
        <c:tickLblPos val="nextTo"/>
        <c:crossAx val="870818000"/>
        <c:crosses val="autoZero"/>
        <c:crossBetween val="midCat"/>
        <c:majorUnit val="1"/>
      </c:valAx>
      <c:valAx>
        <c:axId val="870818000"/>
        <c:scaling>
          <c:orientation val="minMax"/>
        </c:scaling>
        <c:delete val="1"/>
        <c:axPos val="l"/>
        <c:numFmt formatCode="General" sourceLinked="1"/>
        <c:majorTickMark val="out"/>
        <c:minorTickMark val="none"/>
        <c:tickLblPos val="nextTo"/>
        <c:crossAx val="870809840"/>
        <c:crosses val="autoZero"/>
        <c:crossBetween val="midCat"/>
      </c:valAx>
    </c:plotArea>
    <c:plotVisOnly val="1"/>
    <c:dispBlanksAs val="gap"/>
    <c:showDLblsOverMax val="0"/>
  </c:chart>
  <c:spPr>
    <a:ln>
      <a:solidFill>
        <a:schemeClr val="bg1"/>
      </a:solidFill>
    </a:ln>
  </c:sp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a:t>Duración del servicio principal</a:t>
            </a:r>
          </a:p>
        </c:rich>
      </c:tx>
      <c:overlay val="0"/>
    </c:title>
    <c:autoTitleDeleted val="0"/>
    <c:plotArea>
      <c:layout>
        <c:manualLayout>
          <c:layoutTarget val="inner"/>
          <c:xMode val="edge"/>
          <c:yMode val="edge"/>
          <c:x val="9.7207407407407409E-2"/>
          <c:y val="0.21867824074074074"/>
          <c:w val="0.87045462962962961"/>
          <c:h val="0.61050879629629629"/>
        </c:manualLayout>
      </c:layout>
      <c:barChart>
        <c:barDir val="col"/>
        <c:grouping val="clustered"/>
        <c:varyColors val="0"/>
        <c:ser>
          <c:idx val="0"/>
          <c:order val="0"/>
          <c:tx>
            <c:strRef>
              <c:f>Gráficos!$I$232</c:f>
              <c:strCache>
                <c:ptCount val="1"/>
                <c:pt idx="0">
                  <c:v>Duración del servicio ppal</c:v>
                </c:pt>
              </c:strCache>
            </c:strRef>
          </c:tx>
          <c:spPr>
            <a:solidFill>
              <a:schemeClr val="accent6"/>
            </a:solidFill>
          </c:spPr>
          <c:invertIfNegative val="0"/>
          <c:cat>
            <c:strRef>
              <c:f>Gráficos!$J$231:$N$231</c:f>
              <c:strCache>
                <c:ptCount val="5"/>
                <c:pt idx="0">
                  <c:v>1 mes</c:v>
                </c:pt>
                <c:pt idx="1">
                  <c:v>2 meses</c:v>
                </c:pt>
                <c:pt idx="2">
                  <c:v>3 meses</c:v>
                </c:pt>
                <c:pt idx="3">
                  <c:v>4 meses</c:v>
                </c:pt>
                <c:pt idx="4">
                  <c:v>más de 4 meses</c:v>
                </c:pt>
              </c:strCache>
            </c:strRef>
          </c:cat>
          <c:val>
            <c:numRef>
              <c:f>Gráficos!$J$236:$N$236</c:f>
              <c:numCache>
                <c:formatCode>0%</c:formatCode>
                <c:ptCount val="5"/>
                <c:pt idx="0">
                  <c:v>#N/A</c:v>
                </c:pt>
                <c:pt idx="1">
                  <c:v>#N/A</c:v>
                </c:pt>
                <c:pt idx="2">
                  <c:v>#N/A</c:v>
                </c:pt>
                <c:pt idx="3">
                  <c:v>#N/A</c:v>
                </c:pt>
                <c:pt idx="4">
                  <c:v>#N/A</c:v>
                </c:pt>
              </c:numCache>
            </c:numRef>
          </c:val>
          <c:extLst xmlns:c16r2="http://schemas.microsoft.com/office/drawing/2015/06/chart">
            <c:ext xmlns:c16="http://schemas.microsoft.com/office/drawing/2014/chart" uri="{C3380CC4-5D6E-409C-BE32-E72D297353CC}">
              <c16:uniqueId val="{00000000-8D4D-466B-8B95-4D8C371518E5}"/>
            </c:ext>
          </c:extLst>
        </c:ser>
        <c:dLbls>
          <c:showLegendKey val="0"/>
          <c:showVal val="0"/>
          <c:showCatName val="0"/>
          <c:showSerName val="0"/>
          <c:showPercent val="0"/>
          <c:showBubbleSize val="0"/>
        </c:dLbls>
        <c:gapWidth val="40"/>
        <c:axId val="870810928"/>
        <c:axId val="870813648"/>
      </c:barChart>
      <c:catAx>
        <c:axId val="870810928"/>
        <c:scaling>
          <c:orientation val="minMax"/>
        </c:scaling>
        <c:delete val="0"/>
        <c:axPos val="b"/>
        <c:numFmt formatCode="General" sourceLinked="0"/>
        <c:majorTickMark val="out"/>
        <c:minorTickMark val="none"/>
        <c:tickLblPos val="nextTo"/>
        <c:crossAx val="870813648"/>
        <c:crosses val="autoZero"/>
        <c:auto val="1"/>
        <c:lblAlgn val="ctr"/>
        <c:lblOffset val="100"/>
        <c:noMultiLvlLbl val="0"/>
      </c:catAx>
      <c:valAx>
        <c:axId val="870813648"/>
        <c:scaling>
          <c:orientation val="minMax"/>
        </c:scaling>
        <c:delete val="0"/>
        <c:axPos val="l"/>
        <c:majorGridlines>
          <c:spPr>
            <a:ln>
              <a:solidFill>
                <a:schemeClr val="bg1">
                  <a:lumMod val="85000"/>
                </a:schemeClr>
              </a:solidFill>
              <a:prstDash val="sysDot"/>
            </a:ln>
          </c:spPr>
        </c:majorGridlines>
        <c:numFmt formatCode="0%" sourceLinked="1"/>
        <c:majorTickMark val="out"/>
        <c:minorTickMark val="none"/>
        <c:tickLblPos val="nextTo"/>
        <c:crossAx val="870810928"/>
        <c:crosses val="autoZero"/>
        <c:crossBetween val="between"/>
      </c:valAx>
    </c:plotArea>
    <c:plotVisOnly val="1"/>
    <c:dispBlanksAs val="gap"/>
    <c:showDLblsOverMax val="0"/>
  </c:chart>
  <c:spPr>
    <a:ln>
      <a:solidFill>
        <a:schemeClr val="bg1">
          <a:lumMod val="75000"/>
        </a:schemeClr>
      </a:solidFill>
    </a:ln>
  </c:sp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a:t>Duración del servicio alternativo</a:t>
            </a:r>
          </a:p>
        </c:rich>
      </c:tx>
      <c:overlay val="0"/>
    </c:title>
    <c:autoTitleDeleted val="0"/>
    <c:plotArea>
      <c:layout>
        <c:manualLayout>
          <c:layoutTarget val="inner"/>
          <c:xMode val="edge"/>
          <c:yMode val="edge"/>
          <c:x val="9.7207407407407409E-2"/>
          <c:y val="0.21867824074074074"/>
          <c:w val="0.87045462962962961"/>
          <c:h val="0.61050879629629629"/>
        </c:manualLayout>
      </c:layout>
      <c:barChart>
        <c:barDir val="col"/>
        <c:grouping val="clustered"/>
        <c:varyColors val="0"/>
        <c:ser>
          <c:idx val="0"/>
          <c:order val="0"/>
          <c:tx>
            <c:strRef>
              <c:f>Gráficos!$I$232</c:f>
              <c:strCache>
                <c:ptCount val="1"/>
                <c:pt idx="0">
                  <c:v>Duración del servicio ppal</c:v>
                </c:pt>
              </c:strCache>
            </c:strRef>
          </c:tx>
          <c:spPr>
            <a:solidFill>
              <a:srgbClr val="FFC000"/>
            </a:solidFill>
          </c:spPr>
          <c:invertIfNegative val="0"/>
          <c:cat>
            <c:strRef>
              <c:f>Gráficos!$J$231:$N$231</c:f>
              <c:strCache>
                <c:ptCount val="5"/>
                <c:pt idx="0">
                  <c:v>1 mes</c:v>
                </c:pt>
                <c:pt idx="1">
                  <c:v>2 meses</c:v>
                </c:pt>
                <c:pt idx="2">
                  <c:v>3 meses</c:v>
                </c:pt>
                <c:pt idx="3">
                  <c:v>4 meses</c:v>
                </c:pt>
                <c:pt idx="4">
                  <c:v>más de 4 meses</c:v>
                </c:pt>
              </c:strCache>
            </c:strRef>
          </c:cat>
          <c:val>
            <c:numRef>
              <c:f>Gráficos!$J$237:$N$237</c:f>
              <c:numCache>
                <c:formatCode>0%</c:formatCode>
                <c:ptCount val="5"/>
                <c:pt idx="0">
                  <c:v>#N/A</c:v>
                </c:pt>
                <c:pt idx="1">
                  <c:v>#N/A</c:v>
                </c:pt>
                <c:pt idx="2">
                  <c:v>#N/A</c:v>
                </c:pt>
                <c:pt idx="3">
                  <c:v>#N/A</c:v>
                </c:pt>
                <c:pt idx="4">
                  <c:v>#N/A</c:v>
                </c:pt>
              </c:numCache>
            </c:numRef>
          </c:val>
          <c:extLst xmlns:c16r2="http://schemas.microsoft.com/office/drawing/2015/06/chart">
            <c:ext xmlns:c16="http://schemas.microsoft.com/office/drawing/2014/chart" uri="{C3380CC4-5D6E-409C-BE32-E72D297353CC}">
              <c16:uniqueId val="{00000000-7804-4BF6-B8E4-A0CB349955CA}"/>
            </c:ext>
          </c:extLst>
        </c:ser>
        <c:dLbls>
          <c:showLegendKey val="0"/>
          <c:showVal val="0"/>
          <c:showCatName val="0"/>
          <c:showSerName val="0"/>
          <c:showPercent val="0"/>
          <c:showBubbleSize val="0"/>
        </c:dLbls>
        <c:gapWidth val="40"/>
        <c:axId val="870798416"/>
        <c:axId val="870800048"/>
      </c:barChart>
      <c:catAx>
        <c:axId val="870798416"/>
        <c:scaling>
          <c:orientation val="minMax"/>
        </c:scaling>
        <c:delete val="0"/>
        <c:axPos val="b"/>
        <c:numFmt formatCode="General" sourceLinked="0"/>
        <c:majorTickMark val="out"/>
        <c:minorTickMark val="none"/>
        <c:tickLblPos val="nextTo"/>
        <c:crossAx val="870800048"/>
        <c:crosses val="autoZero"/>
        <c:auto val="1"/>
        <c:lblAlgn val="ctr"/>
        <c:lblOffset val="100"/>
        <c:noMultiLvlLbl val="0"/>
      </c:catAx>
      <c:valAx>
        <c:axId val="870800048"/>
        <c:scaling>
          <c:orientation val="minMax"/>
        </c:scaling>
        <c:delete val="0"/>
        <c:axPos val="l"/>
        <c:majorGridlines>
          <c:spPr>
            <a:ln>
              <a:solidFill>
                <a:schemeClr val="bg1">
                  <a:lumMod val="85000"/>
                </a:schemeClr>
              </a:solidFill>
              <a:prstDash val="sysDot"/>
            </a:ln>
          </c:spPr>
        </c:majorGridlines>
        <c:numFmt formatCode="0%" sourceLinked="1"/>
        <c:majorTickMark val="out"/>
        <c:minorTickMark val="none"/>
        <c:tickLblPos val="nextTo"/>
        <c:crossAx val="870798416"/>
        <c:crosses val="autoZero"/>
        <c:crossBetween val="between"/>
      </c:valAx>
    </c:plotArea>
    <c:plotVisOnly val="1"/>
    <c:dispBlanksAs val="gap"/>
    <c:showDLblsOverMax val="0"/>
  </c:chart>
  <c:spPr>
    <a:ln>
      <a:solidFill>
        <a:schemeClr val="bg1">
          <a:lumMod val="75000"/>
        </a:schemeClr>
      </a:solidFill>
    </a:ln>
  </c:sp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3788104617755126E-2"/>
          <c:y val="7.0981051452778509E-3"/>
          <c:w val="0.95621189538224483"/>
          <c:h val="0.974944150701193"/>
        </c:manualLayout>
      </c:layout>
      <c:bubbleChart>
        <c:varyColors val="0"/>
        <c:ser>
          <c:idx val="1"/>
          <c:order val="0"/>
          <c:spPr>
            <a:solidFill>
              <a:schemeClr val="accent6">
                <a:lumMod val="75000"/>
              </a:schemeClr>
            </a:solidFill>
            <a:ln w="25400">
              <a:noFill/>
            </a:ln>
          </c:spPr>
          <c:invertIfNegative val="0"/>
          <c:dLbls>
            <c:spPr>
              <a:noFill/>
              <a:ln>
                <a:noFill/>
              </a:ln>
              <a:effectLst/>
            </c:spPr>
            <c:dLblPos val="ctr"/>
            <c:showLegendKey val="0"/>
            <c:showVal val="0"/>
            <c:showCatName val="0"/>
            <c:showSerName val="0"/>
            <c:showPercent val="0"/>
            <c:showBubbleSize val="1"/>
            <c:showLeaderLines val="0"/>
            <c:extLst xmlns:c16r2="http://schemas.microsoft.com/office/drawing/2015/06/chart">
              <c:ext xmlns:c15="http://schemas.microsoft.com/office/drawing/2012/chart" uri="{CE6537A1-D6FC-4f65-9D91-7224C49458BB}">
                <c15:showLeaderLines val="0"/>
              </c:ext>
            </c:extLst>
          </c:dLbls>
          <c:xVal>
            <c:numRef>
              <c:f>Gráficos!$C$278:$G$278</c:f>
              <c:numCache>
                <c:formatCode>General</c:formatCode>
                <c:ptCount val="5"/>
                <c:pt idx="0">
                  <c:v>1</c:v>
                </c:pt>
                <c:pt idx="1">
                  <c:v>2</c:v>
                </c:pt>
                <c:pt idx="2">
                  <c:v>3</c:v>
                </c:pt>
                <c:pt idx="3">
                  <c:v>4</c:v>
                </c:pt>
                <c:pt idx="4">
                  <c:v>5</c:v>
                </c:pt>
              </c:numCache>
            </c:numRef>
          </c:xVal>
          <c:yVal>
            <c:numRef>
              <c:f>Gráficos!$C$277:$G$277</c:f>
              <c:numCache>
                <c:formatCode>General</c:formatCode>
                <c:ptCount val="5"/>
                <c:pt idx="0">
                  <c:v>1</c:v>
                </c:pt>
                <c:pt idx="1">
                  <c:v>1</c:v>
                </c:pt>
                <c:pt idx="2">
                  <c:v>1</c:v>
                </c:pt>
                <c:pt idx="3">
                  <c:v>1</c:v>
                </c:pt>
                <c:pt idx="4">
                  <c:v>1</c:v>
                </c:pt>
              </c:numCache>
            </c:numRef>
          </c:yVal>
          <c:bubbleSize>
            <c:numRef>
              <c:f>Gráficos!$C$276:$G$276</c:f>
              <c:numCache>
                <c:formatCode>0%</c:formatCode>
                <c:ptCount val="5"/>
                <c:pt idx="0">
                  <c:v>#N/A</c:v>
                </c:pt>
                <c:pt idx="1">
                  <c:v>0</c:v>
                </c:pt>
                <c:pt idx="2">
                  <c:v>#N/A</c:v>
                </c:pt>
                <c:pt idx="3">
                  <c:v>0</c:v>
                </c:pt>
                <c:pt idx="4">
                  <c:v>#N/A</c:v>
                </c:pt>
              </c:numCache>
            </c:numRef>
          </c:bubbleSize>
          <c:bubble3D val="0"/>
          <c:extLst xmlns:c16r2="http://schemas.microsoft.com/office/drawing/2015/06/chart">
            <c:ext xmlns:c16="http://schemas.microsoft.com/office/drawing/2014/chart" uri="{C3380CC4-5D6E-409C-BE32-E72D297353CC}">
              <c16:uniqueId val="{00000000-999A-4829-A77E-15678DE35C46}"/>
            </c:ext>
          </c:extLst>
        </c:ser>
        <c:dLbls>
          <c:showLegendKey val="0"/>
          <c:showVal val="0"/>
          <c:showCatName val="0"/>
          <c:showSerName val="0"/>
          <c:showPercent val="0"/>
          <c:showBubbleSize val="0"/>
        </c:dLbls>
        <c:bubbleScale val="100"/>
        <c:showNegBubbles val="0"/>
        <c:axId val="870807120"/>
        <c:axId val="870811472"/>
      </c:bubbleChart>
      <c:valAx>
        <c:axId val="870807120"/>
        <c:scaling>
          <c:orientation val="minMax"/>
        </c:scaling>
        <c:delete val="1"/>
        <c:axPos val="b"/>
        <c:numFmt formatCode="General" sourceLinked="1"/>
        <c:majorTickMark val="out"/>
        <c:minorTickMark val="none"/>
        <c:tickLblPos val="nextTo"/>
        <c:crossAx val="870811472"/>
        <c:crosses val="autoZero"/>
        <c:crossBetween val="midCat"/>
      </c:valAx>
      <c:valAx>
        <c:axId val="870811472"/>
        <c:scaling>
          <c:orientation val="minMax"/>
          <c:max val="1.5"/>
          <c:min val="0.5"/>
        </c:scaling>
        <c:delete val="1"/>
        <c:axPos val="l"/>
        <c:numFmt formatCode="General" sourceLinked="1"/>
        <c:majorTickMark val="out"/>
        <c:minorTickMark val="none"/>
        <c:tickLblPos val="nextTo"/>
        <c:crossAx val="870807120"/>
        <c:crosses val="autoZero"/>
        <c:crossBetween val="midCat"/>
      </c:valAx>
      <c:spPr>
        <a:ln>
          <a:noFill/>
        </a:ln>
      </c:spPr>
    </c:plotArea>
    <c:plotVisOnly val="1"/>
    <c:dispBlanksAs val="gap"/>
    <c:showDLblsOverMax val="0"/>
  </c:chart>
  <c:spPr>
    <a:ln>
      <a:noFill/>
    </a:ln>
  </c:spPr>
  <c:printSettings>
    <c:headerFooter/>
    <c:pageMargins b="0.75" l="0.7" r="0.7" t="0.75" header="0.3" footer="0.3"/>
    <c:pageSetup/>
  </c:printSettings>
  <c:userShapes r:id="rId1"/>
</c:chartSpace>
</file>

<file path=xl/charts/chart28.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49548750000000003"/>
          <c:y val="2.7967137072444134E-2"/>
        </c:manualLayout>
      </c:layout>
      <c:overlay val="0"/>
      <c:txPr>
        <a:bodyPr/>
        <a:lstStyle/>
        <a:p>
          <a:pPr>
            <a:defRPr sz="1400"/>
          </a:pPr>
          <a:endParaRPr lang="es-AR"/>
        </a:p>
      </c:txPr>
    </c:title>
    <c:autoTitleDeleted val="0"/>
    <c:plotArea>
      <c:layout/>
      <c:barChart>
        <c:barDir val="bar"/>
        <c:grouping val="clustered"/>
        <c:varyColors val="0"/>
        <c:ser>
          <c:idx val="0"/>
          <c:order val="0"/>
          <c:tx>
            <c:strRef>
              <c:f>Gráficos!$C$287</c:f>
              <c:strCache>
                <c:ptCount val="1"/>
                <c:pt idx="0">
                  <c:v>Grano</c:v>
                </c:pt>
              </c:strCache>
            </c:strRef>
          </c:tx>
          <c:spPr>
            <a:solidFill>
              <a:srgbClr val="FFC000"/>
            </a:solidFill>
          </c:spPr>
          <c:invertIfNegative val="0"/>
          <c:cat>
            <c:strRef>
              <c:f>Gráficos!$B$288:$B$290</c:f>
              <c:strCache>
                <c:ptCount val="3"/>
                <c:pt idx="0">
                  <c:v>&lt;30%</c:v>
                </c:pt>
                <c:pt idx="1">
                  <c:v>30%-60%</c:v>
                </c:pt>
                <c:pt idx="2">
                  <c:v>&gt;60%</c:v>
                </c:pt>
              </c:strCache>
            </c:strRef>
          </c:cat>
          <c:val>
            <c:numRef>
              <c:f>Gráficos!$C$288:$C$290</c:f>
              <c:numCache>
                <c:formatCode>0%</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0-9E38-4D72-A688-4B848C84392F}"/>
            </c:ext>
          </c:extLst>
        </c:ser>
        <c:dLbls>
          <c:showLegendKey val="0"/>
          <c:showVal val="0"/>
          <c:showCatName val="0"/>
          <c:showSerName val="0"/>
          <c:showPercent val="0"/>
          <c:showBubbleSize val="0"/>
        </c:dLbls>
        <c:gapWidth val="40"/>
        <c:axId val="870789168"/>
        <c:axId val="870803856"/>
      </c:barChart>
      <c:catAx>
        <c:axId val="870789168"/>
        <c:scaling>
          <c:orientation val="minMax"/>
        </c:scaling>
        <c:delete val="0"/>
        <c:axPos val="l"/>
        <c:numFmt formatCode="General" sourceLinked="0"/>
        <c:majorTickMark val="out"/>
        <c:minorTickMark val="none"/>
        <c:tickLblPos val="nextTo"/>
        <c:crossAx val="870803856"/>
        <c:crosses val="autoZero"/>
        <c:auto val="1"/>
        <c:lblAlgn val="ctr"/>
        <c:lblOffset val="100"/>
        <c:noMultiLvlLbl val="0"/>
      </c:catAx>
      <c:valAx>
        <c:axId val="870803856"/>
        <c:scaling>
          <c:orientation val="minMax"/>
        </c:scaling>
        <c:delete val="0"/>
        <c:axPos val="b"/>
        <c:majorGridlines>
          <c:spPr>
            <a:ln>
              <a:solidFill>
                <a:schemeClr val="bg1">
                  <a:lumMod val="85000"/>
                </a:schemeClr>
              </a:solidFill>
              <a:prstDash val="sysDot"/>
            </a:ln>
          </c:spPr>
        </c:majorGridlines>
        <c:numFmt formatCode="0%" sourceLinked="1"/>
        <c:majorTickMark val="out"/>
        <c:minorTickMark val="none"/>
        <c:tickLblPos val="nextTo"/>
        <c:crossAx val="870789168"/>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sz="1400"/>
          </a:pPr>
          <a:endParaRPr lang="es-AR"/>
        </a:p>
      </c:txPr>
    </c:title>
    <c:autoTitleDeleted val="0"/>
    <c:plotArea>
      <c:layout/>
      <c:barChart>
        <c:barDir val="bar"/>
        <c:grouping val="clustered"/>
        <c:varyColors val="0"/>
        <c:ser>
          <c:idx val="0"/>
          <c:order val="0"/>
          <c:tx>
            <c:strRef>
              <c:f>Gráficos!$D$287</c:f>
              <c:strCache>
                <c:ptCount val="1"/>
                <c:pt idx="0">
                  <c:v>Silo </c:v>
                </c:pt>
              </c:strCache>
            </c:strRef>
          </c:tx>
          <c:spPr>
            <a:solidFill>
              <a:schemeClr val="accent3"/>
            </a:solidFill>
          </c:spPr>
          <c:invertIfNegative val="0"/>
          <c:cat>
            <c:strRef>
              <c:f>Gráficos!$B$288:$B$290</c:f>
              <c:strCache>
                <c:ptCount val="3"/>
                <c:pt idx="0">
                  <c:v>&lt;30%</c:v>
                </c:pt>
                <c:pt idx="1">
                  <c:v>30%-60%</c:v>
                </c:pt>
                <c:pt idx="2">
                  <c:v>&gt;60%</c:v>
                </c:pt>
              </c:strCache>
            </c:strRef>
          </c:cat>
          <c:val>
            <c:numRef>
              <c:f>Gráficos!$D$288:$D$290</c:f>
              <c:numCache>
                <c:formatCode>0%</c:formatCode>
                <c:ptCount val="3"/>
                <c:pt idx="0">
                  <c:v>#N/A</c:v>
                </c:pt>
                <c:pt idx="1">
                  <c:v>#N/A</c:v>
                </c:pt>
                <c:pt idx="2">
                  <c:v>#N/A</c:v>
                </c:pt>
              </c:numCache>
            </c:numRef>
          </c:val>
          <c:extLst xmlns:c16r2="http://schemas.microsoft.com/office/drawing/2015/06/chart">
            <c:ext xmlns:c16="http://schemas.microsoft.com/office/drawing/2014/chart" uri="{C3380CC4-5D6E-409C-BE32-E72D297353CC}">
              <c16:uniqueId val="{00000000-54E4-4678-BCD7-6D9F9913843E}"/>
            </c:ext>
          </c:extLst>
        </c:ser>
        <c:dLbls>
          <c:showLegendKey val="0"/>
          <c:showVal val="0"/>
          <c:showCatName val="0"/>
          <c:showSerName val="0"/>
          <c:showPercent val="0"/>
          <c:showBubbleSize val="0"/>
        </c:dLbls>
        <c:gapWidth val="40"/>
        <c:axId val="870821808"/>
        <c:axId val="870788624"/>
      </c:barChart>
      <c:catAx>
        <c:axId val="870821808"/>
        <c:scaling>
          <c:orientation val="minMax"/>
        </c:scaling>
        <c:delete val="1"/>
        <c:axPos val="l"/>
        <c:numFmt formatCode="General" sourceLinked="0"/>
        <c:majorTickMark val="out"/>
        <c:minorTickMark val="none"/>
        <c:tickLblPos val="nextTo"/>
        <c:crossAx val="870788624"/>
        <c:crosses val="autoZero"/>
        <c:auto val="1"/>
        <c:lblAlgn val="ctr"/>
        <c:lblOffset val="100"/>
        <c:noMultiLvlLbl val="0"/>
      </c:catAx>
      <c:valAx>
        <c:axId val="870788624"/>
        <c:scaling>
          <c:orientation val="minMax"/>
        </c:scaling>
        <c:delete val="0"/>
        <c:axPos val="b"/>
        <c:majorGridlines>
          <c:spPr>
            <a:ln>
              <a:solidFill>
                <a:schemeClr val="bg1">
                  <a:lumMod val="85000"/>
                </a:schemeClr>
              </a:solidFill>
              <a:prstDash val="sysDot"/>
            </a:ln>
          </c:spPr>
        </c:majorGridlines>
        <c:numFmt formatCode="0%" sourceLinked="1"/>
        <c:majorTickMark val="out"/>
        <c:minorTickMark val="none"/>
        <c:tickLblPos val="nextTo"/>
        <c:crossAx val="870821808"/>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sz="1400"/>
          </a:pPr>
          <a:endParaRPr lang="es-AR"/>
        </a:p>
      </c:txPr>
    </c:title>
    <c:autoTitleDeleted val="0"/>
    <c:plotArea>
      <c:layout/>
      <c:barChart>
        <c:barDir val="bar"/>
        <c:grouping val="clustered"/>
        <c:varyColors val="0"/>
        <c:ser>
          <c:idx val="0"/>
          <c:order val="0"/>
          <c:tx>
            <c:strRef>
              <c:f>Gráficos!$E$287</c:f>
              <c:strCache>
                <c:ptCount val="1"/>
                <c:pt idx="0">
                  <c:v>Heno</c:v>
                </c:pt>
              </c:strCache>
            </c:strRef>
          </c:tx>
          <c:spPr>
            <a:solidFill>
              <a:schemeClr val="bg2">
                <a:lumMod val="50000"/>
              </a:schemeClr>
            </a:solidFill>
          </c:spPr>
          <c:invertIfNegative val="0"/>
          <c:cat>
            <c:strRef>
              <c:f>Gráficos!$B$288:$B$290</c:f>
              <c:strCache>
                <c:ptCount val="3"/>
                <c:pt idx="0">
                  <c:v>&lt;30%</c:v>
                </c:pt>
                <c:pt idx="1">
                  <c:v>30%-60%</c:v>
                </c:pt>
                <c:pt idx="2">
                  <c:v>&gt;60%</c:v>
                </c:pt>
              </c:strCache>
            </c:strRef>
          </c:cat>
          <c:val>
            <c:numRef>
              <c:f>Gráficos!$E$288:$E$290</c:f>
              <c:numCache>
                <c:formatCode>0%</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0-1C56-4344-93B3-22119DFEC981}"/>
            </c:ext>
          </c:extLst>
        </c:ser>
        <c:dLbls>
          <c:showLegendKey val="0"/>
          <c:showVal val="0"/>
          <c:showCatName val="0"/>
          <c:showSerName val="0"/>
          <c:showPercent val="0"/>
          <c:showBubbleSize val="0"/>
        </c:dLbls>
        <c:gapWidth val="40"/>
        <c:axId val="870798960"/>
        <c:axId val="870804400"/>
      </c:barChart>
      <c:catAx>
        <c:axId val="870798960"/>
        <c:scaling>
          <c:orientation val="minMax"/>
        </c:scaling>
        <c:delete val="1"/>
        <c:axPos val="l"/>
        <c:numFmt formatCode="General" sourceLinked="0"/>
        <c:majorTickMark val="out"/>
        <c:minorTickMark val="none"/>
        <c:tickLblPos val="nextTo"/>
        <c:crossAx val="870804400"/>
        <c:crosses val="autoZero"/>
        <c:auto val="1"/>
        <c:lblAlgn val="ctr"/>
        <c:lblOffset val="100"/>
        <c:noMultiLvlLbl val="0"/>
      </c:catAx>
      <c:valAx>
        <c:axId val="870804400"/>
        <c:scaling>
          <c:orientation val="minMax"/>
        </c:scaling>
        <c:delete val="0"/>
        <c:axPos val="b"/>
        <c:majorGridlines>
          <c:spPr>
            <a:ln>
              <a:solidFill>
                <a:schemeClr val="bg1">
                  <a:lumMod val="85000"/>
                </a:schemeClr>
              </a:solidFill>
              <a:prstDash val="sysDot"/>
            </a:ln>
          </c:spPr>
        </c:majorGridlines>
        <c:numFmt formatCode="0%" sourceLinked="1"/>
        <c:majorTickMark val="out"/>
        <c:minorTickMark val="none"/>
        <c:tickLblPos val="nextTo"/>
        <c:crossAx val="87079896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5313092676234"/>
          <c:y val="0.19308055929987267"/>
          <c:w val="0.6795946572505428"/>
          <c:h val="0.67428212728077674"/>
        </c:manualLayout>
      </c:layout>
      <c:stockChart>
        <c:ser>
          <c:idx val="0"/>
          <c:order val="0"/>
          <c:tx>
            <c:strRef>
              <c:f>Gráficos!$E$305</c:f>
              <c:strCache>
                <c:ptCount val="1"/>
                <c:pt idx="0">
                  <c:v>1° Cuartil</c:v>
                </c:pt>
              </c:strCache>
            </c:strRef>
          </c:tx>
          <c:spPr>
            <a:ln w="28575">
              <a:noFill/>
            </a:ln>
          </c:spPr>
          <c:marker>
            <c:symbol val="none"/>
          </c:marker>
          <c:cat>
            <c:strRef>
              <c:f>Gráficos!$C$307</c:f>
              <c:strCache>
                <c:ptCount val="1"/>
                <c:pt idx="0">
                  <c:v>ADPV</c:v>
                </c:pt>
              </c:strCache>
            </c:strRef>
          </c:cat>
          <c:val>
            <c:numRef>
              <c:f>Gráficos!$E$307</c:f>
              <c:numCache>
                <c:formatCode>0.00</c:formatCode>
                <c:ptCount val="1"/>
                <c:pt idx="0">
                  <c:v>0</c:v>
                </c:pt>
              </c:numCache>
            </c:numRef>
          </c:val>
          <c:smooth val="0"/>
          <c:extLst xmlns:c16r2="http://schemas.microsoft.com/office/drawing/2015/06/chart">
            <c:ext xmlns:c16="http://schemas.microsoft.com/office/drawing/2014/chart" uri="{C3380CC4-5D6E-409C-BE32-E72D297353CC}">
              <c16:uniqueId val="{00000000-579C-4B83-8369-74D2F29FA24B}"/>
            </c:ext>
          </c:extLst>
        </c:ser>
        <c:ser>
          <c:idx val="1"/>
          <c:order val="1"/>
          <c:tx>
            <c:strRef>
              <c:f>Gráficos!$D$305</c:f>
              <c:strCache>
                <c:ptCount val="1"/>
                <c:pt idx="0">
                  <c:v>Máx</c:v>
                </c:pt>
              </c:strCache>
            </c:strRef>
          </c:tx>
          <c:spPr>
            <a:ln w="28575">
              <a:noFill/>
            </a:ln>
          </c:spPr>
          <c:marker>
            <c:symbol val="dash"/>
            <c:size val="5"/>
            <c:spPr>
              <a:solidFill>
                <a:schemeClr val="tx1"/>
              </a:solidFill>
              <a:ln>
                <a:solidFill>
                  <a:schemeClr val="tx1"/>
                </a:solidFill>
              </a:ln>
            </c:spPr>
          </c:marker>
          <c:cat>
            <c:strRef>
              <c:f>Gráficos!$C$307</c:f>
              <c:strCache>
                <c:ptCount val="1"/>
                <c:pt idx="0">
                  <c:v>ADPV</c:v>
                </c:pt>
              </c:strCache>
            </c:strRef>
          </c:cat>
          <c:val>
            <c:numRef>
              <c:f>Gráficos!$D$307</c:f>
              <c:numCache>
                <c:formatCode>0.00</c:formatCode>
                <c:ptCount val="1"/>
                <c:pt idx="0">
                  <c:v>0</c:v>
                </c:pt>
              </c:numCache>
            </c:numRef>
          </c:val>
          <c:smooth val="0"/>
          <c:extLst xmlns:c16r2="http://schemas.microsoft.com/office/drawing/2015/06/chart">
            <c:ext xmlns:c16="http://schemas.microsoft.com/office/drawing/2014/chart" uri="{C3380CC4-5D6E-409C-BE32-E72D297353CC}">
              <c16:uniqueId val="{00000001-579C-4B83-8369-74D2F29FA24B}"/>
            </c:ext>
          </c:extLst>
        </c:ser>
        <c:ser>
          <c:idx val="2"/>
          <c:order val="2"/>
          <c:tx>
            <c:strRef>
              <c:f>Gráficos!$G$305</c:f>
              <c:strCache>
                <c:ptCount val="1"/>
                <c:pt idx="0">
                  <c:v>Mín</c:v>
                </c:pt>
              </c:strCache>
            </c:strRef>
          </c:tx>
          <c:spPr>
            <a:ln w="28575">
              <a:noFill/>
            </a:ln>
          </c:spPr>
          <c:marker>
            <c:symbol val="dash"/>
            <c:size val="5"/>
            <c:spPr>
              <a:solidFill>
                <a:schemeClr val="tx1"/>
              </a:solidFill>
              <a:ln>
                <a:solidFill>
                  <a:schemeClr val="tx1"/>
                </a:solidFill>
              </a:ln>
            </c:spPr>
          </c:marker>
          <c:cat>
            <c:strRef>
              <c:f>Gráficos!$C$307</c:f>
              <c:strCache>
                <c:ptCount val="1"/>
                <c:pt idx="0">
                  <c:v>ADPV</c:v>
                </c:pt>
              </c:strCache>
            </c:strRef>
          </c:cat>
          <c:val>
            <c:numRef>
              <c:f>Gráficos!$G$307</c:f>
              <c:numCache>
                <c:formatCode>0.00</c:formatCode>
                <c:ptCount val="1"/>
                <c:pt idx="0">
                  <c:v>0</c:v>
                </c:pt>
              </c:numCache>
            </c:numRef>
          </c:val>
          <c:smooth val="0"/>
          <c:extLst xmlns:c16r2="http://schemas.microsoft.com/office/drawing/2015/06/chart">
            <c:ext xmlns:c16="http://schemas.microsoft.com/office/drawing/2014/chart" uri="{C3380CC4-5D6E-409C-BE32-E72D297353CC}">
              <c16:uniqueId val="{00000002-579C-4B83-8369-74D2F29FA24B}"/>
            </c:ext>
          </c:extLst>
        </c:ser>
        <c:ser>
          <c:idx val="3"/>
          <c:order val="3"/>
          <c:tx>
            <c:strRef>
              <c:f>Gráficos!$F$305</c:f>
              <c:strCache>
                <c:ptCount val="1"/>
                <c:pt idx="0">
                  <c:v>3°Cuartil</c:v>
                </c:pt>
              </c:strCache>
            </c:strRef>
          </c:tx>
          <c:spPr>
            <a:ln w="28575">
              <a:noFill/>
            </a:ln>
          </c:spPr>
          <c:marker>
            <c:symbol val="none"/>
          </c:marker>
          <c:cat>
            <c:strRef>
              <c:f>Gráficos!$C$307</c:f>
              <c:strCache>
                <c:ptCount val="1"/>
                <c:pt idx="0">
                  <c:v>ADPV</c:v>
                </c:pt>
              </c:strCache>
            </c:strRef>
          </c:cat>
          <c:val>
            <c:numRef>
              <c:f>Gráficos!$F$307</c:f>
              <c:numCache>
                <c:formatCode>0.00</c:formatCode>
                <c:ptCount val="1"/>
                <c:pt idx="0">
                  <c:v>0</c:v>
                </c:pt>
              </c:numCache>
            </c:numRef>
          </c:val>
          <c:smooth val="0"/>
          <c:extLst xmlns:c16r2="http://schemas.microsoft.com/office/drawing/2015/06/chart">
            <c:ext xmlns:c16="http://schemas.microsoft.com/office/drawing/2014/chart" uri="{C3380CC4-5D6E-409C-BE32-E72D297353CC}">
              <c16:uniqueId val="{00000003-579C-4B83-8369-74D2F29FA24B}"/>
            </c:ext>
          </c:extLst>
        </c:ser>
        <c:dLbls>
          <c:showLegendKey val="0"/>
          <c:showVal val="0"/>
          <c:showCatName val="0"/>
          <c:showSerName val="0"/>
          <c:showPercent val="0"/>
          <c:showBubbleSize val="0"/>
        </c:dLbls>
        <c:hiLowLines/>
        <c:upDownBars>
          <c:gapWidth val="150"/>
          <c:upBars/>
          <c:downBars>
            <c:spPr>
              <a:solidFill>
                <a:schemeClr val="bg1"/>
              </a:solidFill>
            </c:spPr>
          </c:downBars>
        </c:upDownBars>
        <c:axId val="1153696608"/>
        <c:axId val="1153712928"/>
      </c:stockChart>
      <c:stockChart>
        <c:ser>
          <c:idx val="4"/>
          <c:order val="4"/>
          <c:tx>
            <c:strRef>
              <c:f>Gráficos!$H$305</c:f>
              <c:strCache>
                <c:ptCount val="1"/>
                <c:pt idx="0">
                  <c:v>Promedio</c:v>
                </c:pt>
              </c:strCache>
            </c:strRef>
          </c:tx>
          <c:spPr>
            <a:ln w="28575">
              <a:noFill/>
            </a:ln>
          </c:spPr>
          <c:marker>
            <c:symbol val="circle"/>
            <c:size val="7"/>
            <c:spPr>
              <a:solidFill>
                <a:schemeClr val="tx1"/>
              </a:solidFill>
              <a:ln>
                <a:solidFill>
                  <a:schemeClr val="tx1"/>
                </a:solidFill>
              </a:ln>
            </c:spPr>
          </c:marker>
          <c:val>
            <c:numRef>
              <c:f>Gráficos!$H$307</c:f>
              <c:numCache>
                <c:formatCode>0.00</c:formatCode>
                <c:ptCount val="1"/>
                <c:pt idx="0">
                  <c:v>0</c:v>
                </c:pt>
              </c:numCache>
            </c:numRef>
          </c:val>
          <c:smooth val="0"/>
          <c:extLst xmlns:c16r2="http://schemas.microsoft.com/office/drawing/2015/06/chart">
            <c:ext xmlns:c16="http://schemas.microsoft.com/office/drawing/2014/chart" uri="{C3380CC4-5D6E-409C-BE32-E72D297353CC}">
              <c16:uniqueId val="{00000004-579C-4B83-8369-74D2F29FA24B}"/>
            </c:ext>
          </c:extLst>
        </c:ser>
        <c:dLbls>
          <c:showLegendKey val="0"/>
          <c:showVal val="0"/>
          <c:showCatName val="0"/>
          <c:showSerName val="0"/>
          <c:showPercent val="0"/>
          <c:showBubbleSize val="0"/>
        </c:dLbls>
        <c:axId val="1153712384"/>
        <c:axId val="1153711296"/>
      </c:stockChart>
      <c:catAx>
        <c:axId val="1153696608"/>
        <c:scaling>
          <c:orientation val="minMax"/>
        </c:scaling>
        <c:delete val="0"/>
        <c:axPos val="b"/>
        <c:numFmt formatCode="General" sourceLinked="0"/>
        <c:majorTickMark val="out"/>
        <c:minorTickMark val="none"/>
        <c:tickLblPos val="nextTo"/>
        <c:crossAx val="1153712928"/>
        <c:crosses val="autoZero"/>
        <c:auto val="1"/>
        <c:lblAlgn val="ctr"/>
        <c:lblOffset val="100"/>
        <c:noMultiLvlLbl val="0"/>
      </c:catAx>
      <c:valAx>
        <c:axId val="1153712928"/>
        <c:scaling>
          <c:orientation val="minMax"/>
          <c:max val="1"/>
        </c:scaling>
        <c:delete val="0"/>
        <c:axPos val="l"/>
        <c:majorGridlines>
          <c:spPr>
            <a:ln>
              <a:solidFill>
                <a:schemeClr val="bg1">
                  <a:lumMod val="85000"/>
                </a:schemeClr>
              </a:solidFill>
              <a:prstDash val="sysDot"/>
            </a:ln>
          </c:spPr>
        </c:majorGridlines>
        <c:numFmt formatCode="0.00" sourceLinked="1"/>
        <c:majorTickMark val="out"/>
        <c:minorTickMark val="none"/>
        <c:tickLblPos val="nextTo"/>
        <c:crossAx val="1153696608"/>
        <c:crosses val="autoZero"/>
        <c:crossBetween val="between"/>
      </c:valAx>
      <c:valAx>
        <c:axId val="1153711296"/>
        <c:scaling>
          <c:orientation val="minMax"/>
          <c:max val="1"/>
          <c:min val="0"/>
        </c:scaling>
        <c:delete val="0"/>
        <c:axPos val="r"/>
        <c:numFmt formatCode="0.00" sourceLinked="1"/>
        <c:majorTickMark val="out"/>
        <c:minorTickMark val="none"/>
        <c:tickLblPos val="nextTo"/>
        <c:crossAx val="1153712384"/>
        <c:crosses val="max"/>
        <c:crossBetween val="between"/>
      </c:valAx>
      <c:catAx>
        <c:axId val="1153712384"/>
        <c:scaling>
          <c:orientation val="minMax"/>
        </c:scaling>
        <c:delete val="1"/>
        <c:axPos val="b"/>
        <c:majorTickMark val="out"/>
        <c:minorTickMark val="none"/>
        <c:tickLblPos val="nextTo"/>
        <c:crossAx val="1153711296"/>
        <c:crosses val="autoZero"/>
        <c:auto val="1"/>
        <c:lblAlgn val="ctr"/>
        <c:lblOffset val="100"/>
        <c:noMultiLvlLbl val="0"/>
      </c:catAx>
    </c:plotArea>
    <c:legend>
      <c:legendPos val="t"/>
      <c:layout>
        <c:manualLayout>
          <c:xMode val="edge"/>
          <c:yMode val="edge"/>
          <c:x val="3.3030801252793889E-2"/>
          <c:y val="3.2784585909598013E-2"/>
          <c:w val="0.9669691987472061"/>
          <c:h val="9.6527802576558672E-2"/>
        </c:manualLayout>
      </c:layout>
      <c:overlay val="0"/>
    </c:legend>
    <c:plotVisOnly val="1"/>
    <c:dispBlanksAs val="gap"/>
    <c:showDLblsOverMax val="0"/>
  </c:chart>
  <c:spPr>
    <a:ln>
      <a:solidFill>
        <a:schemeClr val="bg1">
          <a:lumMod val="65000"/>
        </a:schemeClr>
      </a:solidFill>
    </a:ln>
  </c:sp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6727441598711715"/>
          <c:y val="0.17668826634507365"/>
          <c:w val="0.69845264288357911"/>
          <c:h val="0.70706671319037484"/>
        </c:manualLayout>
      </c:layout>
      <c:stockChart>
        <c:ser>
          <c:idx val="0"/>
          <c:order val="0"/>
          <c:tx>
            <c:strRef>
              <c:f>Gráficos!$E$305</c:f>
              <c:strCache>
                <c:ptCount val="1"/>
                <c:pt idx="0">
                  <c:v>1° Cuartil</c:v>
                </c:pt>
              </c:strCache>
            </c:strRef>
          </c:tx>
          <c:spPr>
            <a:ln w="28575">
              <a:noFill/>
            </a:ln>
          </c:spPr>
          <c:marker>
            <c:symbol val="none"/>
          </c:marker>
          <c:cat>
            <c:strRef>
              <c:f>Gráficos!$C$308</c:f>
              <c:strCache>
                <c:ptCount val="1"/>
                <c:pt idx="0">
                  <c:v>Eficiencia de Stock</c:v>
                </c:pt>
              </c:strCache>
            </c:strRef>
          </c:cat>
          <c:val>
            <c:numRef>
              <c:f>Gráficos!$E$308</c:f>
              <c:numCache>
                <c:formatCode>0.00</c:formatCode>
                <c:ptCount val="1"/>
                <c:pt idx="0">
                  <c:v>0</c:v>
                </c:pt>
              </c:numCache>
            </c:numRef>
          </c:val>
          <c:smooth val="0"/>
          <c:extLst xmlns:c16r2="http://schemas.microsoft.com/office/drawing/2015/06/chart">
            <c:ext xmlns:c16="http://schemas.microsoft.com/office/drawing/2014/chart" uri="{C3380CC4-5D6E-409C-BE32-E72D297353CC}">
              <c16:uniqueId val="{00000000-579C-4B83-8369-74D2F29FA24B}"/>
            </c:ext>
          </c:extLst>
        </c:ser>
        <c:ser>
          <c:idx val="1"/>
          <c:order val="1"/>
          <c:tx>
            <c:strRef>
              <c:f>Gráficos!$D$306</c:f>
              <c:strCache>
                <c:ptCount val="1"/>
                <c:pt idx="0">
                  <c:v>Máx</c:v>
                </c:pt>
              </c:strCache>
            </c:strRef>
          </c:tx>
          <c:spPr>
            <a:ln w="28575">
              <a:noFill/>
            </a:ln>
          </c:spPr>
          <c:marker>
            <c:symbol val="dash"/>
            <c:size val="5"/>
            <c:spPr>
              <a:solidFill>
                <a:schemeClr val="tx1"/>
              </a:solidFill>
              <a:ln>
                <a:solidFill>
                  <a:schemeClr val="tx1"/>
                </a:solidFill>
              </a:ln>
            </c:spPr>
          </c:marker>
          <c:cat>
            <c:strRef>
              <c:f>Gráficos!$C$308</c:f>
              <c:strCache>
                <c:ptCount val="1"/>
                <c:pt idx="0">
                  <c:v>Eficiencia de Stock</c:v>
                </c:pt>
              </c:strCache>
            </c:strRef>
          </c:cat>
          <c:val>
            <c:numRef>
              <c:f>Gráficos!$D$308</c:f>
              <c:numCache>
                <c:formatCode>0.00</c:formatCode>
                <c:ptCount val="1"/>
                <c:pt idx="0">
                  <c:v>0</c:v>
                </c:pt>
              </c:numCache>
            </c:numRef>
          </c:val>
          <c:smooth val="0"/>
          <c:extLst xmlns:c16r2="http://schemas.microsoft.com/office/drawing/2015/06/chart">
            <c:ext xmlns:c16="http://schemas.microsoft.com/office/drawing/2014/chart" uri="{C3380CC4-5D6E-409C-BE32-E72D297353CC}">
              <c16:uniqueId val="{00000001-579C-4B83-8369-74D2F29FA24B}"/>
            </c:ext>
          </c:extLst>
        </c:ser>
        <c:ser>
          <c:idx val="2"/>
          <c:order val="2"/>
          <c:tx>
            <c:strRef>
              <c:f>Gráficos!$G$306</c:f>
              <c:strCache>
                <c:ptCount val="1"/>
                <c:pt idx="0">
                  <c:v>Mín</c:v>
                </c:pt>
              </c:strCache>
            </c:strRef>
          </c:tx>
          <c:spPr>
            <a:ln w="28575">
              <a:noFill/>
            </a:ln>
          </c:spPr>
          <c:marker>
            <c:symbol val="dash"/>
            <c:size val="5"/>
            <c:spPr>
              <a:solidFill>
                <a:schemeClr val="tx1"/>
              </a:solidFill>
              <a:ln>
                <a:solidFill>
                  <a:schemeClr val="tx1"/>
                </a:solidFill>
              </a:ln>
            </c:spPr>
          </c:marker>
          <c:cat>
            <c:strRef>
              <c:f>Gráficos!$C$308</c:f>
              <c:strCache>
                <c:ptCount val="1"/>
                <c:pt idx="0">
                  <c:v>Eficiencia de Stock</c:v>
                </c:pt>
              </c:strCache>
            </c:strRef>
          </c:cat>
          <c:val>
            <c:numRef>
              <c:f>Gráficos!$G$308</c:f>
              <c:numCache>
                <c:formatCode>0.00</c:formatCode>
                <c:ptCount val="1"/>
                <c:pt idx="0">
                  <c:v>0</c:v>
                </c:pt>
              </c:numCache>
            </c:numRef>
          </c:val>
          <c:smooth val="0"/>
          <c:extLst xmlns:c16r2="http://schemas.microsoft.com/office/drawing/2015/06/chart">
            <c:ext xmlns:c16="http://schemas.microsoft.com/office/drawing/2014/chart" uri="{C3380CC4-5D6E-409C-BE32-E72D297353CC}">
              <c16:uniqueId val="{00000002-579C-4B83-8369-74D2F29FA24B}"/>
            </c:ext>
          </c:extLst>
        </c:ser>
        <c:ser>
          <c:idx val="3"/>
          <c:order val="3"/>
          <c:tx>
            <c:strRef>
              <c:f>Gráficos!$F$305</c:f>
              <c:strCache>
                <c:ptCount val="1"/>
                <c:pt idx="0">
                  <c:v>3°Cuartil</c:v>
                </c:pt>
              </c:strCache>
            </c:strRef>
          </c:tx>
          <c:spPr>
            <a:ln w="28575">
              <a:noFill/>
            </a:ln>
          </c:spPr>
          <c:marker>
            <c:symbol val="none"/>
          </c:marker>
          <c:cat>
            <c:strRef>
              <c:f>Gráficos!$C$308</c:f>
              <c:strCache>
                <c:ptCount val="1"/>
                <c:pt idx="0">
                  <c:v>Eficiencia de Stock</c:v>
                </c:pt>
              </c:strCache>
            </c:strRef>
          </c:cat>
          <c:val>
            <c:numRef>
              <c:f>Gráficos!$F$308</c:f>
              <c:numCache>
                <c:formatCode>0.00</c:formatCode>
                <c:ptCount val="1"/>
                <c:pt idx="0">
                  <c:v>0</c:v>
                </c:pt>
              </c:numCache>
            </c:numRef>
          </c:val>
          <c:smooth val="0"/>
          <c:extLst xmlns:c16r2="http://schemas.microsoft.com/office/drawing/2015/06/chart">
            <c:ext xmlns:c16="http://schemas.microsoft.com/office/drawing/2014/chart" uri="{C3380CC4-5D6E-409C-BE32-E72D297353CC}">
              <c16:uniqueId val="{00000003-579C-4B83-8369-74D2F29FA24B}"/>
            </c:ext>
          </c:extLst>
        </c:ser>
        <c:dLbls>
          <c:showLegendKey val="0"/>
          <c:showVal val="0"/>
          <c:showCatName val="0"/>
          <c:showSerName val="0"/>
          <c:showPercent val="0"/>
          <c:showBubbleSize val="0"/>
        </c:dLbls>
        <c:hiLowLines/>
        <c:upDownBars>
          <c:gapWidth val="150"/>
          <c:upBars/>
          <c:downBars>
            <c:spPr>
              <a:solidFill>
                <a:schemeClr val="bg1"/>
              </a:solidFill>
            </c:spPr>
          </c:downBars>
        </c:upDownBars>
        <c:axId val="1153687904"/>
        <c:axId val="1153714016"/>
      </c:stockChart>
      <c:stockChart>
        <c:ser>
          <c:idx val="4"/>
          <c:order val="4"/>
          <c:tx>
            <c:strRef>
              <c:f>Gráficos!$H$305</c:f>
              <c:strCache>
                <c:ptCount val="1"/>
                <c:pt idx="0">
                  <c:v>Promedio</c:v>
                </c:pt>
              </c:strCache>
            </c:strRef>
          </c:tx>
          <c:spPr>
            <a:ln w="28575">
              <a:noFill/>
            </a:ln>
          </c:spPr>
          <c:marker>
            <c:symbol val="circle"/>
            <c:size val="7"/>
            <c:spPr>
              <a:solidFill>
                <a:schemeClr val="tx1"/>
              </a:solidFill>
              <a:ln>
                <a:solidFill>
                  <a:schemeClr val="tx1"/>
                </a:solidFill>
              </a:ln>
            </c:spPr>
          </c:marker>
          <c:val>
            <c:numRef>
              <c:f>Gráficos!$H$308</c:f>
              <c:numCache>
                <c:formatCode>0.00</c:formatCode>
                <c:ptCount val="1"/>
                <c:pt idx="0">
                  <c:v>0</c:v>
                </c:pt>
              </c:numCache>
            </c:numRef>
          </c:val>
          <c:smooth val="0"/>
          <c:extLst xmlns:c16r2="http://schemas.microsoft.com/office/drawing/2015/06/chart">
            <c:ext xmlns:c16="http://schemas.microsoft.com/office/drawing/2014/chart" uri="{C3380CC4-5D6E-409C-BE32-E72D297353CC}">
              <c16:uniqueId val="{00000004-579C-4B83-8369-74D2F29FA24B}"/>
            </c:ext>
          </c:extLst>
        </c:ser>
        <c:dLbls>
          <c:showLegendKey val="0"/>
          <c:showVal val="0"/>
          <c:showCatName val="0"/>
          <c:showSerName val="0"/>
          <c:showPercent val="0"/>
          <c:showBubbleSize val="0"/>
        </c:dLbls>
        <c:axId val="1153699328"/>
        <c:axId val="1153698240"/>
      </c:stockChart>
      <c:catAx>
        <c:axId val="1153687904"/>
        <c:scaling>
          <c:orientation val="minMax"/>
        </c:scaling>
        <c:delete val="0"/>
        <c:axPos val="b"/>
        <c:numFmt formatCode="General" sourceLinked="0"/>
        <c:majorTickMark val="out"/>
        <c:minorTickMark val="none"/>
        <c:tickLblPos val="nextTo"/>
        <c:crossAx val="1153714016"/>
        <c:crosses val="autoZero"/>
        <c:auto val="1"/>
        <c:lblAlgn val="ctr"/>
        <c:lblOffset val="100"/>
        <c:noMultiLvlLbl val="0"/>
      </c:catAx>
      <c:valAx>
        <c:axId val="1153714016"/>
        <c:scaling>
          <c:orientation val="minMax"/>
          <c:max val="1"/>
        </c:scaling>
        <c:delete val="0"/>
        <c:axPos val="l"/>
        <c:majorGridlines>
          <c:spPr>
            <a:ln>
              <a:solidFill>
                <a:schemeClr val="bg1">
                  <a:lumMod val="85000"/>
                </a:schemeClr>
              </a:solidFill>
              <a:prstDash val="sysDot"/>
            </a:ln>
          </c:spPr>
        </c:majorGridlines>
        <c:numFmt formatCode="0.00" sourceLinked="1"/>
        <c:majorTickMark val="out"/>
        <c:minorTickMark val="none"/>
        <c:tickLblPos val="nextTo"/>
        <c:crossAx val="1153687904"/>
        <c:crosses val="autoZero"/>
        <c:crossBetween val="between"/>
      </c:valAx>
      <c:valAx>
        <c:axId val="1153698240"/>
        <c:scaling>
          <c:orientation val="minMax"/>
          <c:max val="1"/>
          <c:min val="0"/>
        </c:scaling>
        <c:delete val="0"/>
        <c:axPos val="r"/>
        <c:numFmt formatCode="0.00" sourceLinked="1"/>
        <c:majorTickMark val="out"/>
        <c:minorTickMark val="none"/>
        <c:tickLblPos val="nextTo"/>
        <c:crossAx val="1153699328"/>
        <c:crosses val="max"/>
        <c:crossBetween val="between"/>
      </c:valAx>
      <c:catAx>
        <c:axId val="1153699328"/>
        <c:scaling>
          <c:orientation val="minMax"/>
        </c:scaling>
        <c:delete val="1"/>
        <c:axPos val="b"/>
        <c:majorTickMark val="out"/>
        <c:minorTickMark val="none"/>
        <c:tickLblPos val="nextTo"/>
        <c:crossAx val="1153698240"/>
        <c:crosses val="autoZero"/>
        <c:auto val="1"/>
        <c:lblAlgn val="ctr"/>
        <c:lblOffset val="100"/>
        <c:noMultiLvlLbl val="0"/>
      </c:catAx>
    </c:plotArea>
    <c:legend>
      <c:legendPos val="t"/>
      <c:layout>
        <c:manualLayout>
          <c:xMode val="edge"/>
          <c:yMode val="edge"/>
          <c:x val="0"/>
          <c:y val="3.2784585909598013E-2"/>
          <c:w val="0.96693987235222556"/>
          <c:h val="9.6527802576558672E-2"/>
        </c:manualLayout>
      </c:layout>
      <c:overlay val="0"/>
    </c:legend>
    <c:plotVisOnly val="1"/>
    <c:dispBlanksAs val="gap"/>
    <c:showDLblsOverMax val="0"/>
  </c:chart>
  <c:spPr>
    <a:ln>
      <a:solidFill>
        <a:schemeClr val="bg1">
          <a:lumMod val="65000"/>
        </a:schemeClr>
      </a:solidFill>
    </a:ln>
  </c:sp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342729411293038"/>
          <c:y val="0.17668826634507365"/>
          <c:w val="0.72347018495597759"/>
          <c:h val="0.70706671319037484"/>
        </c:manualLayout>
      </c:layout>
      <c:stockChart>
        <c:ser>
          <c:idx val="0"/>
          <c:order val="0"/>
          <c:tx>
            <c:strRef>
              <c:f>Gráficos!$E$305</c:f>
              <c:strCache>
                <c:ptCount val="1"/>
                <c:pt idx="0">
                  <c:v>1° Cuartil</c:v>
                </c:pt>
              </c:strCache>
            </c:strRef>
          </c:tx>
          <c:spPr>
            <a:ln w="28575">
              <a:noFill/>
            </a:ln>
          </c:spPr>
          <c:marker>
            <c:symbol val="none"/>
          </c:marker>
          <c:cat>
            <c:strRef>
              <c:f>Gráficos!$C$309</c:f>
              <c:strCache>
                <c:ptCount val="1"/>
                <c:pt idx="0">
                  <c:v>Prod. de Carne kg/cab</c:v>
                </c:pt>
              </c:strCache>
            </c:strRef>
          </c:cat>
          <c:val>
            <c:numRef>
              <c:f>Gráficos!$E$309</c:f>
              <c:numCache>
                <c:formatCode>0</c:formatCode>
                <c:ptCount val="1"/>
                <c:pt idx="0">
                  <c:v>0</c:v>
                </c:pt>
              </c:numCache>
            </c:numRef>
          </c:val>
          <c:smooth val="0"/>
          <c:extLst xmlns:c16r2="http://schemas.microsoft.com/office/drawing/2015/06/chart">
            <c:ext xmlns:c16="http://schemas.microsoft.com/office/drawing/2014/chart" uri="{C3380CC4-5D6E-409C-BE32-E72D297353CC}">
              <c16:uniqueId val="{00000000-579C-4B83-8369-74D2F29FA24B}"/>
            </c:ext>
          </c:extLst>
        </c:ser>
        <c:ser>
          <c:idx val="1"/>
          <c:order val="1"/>
          <c:tx>
            <c:strRef>
              <c:f>Gráficos!$D$306</c:f>
              <c:strCache>
                <c:ptCount val="1"/>
                <c:pt idx="0">
                  <c:v>Máx</c:v>
                </c:pt>
              </c:strCache>
            </c:strRef>
          </c:tx>
          <c:spPr>
            <a:ln w="28575">
              <a:noFill/>
            </a:ln>
          </c:spPr>
          <c:marker>
            <c:symbol val="dash"/>
            <c:size val="5"/>
            <c:spPr>
              <a:solidFill>
                <a:schemeClr val="tx1"/>
              </a:solidFill>
              <a:ln>
                <a:solidFill>
                  <a:schemeClr val="tx1"/>
                </a:solidFill>
              </a:ln>
            </c:spPr>
          </c:marker>
          <c:cat>
            <c:strRef>
              <c:f>Gráficos!$C$309</c:f>
              <c:strCache>
                <c:ptCount val="1"/>
                <c:pt idx="0">
                  <c:v>Prod. de Carne kg/cab</c:v>
                </c:pt>
              </c:strCache>
            </c:strRef>
          </c:cat>
          <c:val>
            <c:numRef>
              <c:f>Gráficos!$D$309</c:f>
              <c:numCache>
                <c:formatCode>0</c:formatCode>
                <c:ptCount val="1"/>
                <c:pt idx="0">
                  <c:v>0</c:v>
                </c:pt>
              </c:numCache>
            </c:numRef>
          </c:val>
          <c:smooth val="0"/>
          <c:extLst xmlns:c16r2="http://schemas.microsoft.com/office/drawing/2015/06/chart">
            <c:ext xmlns:c16="http://schemas.microsoft.com/office/drawing/2014/chart" uri="{C3380CC4-5D6E-409C-BE32-E72D297353CC}">
              <c16:uniqueId val="{00000001-579C-4B83-8369-74D2F29FA24B}"/>
            </c:ext>
          </c:extLst>
        </c:ser>
        <c:ser>
          <c:idx val="2"/>
          <c:order val="2"/>
          <c:tx>
            <c:strRef>
              <c:f>Gráficos!$G$306</c:f>
              <c:strCache>
                <c:ptCount val="1"/>
                <c:pt idx="0">
                  <c:v>Mín</c:v>
                </c:pt>
              </c:strCache>
            </c:strRef>
          </c:tx>
          <c:spPr>
            <a:ln w="28575">
              <a:noFill/>
            </a:ln>
          </c:spPr>
          <c:marker>
            <c:symbol val="dash"/>
            <c:size val="5"/>
            <c:spPr>
              <a:solidFill>
                <a:schemeClr val="tx1"/>
              </a:solidFill>
              <a:ln>
                <a:solidFill>
                  <a:schemeClr val="tx1"/>
                </a:solidFill>
              </a:ln>
            </c:spPr>
          </c:marker>
          <c:cat>
            <c:strRef>
              <c:f>Gráficos!$C$309</c:f>
              <c:strCache>
                <c:ptCount val="1"/>
                <c:pt idx="0">
                  <c:v>Prod. de Carne kg/cab</c:v>
                </c:pt>
              </c:strCache>
            </c:strRef>
          </c:cat>
          <c:val>
            <c:numRef>
              <c:f>Gráficos!$G$309</c:f>
              <c:numCache>
                <c:formatCode>0</c:formatCode>
                <c:ptCount val="1"/>
                <c:pt idx="0">
                  <c:v>0</c:v>
                </c:pt>
              </c:numCache>
            </c:numRef>
          </c:val>
          <c:smooth val="0"/>
          <c:extLst xmlns:c16r2="http://schemas.microsoft.com/office/drawing/2015/06/chart">
            <c:ext xmlns:c16="http://schemas.microsoft.com/office/drawing/2014/chart" uri="{C3380CC4-5D6E-409C-BE32-E72D297353CC}">
              <c16:uniqueId val="{00000002-579C-4B83-8369-74D2F29FA24B}"/>
            </c:ext>
          </c:extLst>
        </c:ser>
        <c:ser>
          <c:idx val="3"/>
          <c:order val="3"/>
          <c:tx>
            <c:strRef>
              <c:f>Gráficos!$F$305</c:f>
              <c:strCache>
                <c:ptCount val="1"/>
                <c:pt idx="0">
                  <c:v>3°Cuartil</c:v>
                </c:pt>
              </c:strCache>
            </c:strRef>
          </c:tx>
          <c:spPr>
            <a:ln w="28575">
              <a:noFill/>
            </a:ln>
          </c:spPr>
          <c:marker>
            <c:symbol val="none"/>
          </c:marker>
          <c:cat>
            <c:strRef>
              <c:f>Gráficos!$C$309</c:f>
              <c:strCache>
                <c:ptCount val="1"/>
                <c:pt idx="0">
                  <c:v>Prod. de Carne kg/cab</c:v>
                </c:pt>
              </c:strCache>
            </c:strRef>
          </c:cat>
          <c:val>
            <c:numRef>
              <c:f>Gráficos!$F$309</c:f>
              <c:numCache>
                <c:formatCode>0</c:formatCode>
                <c:ptCount val="1"/>
                <c:pt idx="0">
                  <c:v>0</c:v>
                </c:pt>
              </c:numCache>
            </c:numRef>
          </c:val>
          <c:smooth val="0"/>
          <c:extLst xmlns:c16r2="http://schemas.microsoft.com/office/drawing/2015/06/chart">
            <c:ext xmlns:c16="http://schemas.microsoft.com/office/drawing/2014/chart" uri="{C3380CC4-5D6E-409C-BE32-E72D297353CC}">
              <c16:uniqueId val="{00000003-579C-4B83-8369-74D2F29FA24B}"/>
            </c:ext>
          </c:extLst>
        </c:ser>
        <c:dLbls>
          <c:showLegendKey val="0"/>
          <c:showVal val="0"/>
          <c:showCatName val="0"/>
          <c:showSerName val="0"/>
          <c:showPercent val="0"/>
          <c:showBubbleSize val="0"/>
        </c:dLbls>
        <c:hiLowLines/>
        <c:upDownBars>
          <c:gapWidth val="150"/>
          <c:upBars/>
          <c:downBars>
            <c:spPr>
              <a:solidFill>
                <a:schemeClr val="bg1"/>
              </a:solidFill>
            </c:spPr>
          </c:downBars>
        </c:upDownBars>
        <c:axId val="1153705312"/>
        <c:axId val="1153694976"/>
      </c:stockChart>
      <c:stockChart>
        <c:ser>
          <c:idx val="4"/>
          <c:order val="4"/>
          <c:tx>
            <c:strRef>
              <c:f>Gráficos!$H$305</c:f>
              <c:strCache>
                <c:ptCount val="1"/>
                <c:pt idx="0">
                  <c:v>Promedio</c:v>
                </c:pt>
              </c:strCache>
            </c:strRef>
          </c:tx>
          <c:spPr>
            <a:ln w="28575">
              <a:noFill/>
            </a:ln>
          </c:spPr>
          <c:marker>
            <c:symbol val="circle"/>
            <c:size val="7"/>
            <c:spPr>
              <a:solidFill>
                <a:schemeClr val="tx1"/>
              </a:solidFill>
              <a:ln>
                <a:solidFill>
                  <a:schemeClr val="tx1"/>
                </a:solidFill>
              </a:ln>
            </c:spPr>
          </c:marker>
          <c:val>
            <c:numRef>
              <c:f>Gráficos!$H$309</c:f>
              <c:numCache>
                <c:formatCode>0</c:formatCode>
                <c:ptCount val="1"/>
                <c:pt idx="0">
                  <c:v>0</c:v>
                </c:pt>
              </c:numCache>
            </c:numRef>
          </c:val>
          <c:smooth val="0"/>
          <c:extLst xmlns:c16r2="http://schemas.microsoft.com/office/drawing/2015/06/chart">
            <c:ext xmlns:c16="http://schemas.microsoft.com/office/drawing/2014/chart" uri="{C3380CC4-5D6E-409C-BE32-E72D297353CC}">
              <c16:uniqueId val="{00000004-579C-4B83-8369-74D2F29FA24B}"/>
            </c:ext>
          </c:extLst>
        </c:ser>
        <c:dLbls>
          <c:showLegendKey val="0"/>
          <c:showVal val="0"/>
          <c:showCatName val="0"/>
          <c:showSerName val="0"/>
          <c:showPercent val="0"/>
          <c:showBubbleSize val="0"/>
        </c:dLbls>
        <c:axId val="1153692256"/>
        <c:axId val="1153698784"/>
      </c:stockChart>
      <c:catAx>
        <c:axId val="1153705312"/>
        <c:scaling>
          <c:orientation val="minMax"/>
        </c:scaling>
        <c:delete val="0"/>
        <c:axPos val="b"/>
        <c:numFmt formatCode="General" sourceLinked="0"/>
        <c:majorTickMark val="out"/>
        <c:minorTickMark val="none"/>
        <c:tickLblPos val="nextTo"/>
        <c:crossAx val="1153694976"/>
        <c:crosses val="autoZero"/>
        <c:auto val="1"/>
        <c:lblAlgn val="ctr"/>
        <c:lblOffset val="100"/>
        <c:noMultiLvlLbl val="0"/>
      </c:catAx>
      <c:valAx>
        <c:axId val="1153694976"/>
        <c:scaling>
          <c:orientation val="minMax"/>
          <c:max val="350"/>
          <c:min val="0"/>
        </c:scaling>
        <c:delete val="0"/>
        <c:axPos val="l"/>
        <c:majorGridlines>
          <c:spPr>
            <a:ln>
              <a:solidFill>
                <a:schemeClr val="bg1">
                  <a:lumMod val="85000"/>
                </a:schemeClr>
              </a:solidFill>
              <a:prstDash val="sysDot"/>
            </a:ln>
          </c:spPr>
        </c:majorGridlines>
        <c:numFmt formatCode="0" sourceLinked="1"/>
        <c:majorTickMark val="out"/>
        <c:minorTickMark val="none"/>
        <c:tickLblPos val="nextTo"/>
        <c:crossAx val="1153705312"/>
        <c:crosses val="autoZero"/>
        <c:crossBetween val="between"/>
      </c:valAx>
      <c:valAx>
        <c:axId val="1153698784"/>
        <c:scaling>
          <c:orientation val="minMax"/>
          <c:max val="350"/>
          <c:min val="0"/>
        </c:scaling>
        <c:delete val="0"/>
        <c:axPos val="r"/>
        <c:numFmt formatCode="0" sourceLinked="1"/>
        <c:majorTickMark val="out"/>
        <c:minorTickMark val="none"/>
        <c:tickLblPos val="nextTo"/>
        <c:crossAx val="1153692256"/>
        <c:crosses val="max"/>
        <c:crossBetween val="between"/>
      </c:valAx>
      <c:catAx>
        <c:axId val="1153692256"/>
        <c:scaling>
          <c:orientation val="minMax"/>
        </c:scaling>
        <c:delete val="1"/>
        <c:axPos val="b"/>
        <c:majorTickMark val="out"/>
        <c:minorTickMark val="none"/>
        <c:tickLblPos val="nextTo"/>
        <c:crossAx val="1153698784"/>
        <c:crosses val="autoZero"/>
        <c:auto val="1"/>
        <c:lblAlgn val="ctr"/>
        <c:lblOffset val="100"/>
        <c:noMultiLvlLbl val="0"/>
      </c:catAx>
    </c:plotArea>
    <c:legend>
      <c:legendPos val="t"/>
      <c:layout>
        <c:manualLayout>
          <c:xMode val="edge"/>
          <c:yMode val="edge"/>
          <c:x val="1.4172815619757674E-2"/>
          <c:y val="1.6392292954799006E-2"/>
          <c:w val="0.98582718438024231"/>
          <c:h val="0.11292009553135765"/>
        </c:manualLayout>
      </c:layout>
      <c:overlay val="0"/>
    </c:legend>
    <c:plotVisOnly val="1"/>
    <c:dispBlanksAs val="gap"/>
    <c:showDLblsOverMax val="0"/>
  </c:chart>
  <c:spPr>
    <a:ln>
      <a:solidFill>
        <a:schemeClr val="bg1">
          <a:lumMod val="65000"/>
        </a:schemeClr>
      </a:solidFill>
    </a:ln>
  </c:sp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5313092676234"/>
          <c:y val="0.19308055929987267"/>
          <c:w val="0.6795946572505428"/>
          <c:h val="0.67428212728077674"/>
        </c:manualLayout>
      </c:layout>
      <c:stockChart>
        <c:ser>
          <c:idx val="0"/>
          <c:order val="0"/>
          <c:tx>
            <c:strRef>
              <c:f>Gráficos!$E$338</c:f>
              <c:strCache>
                <c:ptCount val="1"/>
                <c:pt idx="0">
                  <c:v>1° Cuartil</c:v>
                </c:pt>
              </c:strCache>
            </c:strRef>
          </c:tx>
          <c:spPr>
            <a:ln w="28575">
              <a:noFill/>
            </a:ln>
          </c:spPr>
          <c:marker>
            <c:symbol val="none"/>
          </c:marker>
          <c:cat>
            <c:strRef>
              <c:f>Gráficos!$C$340</c:f>
              <c:strCache>
                <c:ptCount val="1"/>
                <c:pt idx="0">
                  <c:v>ADPV</c:v>
                </c:pt>
              </c:strCache>
            </c:strRef>
          </c:cat>
          <c:val>
            <c:numRef>
              <c:f>Gráficos!$E$340</c:f>
              <c:numCache>
                <c:formatCode>0.00</c:formatCode>
                <c:ptCount val="1"/>
                <c:pt idx="0">
                  <c:v>0</c:v>
                </c:pt>
              </c:numCache>
            </c:numRef>
          </c:val>
          <c:smooth val="0"/>
          <c:extLst xmlns:c16r2="http://schemas.microsoft.com/office/drawing/2015/06/chart">
            <c:ext xmlns:c16="http://schemas.microsoft.com/office/drawing/2014/chart" uri="{C3380CC4-5D6E-409C-BE32-E72D297353CC}">
              <c16:uniqueId val="{00000000-579C-4B83-8369-74D2F29FA24B}"/>
            </c:ext>
          </c:extLst>
        </c:ser>
        <c:ser>
          <c:idx val="1"/>
          <c:order val="1"/>
          <c:tx>
            <c:strRef>
              <c:f>Gráficos!$D$338</c:f>
              <c:strCache>
                <c:ptCount val="1"/>
                <c:pt idx="0">
                  <c:v>Máx</c:v>
                </c:pt>
              </c:strCache>
            </c:strRef>
          </c:tx>
          <c:spPr>
            <a:ln w="28575">
              <a:noFill/>
            </a:ln>
          </c:spPr>
          <c:marker>
            <c:symbol val="dash"/>
            <c:size val="5"/>
            <c:spPr>
              <a:solidFill>
                <a:schemeClr val="tx1"/>
              </a:solidFill>
              <a:ln>
                <a:solidFill>
                  <a:schemeClr val="tx1"/>
                </a:solidFill>
              </a:ln>
            </c:spPr>
          </c:marker>
          <c:cat>
            <c:strRef>
              <c:f>Gráficos!$C$340</c:f>
              <c:strCache>
                <c:ptCount val="1"/>
                <c:pt idx="0">
                  <c:v>ADPV</c:v>
                </c:pt>
              </c:strCache>
            </c:strRef>
          </c:cat>
          <c:val>
            <c:numRef>
              <c:f>Gráficos!$D$340</c:f>
              <c:numCache>
                <c:formatCode>0.00</c:formatCode>
                <c:ptCount val="1"/>
                <c:pt idx="0">
                  <c:v>0</c:v>
                </c:pt>
              </c:numCache>
            </c:numRef>
          </c:val>
          <c:smooth val="0"/>
          <c:extLst xmlns:c16r2="http://schemas.microsoft.com/office/drawing/2015/06/chart">
            <c:ext xmlns:c16="http://schemas.microsoft.com/office/drawing/2014/chart" uri="{C3380CC4-5D6E-409C-BE32-E72D297353CC}">
              <c16:uniqueId val="{00000001-579C-4B83-8369-74D2F29FA24B}"/>
            </c:ext>
          </c:extLst>
        </c:ser>
        <c:ser>
          <c:idx val="2"/>
          <c:order val="2"/>
          <c:tx>
            <c:strRef>
              <c:f>Gráficos!$G$338</c:f>
              <c:strCache>
                <c:ptCount val="1"/>
                <c:pt idx="0">
                  <c:v>Mín</c:v>
                </c:pt>
              </c:strCache>
            </c:strRef>
          </c:tx>
          <c:spPr>
            <a:ln w="28575">
              <a:noFill/>
            </a:ln>
          </c:spPr>
          <c:marker>
            <c:symbol val="dash"/>
            <c:size val="5"/>
            <c:spPr>
              <a:solidFill>
                <a:schemeClr val="tx1"/>
              </a:solidFill>
              <a:ln>
                <a:solidFill>
                  <a:schemeClr val="tx1"/>
                </a:solidFill>
              </a:ln>
            </c:spPr>
          </c:marker>
          <c:cat>
            <c:strRef>
              <c:f>Gráficos!$C$340</c:f>
              <c:strCache>
                <c:ptCount val="1"/>
                <c:pt idx="0">
                  <c:v>ADPV</c:v>
                </c:pt>
              </c:strCache>
            </c:strRef>
          </c:cat>
          <c:val>
            <c:numRef>
              <c:f>Gráficos!$G$340</c:f>
              <c:numCache>
                <c:formatCode>0.00</c:formatCode>
                <c:ptCount val="1"/>
                <c:pt idx="0">
                  <c:v>0</c:v>
                </c:pt>
              </c:numCache>
            </c:numRef>
          </c:val>
          <c:smooth val="0"/>
          <c:extLst xmlns:c16r2="http://schemas.microsoft.com/office/drawing/2015/06/chart">
            <c:ext xmlns:c16="http://schemas.microsoft.com/office/drawing/2014/chart" uri="{C3380CC4-5D6E-409C-BE32-E72D297353CC}">
              <c16:uniqueId val="{00000002-579C-4B83-8369-74D2F29FA24B}"/>
            </c:ext>
          </c:extLst>
        </c:ser>
        <c:ser>
          <c:idx val="3"/>
          <c:order val="3"/>
          <c:tx>
            <c:strRef>
              <c:f>Gráficos!$F$338</c:f>
              <c:strCache>
                <c:ptCount val="1"/>
                <c:pt idx="0">
                  <c:v>3°Cuartil</c:v>
                </c:pt>
              </c:strCache>
            </c:strRef>
          </c:tx>
          <c:spPr>
            <a:ln w="28575">
              <a:noFill/>
            </a:ln>
          </c:spPr>
          <c:marker>
            <c:symbol val="none"/>
          </c:marker>
          <c:cat>
            <c:strRef>
              <c:f>Gráficos!$C$340</c:f>
              <c:strCache>
                <c:ptCount val="1"/>
                <c:pt idx="0">
                  <c:v>ADPV</c:v>
                </c:pt>
              </c:strCache>
            </c:strRef>
          </c:cat>
          <c:val>
            <c:numRef>
              <c:f>Gráficos!$F$340</c:f>
              <c:numCache>
                <c:formatCode>0.00</c:formatCode>
                <c:ptCount val="1"/>
                <c:pt idx="0">
                  <c:v>0</c:v>
                </c:pt>
              </c:numCache>
            </c:numRef>
          </c:val>
          <c:smooth val="0"/>
          <c:extLst xmlns:c16r2="http://schemas.microsoft.com/office/drawing/2015/06/chart">
            <c:ext xmlns:c16="http://schemas.microsoft.com/office/drawing/2014/chart" uri="{C3380CC4-5D6E-409C-BE32-E72D297353CC}">
              <c16:uniqueId val="{00000003-579C-4B83-8369-74D2F29FA24B}"/>
            </c:ext>
          </c:extLst>
        </c:ser>
        <c:dLbls>
          <c:showLegendKey val="0"/>
          <c:showVal val="0"/>
          <c:showCatName val="0"/>
          <c:showSerName val="0"/>
          <c:showPercent val="0"/>
          <c:showBubbleSize val="0"/>
        </c:dLbls>
        <c:hiLowLines/>
        <c:upDownBars>
          <c:gapWidth val="150"/>
          <c:upBars/>
          <c:downBars>
            <c:spPr>
              <a:solidFill>
                <a:schemeClr val="bg1"/>
              </a:solidFill>
            </c:spPr>
          </c:downBars>
        </c:upDownBars>
        <c:axId val="1153702048"/>
        <c:axId val="1153697152"/>
      </c:stockChart>
      <c:stockChart>
        <c:ser>
          <c:idx val="4"/>
          <c:order val="4"/>
          <c:tx>
            <c:strRef>
              <c:f>Gráficos!$H$338</c:f>
              <c:strCache>
                <c:ptCount val="1"/>
                <c:pt idx="0">
                  <c:v>Promedio</c:v>
                </c:pt>
              </c:strCache>
            </c:strRef>
          </c:tx>
          <c:spPr>
            <a:ln w="28575">
              <a:noFill/>
            </a:ln>
          </c:spPr>
          <c:marker>
            <c:symbol val="circle"/>
            <c:size val="7"/>
            <c:spPr>
              <a:solidFill>
                <a:schemeClr val="tx1"/>
              </a:solidFill>
              <a:ln>
                <a:solidFill>
                  <a:schemeClr val="tx1"/>
                </a:solidFill>
              </a:ln>
            </c:spPr>
          </c:marker>
          <c:val>
            <c:numRef>
              <c:f>Gráficos!$H$340</c:f>
              <c:numCache>
                <c:formatCode>0.00</c:formatCode>
                <c:ptCount val="1"/>
                <c:pt idx="0">
                  <c:v>0</c:v>
                </c:pt>
              </c:numCache>
            </c:numRef>
          </c:val>
          <c:smooth val="0"/>
          <c:extLst xmlns:c16r2="http://schemas.microsoft.com/office/drawing/2015/06/chart">
            <c:ext xmlns:c16="http://schemas.microsoft.com/office/drawing/2014/chart" uri="{C3380CC4-5D6E-409C-BE32-E72D297353CC}">
              <c16:uniqueId val="{00000004-579C-4B83-8369-74D2F29FA24B}"/>
            </c:ext>
          </c:extLst>
        </c:ser>
        <c:dLbls>
          <c:showLegendKey val="0"/>
          <c:showVal val="0"/>
          <c:showCatName val="0"/>
          <c:showSerName val="0"/>
          <c:showPercent val="0"/>
          <c:showBubbleSize val="0"/>
        </c:dLbls>
        <c:axId val="1153690624"/>
        <c:axId val="1153714560"/>
      </c:stockChart>
      <c:catAx>
        <c:axId val="1153702048"/>
        <c:scaling>
          <c:orientation val="minMax"/>
        </c:scaling>
        <c:delete val="0"/>
        <c:axPos val="b"/>
        <c:numFmt formatCode="General" sourceLinked="0"/>
        <c:majorTickMark val="out"/>
        <c:minorTickMark val="none"/>
        <c:tickLblPos val="nextTo"/>
        <c:crossAx val="1153697152"/>
        <c:crosses val="autoZero"/>
        <c:auto val="1"/>
        <c:lblAlgn val="ctr"/>
        <c:lblOffset val="100"/>
        <c:noMultiLvlLbl val="0"/>
      </c:catAx>
      <c:valAx>
        <c:axId val="1153697152"/>
        <c:scaling>
          <c:orientation val="minMax"/>
          <c:max val="1"/>
        </c:scaling>
        <c:delete val="0"/>
        <c:axPos val="l"/>
        <c:majorGridlines>
          <c:spPr>
            <a:ln>
              <a:solidFill>
                <a:schemeClr val="bg1">
                  <a:lumMod val="85000"/>
                </a:schemeClr>
              </a:solidFill>
              <a:prstDash val="sysDot"/>
            </a:ln>
          </c:spPr>
        </c:majorGridlines>
        <c:numFmt formatCode="0.00" sourceLinked="1"/>
        <c:majorTickMark val="out"/>
        <c:minorTickMark val="none"/>
        <c:tickLblPos val="nextTo"/>
        <c:crossAx val="1153702048"/>
        <c:crosses val="autoZero"/>
        <c:crossBetween val="between"/>
      </c:valAx>
      <c:valAx>
        <c:axId val="1153714560"/>
        <c:scaling>
          <c:orientation val="minMax"/>
          <c:max val="1"/>
          <c:min val="0"/>
        </c:scaling>
        <c:delete val="0"/>
        <c:axPos val="r"/>
        <c:numFmt formatCode="0.00" sourceLinked="1"/>
        <c:majorTickMark val="out"/>
        <c:minorTickMark val="none"/>
        <c:tickLblPos val="nextTo"/>
        <c:crossAx val="1153690624"/>
        <c:crosses val="max"/>
        <c:crossBetween val="between"/>
      </c:valAx>
      <c:catAx>
        <c:axId val="1153690624"/>
        <c:scaling>
          <c:orientation val="minMax"/>
        </c:scaling>
        <c:delete val="1"/>
        <c:axPos val="b"/>
        <c:majorTickMark val="out"/>
        <c:minorTickMark val="none"/>
        <c:tickLblPos val="nextTo"/>
        <c:crossAx val="1153714560"/>
        <c:crosses val="autoZero"/>
        <c:auto val="1"/>
        <c:lblAlgn val="ctr"/>
        <c:lblOffset val="100"/>
        <c:noMultiLvlLbl val="0"/>
      </c:catAx>
    </c:plotArea>
    <c:legend>
      <c:legendPos val="t"/>
      <c:layout>
        <c:manualLayout>
          <c:xMode val="edge"/>
          <c:yMode val="edge"/>
          <c:x val="3.3030801252793889E-2"/>
          <c:y val="3.2784585909598013E-2"/>
          <c:w val="0.9669691987472061"/>
          <c:h val="9.6527802576558672E-2"/>
        </c:manualLayout>
      </c:layout>
      <c:overlay val="0"/>
    </c:legend>
    <c:plotVisOnly val="1"/>
    <c:dispBlanksAs val="gap"/>
    <c:showDLblsOverMax val="0"/>
  </c:chart>
  <c:spPr>
    <a:ln>
      <a:solidFill>
        <a:schemeClr val="bg1">
          <a:lumMod val="65000"/>
        </a:schemeClr>
      </a:solidFill>
    </a:ln>
  </c:sp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5313092676234"/>
          <c:y val="0.19308055929987267"/>
          <c:w val="0.6795946572505428"/>
          <c:h val="0.67428212728077674"/>
        </c:manualLayout>
      </c:layout>
      <c:stockChart>
        <c:ser>
          <c:idx val="0"/>
          <c:order val="0"/>
          <c:tx>
            <c:strRef>
              <c:f>Gráficos!$E$338</c:f>
              <c:strCache>
                <c:ptCount val="1"/>
                <c:pt idx="0">
                  <c:v>1° Cuartil</c:v>
                </c:pt>
              </c:strCache>
            </c:strRef>
          </c:tx>
          <c:spPr>
            <a:ln w="28575">
              <a:noFill/>
            </a:ln>
          </c:spPr>
          <c:marker>
            <c:symbol val="none"/>
          </c:marker>
          <c:cat>
            <c:strRef>
              <c:f>Gráficos!$C$341</c:f>
              <c:strCache>
                <c:ptCount val="1"/>
                <c:pt idx="0">
                  <c:v>Eficiencia de Stock</c:v>
                </c:pt>
              </c:strCache>
            </c:strRef>
          </c:cat>
          <c:val>
            <c:numRef>
              <c:f>Gráficos!$E$341</c:f>
              <c:numCache>
                <c:formatCode>0.00</c:formatCode>
                <c:ptCount val="1"/>
                <c:pt idx="0">
                  <c:v>0</c:v>
                </c:pt>
              </c:numCache>
            </c:numRef>
          </c:val>
          <c:smooth val="0"/>
          <c:extLst xmlns:c16r2="http://schemas.microsoft.com/office/drawing/2015/06/chart">
            <c:ext xmlns:c16="http://schemas.microsoft.com/office/drawing/2014/chart" uri="{C3380CC4-5D6E-409C-BE32-E72D297353CC}">
              <c16:uniqueId val="{00000000-579C-4B83-8369-74D2F29FA24B}"/>
            </c:ext>
          </c:extLst>
        </c:ser>
        <c:ser>
          <c:idx val="1"/>
          <c:order val="1"/>
          <c:tx>
            <c:strRef>
              <c:f>Gráficos!$D$338</c:f>
              <c:strCache>
                <c:ptCount val="1"/>
                <c:pt idx="0">
                  <c:v>Máx</c:v>
                </c:pt>
              </c:strCache>
            </c:strRef>
          </c:tx>
          <c:spPr>
            <a:ln w="28575">
              <a:noFill/>
            </a:ln>
          </c:spPr>
          <c:marker>
            <c:symbol val="dash"/>
            <c:size val="5"/>
            <c:spPr>
              <a:solidFill>
                <a:schemeClr val="tx1"/>
              </a:solidFill>
              <a:ln>
                <a:solidFill>
                  <a:schemeClr val="tx1"/>
                </a:solidFill>
              </a:ln>
            </c:spPr>
          </c:marker>
          <c:cat>
            <c:strRef>
              <c:f>Gráficos!$C$341</c:f>
              <c:strCache>
                <c:ptCount val="1"/>
                <c:pt idx="0">
                  <c:v>Eficiencia de Stock</c:v>
                </c:pt>
              </c:strCache>
            </c:strRef>
          </c:cat>
          <c:val>
            <c:numRef>
              <c:f>Gráficos!$D$341</c:f>
              <c:numCache>
                <c:formatCode>0.00</c:formatCode>
                <c:ptCount val="1"/>
                <c:pt idx="0">
                  <c:v>0</c:v>
                </c:pt>
              </c:numCache>
            </c:numRef>
          </c:val>
          <c:smooth val="0"/>
          <c:extLst xmlns:c16r2="http://schemas.microsoft.com/office/drawing/2015/06/chart">
            <c:ext xmlns:c16="http://schemas.microsoft.com/office/drawing/2014/chart" uri="{C3380CC4-5D6E-409C-BE32-E72D297353CC}">
              <c16:uniqueId val="{00000001-579C-4B83-8369-74D2F29FA24B}"/>
            </c:ext>
          </c:extLst>
        </c:ser>
        <c:ser>
          <c:idx val="2"/>
          <c:order val="2"/>
          <c:tx>
            <c:strRef>
              <c:f>Gráficos!$G$338</c:f>
              <c:strCache>
                <c:ptCount val="1"/>
                <c:pt idx="0">
                  <c:v>Mín</c:v>
                </c:pt>
              </c:strCache>
            </c:strRef>
          </c:tx>
          <c:spPr>
            <a:ln w="28575">
              <a:noFill/>
            </a:ln>
          </c:spPr>
          <c:marker>
            <c:symbol val="dash"/>
            <c:size val="5"/>
            <c:spPr>
              <a:solidFill>
                <a:schemeClr val="tx1"/>
              </a:solidFill>
              <a:ln>
                <a:solidFill>
                  <a:schemeClr val="tx1"/>
                </a:solidFill>
              </a:ln>
            </c:spPr>
          </c:marker>
          <c:cat>
            <c:strRef>
              <c:f>Gráficos!$C$341</c:f>
              <c:strCache>
                <c:ptCount val="1"/>
                <c:pt idx="0">
                  <c:v>Eficiencia de Stock</c:v>
                </c:pt>
              </c:strCache>
            </c:strRef>
          </c:cat>
          <c:val>
            <c:numRef>
              <c:f>Gráficos!$G$341</c:f>
              <c:numCache>
                <c:formatCode>0.00</c:formatCode>
                <c:ptCount val="1"/>
                <c:pt idx="0">
                  <c:v>0</c:v>
                </c:pt>
              </c:numCache>
            </c:numRef>
          </c:val>
          <c:smooth val="0"/>
          <c:extLst xmlns:c16r2="http://schemas.microsoft.com/office/drawing/2015/06/chart">
            <c:ext xmlns:c16="http://schemas.microsoft.com/office/drawing/2014/chart" uri="{C3380CC4-5D6E-409C-BE32-E72D297353CC}">
              <c16:uniqueId val="{00000002-579C-4B83-8369-74D2F29FA24B}"/>
            </c:ext>
          </c:extLst>
        </c:ser>
        <c:ser>
          <c:idx val="3"/>
          <c:order val="3"/>
          <c:tx>
            <c:strRef>
              <c:f>Gráficos!$F$338</c:f>
              <c:strCache>
                <c:ptCount val="1"/>
                <c:pt idx="0">
                  <c:v>3°Cuartil</c:v>
                </c:pt>
              </c:strCache>
            </c:strRef>
          </c:tx>
          <c:spPr>
            <a:ln w="28575">
              <a:noFill/>
            </a:ln>
          </c:spPr>
          <c:marker>
            <c:symbol val="none"/>
          </c:marker>
          <c:cat>
            <c:strRef>
              <c:f>Gráficos!$C$341</c:f>
              <c:strCache>
                <c:ptCount val="1"/>
                <c:pt idx="0">
                  <c:v>Eficiencia de Stock</c:v>
                </c:pt>
              </c:strCache>
            </c:strRef>
          </c:cat>
          <c:val>
            <c:numRef>
              <c:f>Gráficos!$F$341</c:f>
              <c:numCache>
                <c:formatCode>0.00</c:formatCode>
                <c:ptCount val="1"/>
                <c:pt idx="0">
                  <c:v>0</c:v>
                </c:pt>
              </c:numCache>
            </c:numRef>
          </c:val>
          <c:smooth val="0"/>
          <c:extLst xmlns:c16r2="http://schemas.microsoft.com/office/drawing/2015/06/chart">
            <c:ext xmlns:c16="http://schemas.microsoft.com/office/drawing/2014/chart" uri="{C3380CC4-5D6E-409C-BE32-E72D297353CC}">
              <c16:uniqueId val="{00000003-579C-4B83-8369-74D2F29FA24B}"/>
            </c:ext>
          </c:extLst>
        </c:ser>
        <c:dLbls>
          <c:showLegendKey val="0"/>
          <c:showVal val="0"/>
          <c:showCatName val="0"/>
          <c:showSerName val="0"/>
          <c:showPercent val="0"/>
          <c:showBubbleSize val="0"/>
        </c:dLbls>
        <c:hiLowLines/>
        <c:upDownBars>
          <c:gapWidth val="150"/>
          <c:upBars/>
          <c:downBars>
            <c:spPr>
              <a:solidFill>
                <a:schemeClr val="bg1"/>
              </a:solidFill>
            </c:spPr>
          </c:downBars>
        </c:upDownBars>
        <c:axId val="1153715104"/>
        <c:axId val="1153701504"/>
      </c:stockChart>
      <c:stockChart>
        <c:ser>
          <c:idx val="4"/>
          <c:order val="4"/>
          <c:tx>
            <c:strRef>
              <c:f>Gráficos!$H$338</c:f>
              <c:strCache>
                <c:ptCount val="1"/>
                <c:pt idx="0">
                  <c:v>Promedio</c:v>
                </c:pt>
              </c:strCache>
            </c:strRef>
          </c:tx>
          <c:spPr>
            <a:ln w="28575">
              <a:noFill/>
            </a:ln>
          </c:spPr>
          <c:marker>
            <c:symbol val="circle"/>
            <c:size val="7"/>
            <c:spPr>
              <a:solidFill>
                <a:schemeClr val="tx1"/>
              </a:solidFill>
              <a:ln>
                <a:solidFill>
                  <a:schemeClr val="tx1"/>
                </a:solidFill>
              </a:ln>
            </c:spPr>
          </c:marker>
          <c:val>
            <c:numRef>
              <c:f>Gráficos!$H$341</c:f>
              <c:numCache>
                <c:formatCode>0.00</c:formatCode>
                <c:ptCount val="1"/>
                <c:pt idx="0">
                  <c:v>0</c:v>
                </c:pt>
              </c:numCache>
            </c:numRef>
          </c:val>
          <c:smooth val="0"/>
          <c:extLst xmlns:c16r2="http://schemas.microsoft.com/office/drawing/2015/06/chart">
            <c:ext xmlns:c16="http://schemas.microsoft.com/office/drawing/2014/chart" uri="{C3380CC4-5D6E-409C-BE32-E72D297353CC}">
              <c16:uniqueId val="{00000004-579C-4B83-8369-74D2F29FA24B}"/>
            </c:ext>
          </c:extLst>
        </c:ser>
        <c:dLbls>
          <c:showLegendKey val="0"/>
          <c:showVal val="0"/>
          <c:showCatName val="0"/>
          <c:showSerName val="0"/>
          <c:showPercent val="0"/>
          <c:showBubbleSize val="0"/>
        </c:dLbls>
        <c:axId val="1153697696"/>
        <c:axId val="1153709664"/>
      </c:stockChart>
      <c:catAx>
        <c:axId val="1153715104"/>
        <c:scaling>
          <c:orientation val="minMax"/>
        </c:scaling>
        <c:delete val="0"/>
        <c:axPos val="b"/>
        <c:numFmt formatCode="General" sourceLinked="0"/>
        <c:majorTickMark val="out"/>
        <c:minorTickMark val="none"/>
        <c:tickLblPos val="nextTo"/>
        <c:crossAx val="1153701504"/>
        <c:crosses val="autoZero"/>
        <c:auto val="1"/>
        <c:lblAlgn val="ctr"/>
        <c:lblOffset val="100"/>
        <c:noMultiLvlLbl val="0"/>
      </c:catAx>
      <c:valAx>
        <c:axId val="1153701504"/>
        <c:scaling>
          <c:orientation val="minMax"/>
          <c:max val="1"/>
        </c:scaling>
        <c:delete val="0"/>
        <c:axPos val="l"/>
        <c:majorGridlines>
          <c:spPr>
            <a:ln>
              <a:solidFill>
                <a:schemeClr val="bg1">
                  <a:lumMod val="85000"/>
                </a:schemeClr>
              </a:solidFill>
              <a:prstDash val="sysDot"/>
            </a:ln>
          </c:spPr>
        </c:majorGridlines>
        <c:numFmt formatCode="0.00" sourceLinked="1"/>
        <c:majorTickMark val="out"/>
        <c:minorTickMark val="none"/>
        <c:tickLblPos val="nextTo"/>
        <c:crossAx val="1153715104"/>
        <c:crosses val="autoZero"/>
        <c:crossBetween val="between"/>
      </c:valAx>
      <c:valAx>
        <c:axId val="1153709664"/>
        <c:scaling>
          <c:orientation val="minMax"/>
          <c:max val="1"/>
          <c:min val="0"/>
        </c:scaling>
        <c:delete val="0"/>
        <c:axPos val="r"/>
        <c:numFmt formatCode="0.00" sourceLinked="1"/>
        <c:majorTickMark val="out"/>
        <c:minorTickMark val="none"/>
        <c:tickLblPos val="nextTo"/>
        <c:crossAx val="1153697696"/>
        <c:crosses val="max"/>
        <c:crossBetween val="between"/>
      </c:valAx>
      <c:catAx>
        <c:axId val="1153697696"/>
        <c:scaling>
          <c:orientation val="minMax"/>
        </c:scaling>
        <c:delete val="1"/>
        <c:axPos val="b"/>
        <c:majorTickMark val="out"/>
        <c:minorTickMark val="none"/>
        <c:tickLblPos val="nextTo"/>
        <c:crossAx val="1153709664"/>
        <c:crosses val="autoZero"/>
        <c:auto val="1"/>
        <c:lblAlgn val="ctr"/>
        <c:lblOffset val="100"/>
        <c:noMultiLvlLbl val="0"/>
      </c:catAx>
    </c:plotArea>
    <c:legend>
      <c:legendPos val="t"/>
      <c:layout>
        <c:manualLayout>
          <c:xMode val="edge"/>
          <c:yMode val="edge"/>
          <c:x val="3.3030801252793889E-2"/>
          <c:y val="3.2784585909598013E-2"/>
          <c:w val="0.9669691987472061"/>
          <c:h val="9.6527802576558672E-2"/>
        </c:manualLayout>
      </c:layout>
      <c:overlay val="0"/>
    </c:legend>
    <c:plotVisOnly val="1"/>
    <c:dispBlanksAs val="gap"/>
    <c:showDLblsOverMax val="0"/>
  </c:chart>
  <c:spPr>
    <a:ln>
      <a:solidFill>
        <a:schemeClr val="bg1">
          <a:lumMod val="65000"/>
        </a:schemeClr>
      </a:solidFill>
    </a:ln>
  </c:sp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5313092676234"/>
          <c:y val="0.19308055929987267"/>
          <c:w val="0.6795946572505428"/>
          <c:h val="0.67428212728077674"/>
        </c:manualLayout>
      </c:layout>
      <c:stockChart>
        <c:ser>
          <c:idx val="0"/>
          <c:order val="0"/>
          <c:tx>
            <c:strRef>
              <c:f>Gráficos!$E$338</c:f>
              <c:strCache>
                <c:ptCount val="1"/>
                <c:pt idx="0">
                  <c:v>1° Cuartil</c:v>
                </c:pt>
              </c:strCache>
            </c:strRef>
          </c:tx>
          <c:spPr>
            <a:ln w="28575">
              <a:noFill/>
            </a:ln>
          </c:spPr>
          <c:marker>
            <c:symbol val="none"/>
          </c:marker>
          <c:cat>
            <c:strRef>
              <c:f>Gráficos!$C$342</c:f>
              <c:strCache>
                <c:ptCount val="1"/>
                <c:pt idx="0">
                  <c:v>Prod. de Carne kg/cab</c:v>
                </c:pt>
              </c:strCache>
            </c:strRef>
          </c:cat>
          <c:val>
            <c:numRef>
              <c:f>Gráficos!$E$342</c:f>
              <c:numCache>
                <c:formatCode>0</c:formatCode>
                <c:ptCount val="1"/>
                <c:pt idx="0">
                  <c:v>0</c:v>
                </c:pt>
              </c:numCache>
            </c:numRef>
          </c:val>
          <c:smooth val="0"/>
          <c:extLst xmlns:c16r2="http://schemas.microsoft.com/office/drawing/2015/06/chart">
            <c:ext xmlns:c16="http://schemas.microsoft.com/office/drawing/2014/chart" uri="{C3380CC4-5D6E-409C-BE32-E72D297353CC}">
              <c16:uniqueId val="{00000000-579C-4B83-8369-74D2F29FA24B}"/>
            </c:ext>
          </c:extLst>
        </c:ser>
        <c:ser>
          <c:idx val="1"/>
          <c:order val="1"/>
          <c:tx>
            <c:strRef>
              <c:f>Gráficos!$D$338</c:f>
              <c:strCache>
                <c:ptCount val="1"/>
                <c:pt idx="0">
                  <c:v>Máx</c:v>
                </c:pt>
              </c:strCache>
            </c:strRef>
          </c:tx>
          <c:spPr>
            <a:ln w="28575">
              <a:noFill/>
            </a:ln>
          </c:spPr>
          <c:marker>
            <c:symbol val="dash"/>
            <c:size val="5"/>
            <c:spPr>
              <a:solidFill>
                <a:schemeClr val="tx1"/>
              </a:solidFill>
              <a:ln>
                <a:solidFill>
                  <a:schemeClr val="tx1"/>
                </a:solidFill>
              </a:ln>
            </c:spPr>
          </c:marker>
          <c:cat>
            <c:strRef>
              <c:f>Gráficos!$C$342</c:f>
              <c:strCache>
                <c:ptCount val="1"/>
                <c:pt idx="0">
                  <c:v>Prod. de Carne kg/cab</c:v>
                </c:pt>
              </c:strCache>
            </c:strRef>
          </c:cat>
          <c:val>
            <c:numRef>
              <c:f>Gráficos!$D$342</c:f>
              <c:numCache>
                <c:formatCode>0</c:formatCode>
                <c:ptCount val="1"/>
                <c:pt idx="0">
                  <c:v>0</c:v>
                </c:pt>
              </c:numCache>
            </c:numRef>
          </c:val>
          <c:smooth val="0"/>
          <c:extLst xmlns:c16r2="http://schemas.microsoft.com/office/drawing/2015/06/chart">
            <c:ext xmlns:c16="http://schemas.microsoft.com/office/drawing/2014/chart" uri="{C3380CC4-5D6E-409C-BE32-E72D297353CC}">
              <c16:uniqueId val="{00000001-579C-4B83-8369-74D2F29FA24B}"/>
            </c:ext>
          </c:extLst>
        </c:ser>
        <c:ser>
          <c:idx val="2"/>
          <c:order val="2"/>
          <c:tx>
            <c:strRef>
              <c:f>Gráficos!$G$338</c:f>
              <c:strCache>
                <c:ptCount val="1"/>
                <c:pt idx="0">
                  <c:v>Mín</c:v>
                </c:pt>
              </c:strCache>
            </c:strRef>
          </c:tx>
          <c:spPr>
            <a:ln w="28575">
              <a:noFill/>
            </a:ln>
          </c:spPr>
          <c:marker>
            <c:symbol val="dash"/>
            <c:size val="5"/>
            <c:spPr>
              <a:solidFill>
                <a:schemeClr val="tx1"/>
              </a:solidFill>
              <a:ln>
                <a:solidFill>
                  <a:schemeClr val="tx1"/>
                </a:solidFill>
              </a:ln>
            </c:spPr>
          </c:marker>
          <c:cat>
            <c:strRef>
              <c:f>Gráficos!$C$342</c:f>
              <c:strCache>
                <c:ptCount val="1"/>
                <c:pt idx="0">
                  <c:v>Prod. de Carne kg/cab</c:v>
                </c:pt>
              </c:strCache>
            </c:strRef>
          </c:cat>
          <c:val>
            <c:numRef>
              <c:f>Gráficos!$G$342</c:f>
              <c:numCache>
                <c:formatCode>0</c:formatCode>
                <c:ptCount val="1"/>
                <c:pt idx="0">
                  <c:v>0</c:v>
                </c:pt>
              </c:numCache>
            </c:numRef>
          </c:val>
          <c:smooth val="0"/>
          <c:extLst xmlns:c16r2="http://schemas.microsoft.com/office/drawing/2015/06/chart">
            <c:ext xmlns:c16="http://schemas.microsoft.com/office/drawing/2014/chart" uri="{C3380CC4-5D6E-409C-BE32-E72D297353CC}">
              <c16:uniqueId val="{00000002-579C-4B83-8369-74D2F29FA24B}"/>
            </c:ext>
          </c:extLst>
        </c:ser>
        <c:ser>
          <c:idx val="3"/>
          <c:order val="3"/>
          <c:tx>
            <c:strRef>
              <c:f>Gráficos!$F$338</c:f>
              <c:strCache>
                <c:ptCount val="1"/>
                <c:pt idx="0">
                  <c:v>3°Cuartil</c:v>
                </c:pt>
              </c:strCache>
            </c:strRef>
          </c:tx>
          <c:spPr>
            <a:ln w="28575">
              <a:noFill/>
            </a:ln>
          </c:spPr>
          <c:marker>
            <c:symbol val="none"/>
          </c:marker>
          <c:cat>
            <c:strRef>
              <c:f>Gráficos!$C$342</c:f>
              <c:strCache>
                <c:ptCount val="1"/>
                <c:pt idx="0">
                  <c:v>Prod. de Carne kg/cab</c:v>
                </c:pt>
              </c:strCache>
            </c:strRef>
          </c:cat>
          <c:val>
            <c:numRef>
              <c:f>Gráficos!$F$342</c:f>
              <c:numCache>
                <c:formatCode>0</c:formatCode>
                <c:ptCount val="1"/>
                <c:pt idx="0">
                  <c:v>0</c:v>
                </c:pt>
              </c:numCache>
            </c:numRef>
          </c:val>
          <c:smooth val="0"/>
          <c:extLst xmlns:c16r2="http://schemas.microsoft.com/office/drawing/2015/06/chart">
            <c:ext xmlns:c16="http://schemas.microsoft.com/office/drawing/2014/chart" uri="{C3380CC4-5D6E-409C-BE32-E72D297353CC}">
              <c16:uniqueId val="{00000003-579C-4B83-8369-74D2F29FA24B}"/>
            </c:ext>
          </c:extLst>
        </c:ser>
        <c:dLbls>
          <c:showLegendKey val="0"/>
          <c:showVal val="0"/>
          <c:showCatName val="0"/>
          <c:showSerName val="0"/>
          <c:showPercent val="0"/>
          <c:showBubbleSize val="0"/>
        </c:dLbls>
        <c:hiLowLines/>
        <c:upDownBars>
          <c:gapWidth val="150"/>
          <c:upBars/>
          <c:downBars>
            <c:spPr>
              <a:solidFill>
                <a:schemeClr val="bg1"/>
              </a:solidFill>
            </c:spPr>
          </c:downBars>
        </c:upDownBars>
        <c:axId val="1153713472"/>
        <c:axId val="1153715648"/>
      </c:stockChart>
      <c:stockChart>
        <c:ser>
          <c:idx val="4"/>
          <c:order val="4"/>
          <c:tx>
            <c:strRef>
              <c:f>Gráficos!$H$338</c:f>
              <c:strCache>
                <c:ptCount val="1"/>
                <c:pt idx="0">
                  <c:v>Promedio</c:v>
                </c:pt>
              </c:strCache>
            </c:strRef>
          </c:tx>
          <c:spPr>
            <a:ln w="28575">
              <a:noFill/>
            </a:ln>
          </c:spPr>
          <c:marker>
            <c:symbol val="circle"/>
            <c:size val="7"/>
            <c:spPr>
              <a:solidFill>
                <a:schemeClr val="tx1"/>
              </a:solidFill>
              <a:ln>
                <a:solidFill>
                  <a:schemeClr val="tx1"/>
                </a:solidFill>
              </a:ln>
            </c:spPr>
          </c:marker>
          <c:val>
            <c:numRef>
              <c:f>Gráficos!$H$342</c:f>
              <c:numCache>
                <c:formatCode>0</c:formatCode>
                <c:ptCount val="1"/>
                <c:pt idx="0">
                  <c:v>0</c:v>
                </c:pt>
              </c:numCache>
            </c:numRef>
          </c:val>
          <c:smooth val="0"/>
          <c:extLst xmlns:c16r2="http://schemas.microsoft.com/office/drawing/2015/06/chart">
            <c:ext xmlns:c16="http://schemas.microsoft.com/office/drawing/2014/chart" uri="{C3380CC4-5D6E-409C-BE32-E72D297353CC}">
              <c16:uniqueId val="{00000004-579C-4B83-8369-74D2F29FA24B}"/>
            </c:ext>
          </c:extLst>
        </c:ser>
        <c:dLbls>
          <c:showLegendKey val="0"/>
          <c:showVal val="0"/>
          <c:showCatName val="0"/>
          <c:showSerName val="0"/>
          <c:showPercent val="0"/>
          <c:showBubbleSize val="0"/>
        </c:dLbls>
        <c:axId val="1153705856"/>
        <c:axId val="1153686272"/>
      </c:stockChart>
      <c:catAx>
        <c:axId val="1153713472"/>
        <c:scaling>
          <c:orientation val="minMax"/>
        </c:scaling>
        <c:delete val="0"/>
        <c:axPos val="b"/>
        <c:numFmt formatCode="General" sourceLinked="0"/>
        <c:majorTickMark val="out"/>
        <c:minorTickMark val="none"/>
        <c:tickLblPos val="nextTo"/>
        <c:crossAx val="1153715648"/>
        <c:crosses val="autoZero"/>
        <c:auto val="1"/>
        <c:lblAlgn val="ctr"/>
        <c:lblOffset val="100"/>
        <c:noMultiLvlLbl val="0"/>
      </c:catAx>
      <c:valAx>
        <c:axId val="1153715648"/>
        <c:scaling>
          <c:orientation val="minMax"/>
          <c:max val="500"/>
          <c:min val="0"/>
        </c:scaling>
        <c:delete val="0"/>
        <c:axPos val="l"/>
        <c:majorGridlines>
          <c:spPr>
            <a:ln>
              <a:solidFill>
                <a:schemeClr val="bg1">
                  <a:lumMod val="85000"/>
                </a:schemeClr>
              </a:solidFill>
              <a:prstDash val="sysDot"/>
            </a:ln>
          </c:spPr>
        </c:majorGridlines>
        <c:numFmt formatCode="0" sourceLinked="1"/>
        <c:majorTickMark val="out"/>
        <c:minorTickMark val="none"/>
        <c:tickLblPos val="nextTo"/>
        <c:crossAx val="1153713472"/>
        <c:crosses val="autoZero"/>
        <c:crossBetween val="between"/>
      </c:valAx>
      <c:valAx>
        <c:axId val="1153686272"/>
        <c:scaling>
          <c:orientation val="minMax"/>
          <c:max val="500"/>
          <c:min val="0"/>
        </c:scaling>
        <c:delete val="0"/>
        <c:axPos val="r"/>
        <c:numFmt formatCode="0" sourceLinked="1"/>
        <c:majorTickMark val="out"/>
        <c:minorTickMark val="none"/>
        <c:tickLblPos val="nextTo"/>
        <c:crossAx val="1153705856"/>
        <c:crosses val="max"/>
        <c:crossBetween val="between"/>
      </c:valAx>
      <c:catAx>
        <c:axId val="1153705856"/>
        <c:scaling>
          <c:orientation val="minMax"/>
        </c:scaling>
        <c:delete val="1"/>
        <c:axPos val="b"/>
        <c:majorTickMark val="out"/>
        <c:minorTickMark val="none"/>
        <c:tickLblPos val="nextTo"/>
        <c:crossAx val="1153686272"/>
        <c:crosses val="autoZero"/>
        <c:auto val="1"/>
        <c:lblAlgn val="ctr"/>
        <c:lblOffset val="100"/>
        <c:noMultiLvlLbl val="0"/>
      </c:catAx>
    </c:plotArea>
    <c:legend>
      <c:legendPos val="t"/>
      <c:layout>
        <c:manualLayout>
          <c:xMode val="edge"/>
          <c:yMode val="edge"/>
          <c:x val="3.3030801252793889E-2"/>
          <c:y val="3.2784585909598013E-2"/>
          <c:w val="0.9669691987472061"/>
          <c:h val="9.6527802576558672E-2"/>
        </c:manualLayout>
      </c:layout>
      <c:overlay val="0"/>
    </c:legend>
    <c:plotVisOnly val="1"/>
    <c:dispBlanksAs val="gap"/>
    <c:showDLblsOverMax val="0"/>
  </c:chart>
  <c:spPr>
    <a:ln>
      <a:solidFill>
        <a:schemeClr val="bg1">
          <a:lumMod val="65000"/>
        </a:schemeClr>
      </a:solidFill>
    </a:ln>
  </c:sp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5313092676234"/>
          <c:y val="0.19308055929987267"/>
          <c:w val="0.6795946572505428"/>
          <c:h val="0.67428212728077674"/>
        </c:manualLayout>
      </c:layout>
      <c:stockChart>
        <c:ser>
          <c:idx val="0"/>
          <c:order val="0"/>
          <c:tx>
            <c:strRef>
              <c:f>Gráficos!$E$371</c:f>
              <c:strCache>
                <c:ptCount val="1"/>
                <c:pt idx="0">
                  <c:v>1° Cuartil</c:v>
                </c:pt>
              </c:strCache>
            </c:strRef>
          </c:tx>
          <c:spPr>
            <a:ln w="28575">
              <a:noFill/>
            </a:ln>
          </c:spPr>
          <c:marker>
            <c:symbol val="none"/>
          </c:marker>
          <c:cat>
            <c:strRef>
              <c:f>Gráficos!$C$340</c:f>
              <c:strCache>
                <c:ptCount val="1"/>
                <c:pt idx="0">
                  <c:v>ADPV</c:v>
                </c:pt>
              </c:strCache>
            </c:strRef>
          </c:cat>
          <c:val>
            <c:numRef>
              <c:f>Gráficos!$E$373</c:f>
              <c:numCache>
                <c:formatCode>0.00</c:formatCode>
                <c:ptCount val="1"/>
                <c:pt idx="0">
                  <c:v>0</c:v>
                </c:pt>
              </c:numCache>
            </c:numRef>
          </c:val>
          <c:smooth val="0"/>
          <c:extLst xmlns:c16r2="http://schemas.microsoft.com/office/drawing/2015/06/chart">
            <c:ext xmlns:c16="http://schemas.microsoft.com/office/drawing/2014/chart" uri="{C3380CC4-5D6E-409C-BE32-E72D297353CC}">
              <c16:uniqueId val="{00000000-579C-4B83-8369-74D2F29FA24B}"/>
            </c:ext>
          </c:extLst>
        </c:ser>
        <c:ser>
          <c:idx val="1"/>
          <c:order val="1"/>
          <c:tx>
            <c:strRef>
              <c:f>Gráficos!$D$371</c:f>
              <c:strCache>
                <c:ptCount val="1"/>
                <c:pt idx="0">
                  <c:v>Máx</c:v>
                </c:pt>
              </c:strCache>
            </c:strRef>
          </c:tx>
          <c:spPr>
            <a:ln w="28575">
              <a:noFill/>
            </a:ln>
          </c:spPr>
          <c:marker>
            <c:symbol val="dash"/>
            <c:size val="5"/>
            <c:spPr>
              <a:solidFill>
                <a:schemeClr val="tx1"/>
              </a:solidFill>
              <a:ln>
                <a:solidFill>
                  <a:schemeClr val="tx1"/>
                </a:solidFill>
              </a:ln>
            </c:spPr>
          </c:marker>
          <c:cat>
            <c:strRef>
              <c:f>Gráficos!$C$340</c:f>
              <c:strCache>
                <c:ptCount val="1"/>
                <c:pt idx="0">
                  <c:v>ADPV</c:v>
                </c:pt>
              </c:strCache>
            </c:strRef>
          </c:cat>
          <c:val>
            <c:numRef>
              <c:f>Gráficos!$D$373</c:f>
              <c:numCache>
                <c:formatCode>0.00</c:formatCode>
                <c:ptCount val="1"/>
                <c:pt idx="0">
                  <c:v>0</c:v>
                </c:pt>
              </c:numCache>
            </c:numRef>
          </c:val>
          <c:smooth val="0"/>
          <c:extLst xmlns:c16r2="http://schemas.microsoft.com/office/drawing/2015/06/chart">
            <c:ext xmlns:c16="http://schemas.microsoft.com/office/drawing/2014/chart" uri="{C3380CC4-5D6E-409C-BE32-E72D297353CC}">
              <c16:uniqueId val="{00000001-579C-4B83-8369-74D2F29FA24B}"/>
            </c:ext>
          </c:extLst>
        </c:ser>
        <c:ser>
          <c:idx val="2"/>
          <c:order val="2"/>
          <c:tx>
            <c:strRef>
              <c:f>Gráficos!$G$371</c:f>
              <c:strCache>
                <c:ptCount val="1"/>
                <c:pt idx="0">
                  <c:v>Mín</c:v>
                </c:pt>
              </c:strCache>
            </c:strRef>
          </c:tx>
          <c:spPr>
            <a:ln w="28575">
              <a:noFill/>
            </a:ln>
          </c:spPr>
          <c:marker>
            <c:symbol val="dash"/>
            <c:size val="5"/>
            <c:spPr>
              <a:solidFill>
                <a:schemeClr val="tx1"/>
              </a:solidFill>
              <a:ln>
                <a:solidFill>
                  <a:schemeClr val="tx1"/>
                </a:solidFill>
              </a:ln>
            </c:spPr>
          </c:marker>
          <c:cat>
            <c:strRef>
              <c:f>Gráficos!$C$340</c:f>
              <c:strCache>
                <c:ptCount val="1"/>
                <c:pt idx="0">
                  <c:v>ADPV</c:v>
                </c:pt>
              </c:strCache>
            </c:strRef>
          </c:cat>
          <c:val>
            <c:numRef>
              <c:f>Gráficos!$G$373</c:f>
              <c:numCache>
                <c:formatCode>0.00</c:formatCode>
                <c:ptCount val="1"/>
                <c:pt idx="0">
                  <c:v>0</c:v>
                </c:pt>
              </c:numCache>
            </c:numRef>
          </c:val>
          <c:smooth val="0"/>
          <c:extLst xmlns:c16r2="http://schemas.microsoft.com/office/drawing/2015/06/chart">
            <c:ext xmlns:c16="http://schemas.microsoft.com/office/drawing/2014/chart" uri="{C3380CC4-5D6E-409C-BE32-E72D297353CC}">
              <c16:uniqueId val="{00000002-579C-4B83-8369-74D2F29FA24B}"/>
            </c:ext>
          </c:extLst>
        </c:ser>
        <c:ser>
          <c:idx val="3"/>
          <c:order val="3"/>
          <c:tx>
            <c:strRef>
              <c:f>Gráficos!$F$371</c:f>
              <c:strCache>
                <c:ptCount val="1"/>
                <c:pt idx="0">
                  <c:v>3°Cuartil</c:v>
                </c:pt>
              </c:strCache>
            </c:strRef>
          </c:tx>
          <c:spPr>
            <a:ln w="28575">
              <a:noFill/>
            </a:ln>
          </c:spPr>
          <c:marker>
            <c:symbol val="none"/>
          </c:marker>
          <c:cat>
            <c:strRef>
              <c:f>Gráficos!$C$340</c:f>
              <c:strCache>
                <c:ptCount val="1"/>
                <c:pt idx="0">
                  <c:v>ADPV</c:v>
                </c:pt>
              </c:strCache>
            </c:strRef>
          </c:cat>
          <c:val>
            <c:numRef>
              <c:f>Gráficos!$F$373</c:f>
              <c:numCache>
                <c:formatCode>0.00</c:formatCode>
                <c:ptCount val="1"/>
                <c:pt idx="0">
                  <c:v>0</c:v>
                </c:pt>
              </c:numCache>
            </c:numRef>
          </c:val>
          <c:smooth val="0"/>
          <c:extLst xmlns:c16r2="http://schemas.microsoft.com/office/drawing/2015/06/chart">
            <c:ext xmlns:c16="http://schemas.microsoft.com/office/drawing/2014/chart" uri="{C3380CC4-5D6E-409C-BE32-E72D297353CC}">
              <c16:uniqueId val="{00000003-579C-4B83-8369-74D2F29FA24B}"/>
            </c:ext>
          </c:extLst>
        </c:ser>
        <c:dLbls>
          <c:showLegendKey val="0"/>
          <c:showVal val="0"/>
          <c:showCatName val="0"/>
          <c:showSerName val="0"/>
          <c:showPercent val="0"/>
          <c:showBubbleSize val="0"/>
        </c:dLbls>
        <c:hiLowLines/>
        <c:upDownBars>
          <c:gapWidth val="150"/>
          <c:upBars/>
          <c:downBars>
            <c:spPr>
              <a:solidFill>
                <a:schemeClr val="bg1"/>
              </a:solidFill>
            </c:spPr>
          </c:downBars>
        </c:upDownBars>
        <c:axId val="1153691712"/>
        <c:axId val="1153696064"/>
      </c:stockChart>
      <c:stockChart>
        <c:ser>
          <c:idx val="4"/>
          <c:order val="4"/>
          <c:tx>
            <c:strRef>
              <c:f>Gráficos!$H$371</c:f>
              <c:strCache>
                <c:ptCount val="1"/>
                <c:pt idx="0">
                  <c:v>Promedio</c:v>
                </c:pt>
              </c:strCache>
            </c:strRef>
          </c:tx>
          <c:spPr>
            <a:ln w="28575">
              <a:noFill/>
            </a:ln>
          </c:spPr>
          <c:marker>
            <c:symbol val="circle"/>
            <c:size val="7"/>
            <c:spPr>
              <a:solidFill>
                <a:schemeClr val="tx1"/>
              </a:solidFill>
              <a:ln>
                <a:solidFill>
                  <a:schemeClr val="tx1"/>
                </a:solidFill>
              </a:ln>
            </c:spPr>
          </c:marker>
          <c:val>
            <c:numRef>
              <c:f>Gráficos!$H$373</c:f>
              <c:numCache>
                <c:formatCode>0.00</c:formatCode>
                <c:ptCount val="1"/>
                <c:pt idx="0">
                  <c:v>0</c:v>
                </c:pt>
              </c:numCache>
            </c:numRef>
          </c:val>
          <c:smooth val="0"/>
          <c:extLst xmlns:c16r2="http://schemas.microsoft.com/office/drawing/2015/06/chart">
            <c:ext xmlns:c16="http://schemas.microsoft.com/office/drawing/2014/chart" uri="{C3380CC4-5D6E-409C-BE32-E72D297353CC}">
              <c16:uniqueId val="{00000004-579C-4B83-8369-74D2F29FA24B}"/>
            </c:ext>
          </c:extLst>
        </c:ser>
        <c:dLbls>
          <c:showLegendKey val="0"/>
          <c:showVal val="0"/>
          <c:showCatName val="0"/>
          <c:showSerName val="0"/>
          <c:showPercent val="0"/>
          <c:showBubbleSize val="0"/>
        </c:dLbls>
        <c:axId val="1153706944"/>
        <c:axId val="1153687360"/>
      </c:stockChart>
      <c:catAx>
        <c:axId val="1153691712"/>
        <c:scaling>
          <c:orientation val="minMax"/>
        </c:scaling>
        <c:delete val="0"/>
        <c:axPos val="b"/>
        <c:numFmt formatCode="General" sourceLinked="0"/>
        <c:majorTickMark val="out"/>
        <c:minorTickMark val="none"/>
        <c:tickLblPos val="nextTo"/>
        <c:crossAx val="1153696064"/>
        <c:crosses val="autoZero"/>
        <c:auto val="1"/>
        <c:lblAlgn val="ctr"/>
        <c:lblOffset val="100"/>
        <c:noMultiLvlLbl val="0"/>
      </c:catAx>
      <c:valAx>
        <c:axId val="1153696064"/>
        <c:scaling>
          <c:orientation val="minMax"/>
          <c:max val="1"/>
        </c:scaling>
        <c:delete val="0"/>
        <c:axPos val="l"/>
        <c:majorGridlines>
          <c:spPr>
            <a:ln>
              <a:solidFill>
                <a:schemeClr val="bg1">
                  <a:lumMod val="85000"/>
                </a:schemeClr>
              </a:solidFill>
              <a:prstDash val="sysDot"/>
            </a:ln>
          </c:spPr>
        </c:majorGridlines>
        <c:numFmt formatCode="0.00" sourceLinked="1"/>
        <c:majorTickMark val="out"/>
        <c:minorTickMark val="none"/>
        <c:tickLblPos val="nextTo"/>
        <c:crossAx val="1153691712"/>
        <c:crosses val="autoZero"/>
        <c:crossBetween val="between"/>
      </c:valAx>
      <c:valAx>
        <c:axId val="1153687360"/>
        <c:scaling>
          <c:orientation val="minMax"/>
          <c:max val="1"/>
          <c:min val="0"/>
        </c:scaling>
        <c:delete val="0"/>
        <c:axPos val="r"/>
        <c:numFmt formatCode="0.00" sourceLinked="1"/>
        <c:majorTickMark val="out"/>
        <c:minorTickMark val="none"/>
        <c:tickLblPos val="nextTo"/>
        <c:crossAx val="1153706944"/>
        <c:crosses val="max"/>
        <c:crossBetween val="between"/>
      </c:valAx>
      <c:catAx>
        <c:axId val="1153706944"/>
        <c:scaling>
          <c:orientation val="minMax"/>
        </c:scaling>
        <c:delete val="1"/>
        <c:axPos val="b"/>
        <c:majorTickMark val="out"/>
        <c:minorTickMark val="none"/>
        <c:tickLblPos val="nextTo"/>
        <c:crossAx val="1153687360"/>
        <c:crosses val="autoZero"/>
        <c:auto val="1"/>
        <c:lblAlgn val="ctr"/>
        <c:lblOffset val="100"/>
        <c:noMultiLvlLbl val="0"/>
      </c:catAx>
    </c:plotArea>
    <c:legend>
      <c:legendPos val="t"/>
      <c:layout>
        <c:manualLayout>
          <c:xMode val="edge"/>
          <c:yMode val="edge"/>
          <c:x val="3.3030801252793889E-2"/>
          <c:y val="3.2784585909598013E-2"/>
          <c:w val="0.9669691987472061"/>
          <c:h val="9.6527802576558672E-2"/>
        </c:manualLayout>
      </c:layout>
      <c:overlay val="0"/>
    </c:legend>
    <c:plotVisOnly val="1"/>
    <c:dispBlanksAs val="gap"/>
    <c:showDLblsOverMax val="0"/>
  </c:chart>
  <c:spPr>
    <a:ln>
      <a:solidFill>
        <a:schemeClr val="bg1">
          <a:lumMod val="65000"/>
        </a:schemeClr>
      </a:solidFill>
    </a:ln>
  </c:sp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5313092676234"/>
          <c:y val="0.19308055929987267"/>
          <c:w val="0.6795946572505428"/>
          <c:h val="0.67428212728077674"/>
        </c:manualLayout>
      </c:layout>
      <c:stockChart>
        <c:ser>
          <c:idx val="0"/>
          <c:order val="0"/>
          <c:tx>
            <c:strRef>
              <c:f>Gráficos!$E$371</c:f>
              <c:strCache>
                <c:ptCount val="1"/>
                <c:pt idx="0">
                  <c:v>1° Cuartil</c:v>
                </c:pt>
              </c:strCache>
            </c:strRef>
          </c:tx>
          <c:spPr>
            <a:ln w="28575">
              <a:noFill/>
            </a:ln>
          </c:spPr>
          <c:marker>
            <c:symbol val="none"/>
          </c:marker>
          <c:cat>
            <c:strRef>
              <c:f>Gráficos!$C$374</c:f>
              <c:strCache>
                <c:ptCount val="1"/>
                <c:pt idx="0">
                  <c:v>Eficiencia de Stock</c:v>
                </c:pt>
              </c:strCache>
            </c:strRef>
          </c:cat>
          <c:val>
            <c:numRef>
              <c:f>Gráficos!$E$374</c:f>
              <c:numCache>
                <c:formatCode>0.00</c:formatCode>
                <c:ptCount val="1"/>
                <c:pt idx="0">
                  <c:v>0</c:v>
                </c:pt>
              </c:numCache>
            </c:numRef>
          </c:val>
          <c:smooth val="0"/>
          <c:extLst xmlns:c16r2="http://schemas.microsoft.com/office/drawing/2015/06/chart">
            <c:ext xmlns:c16="http://schemas.microsoft.com/office/drawing/2014/chart" uri="{C3380CC4-5D6E-409C-BE32-E72D297353CC}">
              <c16:uniqueId val="{00000000-579C-4B83-8369-74D2F29FA24B}"/>
            </c:ext>
          </c:extLst>
        </c:ser>
        <c:ser>
          <c:idx val="1"/>
          <c:order val="1"/>
          <c:tx>
            <c:strRef>
              <c:f>Gráficos!$D$371</c:f>
              <c:strCache>
                <c:ptCount val="1"/>
                <c:pt idx="0">
                  <c:v>Máx</c:v>
                </c:pt>
              </c:strCache>
            </c:strRef>
          </c:tx>
          <c:spPr>
            <a:ln w="28575">
              <a:noFill/>
            </a:ln>
          </c:spPr>
          <c:marker>
            <c:symbol val="dash"/>
            <c:size val="5"/>
            <c:spPr>
              <a:solidFill>
                <a:schemeClr val="tx1"/>
              </a:solidFill>
              <a:ln>
                <a:solidFill>
                  <a:schemeClr val="tx1"/>
                </a:solidFill>
              </a:ln>
            </c:spPr>
          </c:marker>
          <c:cat>
            <c:strRef>
              <c:f>Gráficos!$C$374</c:f>
              <c:strCache>
                <c:ptCount val="1"/>
                <c:pt idx="0">
                  <c:v>Eficiencia de Stock</c:v>
                </c:pt>
              </c:strCache>
            </c:strRef>
          </c:cat>
          <c:val>
            <c:numRef>
              <c:f>Gráficos!$D$374</c:f>
              <c:numCache>
                <c:formatCode>0.00</c:formatCode>
                <c:ptCount val="1"/>
                <c:pt idx="0">
                  <c:v>0</c:v>
                </c:pt>
              </c:numCache>
            </c:numRef>
          </c:val>
          <c:smooth val="0"/>
          <c:extLst xmlns:c16r2="http://schemas.microsoft.com/office/drawing/2015/06/chart">
            <c:ext xmlns:c16="http://schemas.microsoft.com/office/drawing/2014/chart" uri="{C3380CC4-5D6E-409C-BE32-E72D297353CC}">
              <c16:uniqueId val="{00000001-579C-4B83-8369-74D2F29FA24B}"/>
            </c:ext>
          </c:extLst>
        </c:ser>
        <c:ser>
          <c:idx val="2"/>
          <c:order val="2"/>
          <c:tx>
            <c:strRef>
              <c:f>Gráficos!$G$371</c:f>
              <c:strCache>
                <c:ptCount val="1"/>
                <c:pt idx="0">
                  <c:v>Mín</c:v>
                </c:pt>
              </c:strCache>
            </c:strRef>
          </c:tx>
          <c:spPr>
            <a:ln w="28575">
              <a:noFill/>
            </a:ln>
          </c:spPr>
          <c:marker>
            <c:symbol val="dash"/>
            <c:size val="5"/>
            <c:spPr>
              <a:solidFill>
                <a:schemeClr val="tx1"/>
              </a:solidFill>
              <a:ln>
                <a:solidFill>
                  <a:schemeClr val="tx1"/>
                </a:solidFill>
              </a:ln>
            </c:spPr>
          </c:marker>
          <c:cat>
            <c:strRef>
              <c:f>Gráficos!$C$374</c:f>
              <c:strCache>
                <c:ptCount val="1"/>
                <c:pt idx="0">
                  <c:v>Eficiencia de Stock</c:v>
                </c:pt>
              </c:strCache>
            </c:strRef>
          </c:cat>
          <c:val>
            <c:numRef>
              <c:f>Gráficos!$G$374</c:f>
              <c:numCache>
                <c:formatCode>0.00</c:formatCode>
                <c:ptCount val="1"/>
                <c:pt idx="0">
                  <c:v>0</c:v>
                </c:pt>
              </c:numCache>
            </c:numRef>
          </c:val>
          <c:smooth val="0"/>
          <c:extLst xmlns:c16r2="http://schemas.microsoft.com/office/drawing/2015/06/chart">
            <c:ext xmlns:c16="http://schemas.microsoft.com/office/drawing/2014/chart" uri="{C3380CC4-5D6E-409C-BE32-E72D297353CC}">
              <c16:uniqueId val="{00000002-579C-4B83-8369-74D2F29FA24B}"/>
            </c:ext>
          </c:extLst>
        </c:ser>
        <c:ser>
          <c:idx val="3"/>
          <c:order val="3"/>
          <c:tx>
            <c:strRef>
              <c:f>Gráficos!$F$371</c:f>
              <c:strCache>
                <c:ptCount val="1"/>
                <c:pt idx="0">
                  <c:v>3°Cuartil</c:v>
                </c:pt>
              </c:strCache>
            </c:strRef>
          </c:tx>
          <c:spPr>
            <a:ln w="28575">
              <a:noFill/>
            </a:ln>
          </c:spPr>
          <c:marker>
            <c:symbol val="none"/>
          </c:marker>
          <c:cat>
            <c:strRef>
              <c:f>Gráficos!$C$374</c:f>
              <c:strCache>
                <c:ptCount val="1"/>
                <c:pt idx="0">
                  <c:v>Eficiencia de Stock</c:v>
                </c:pt>
              </c:strCache>
            </c:strRef>
          </c:cat>
          <c:val>
            <c:numRef>
              <c:f>Gráficos!$F$374</c:f>
              <c:numCache>
                <c:formatCode>0.00</c:formatCode>
                <c:ptCount val="1"/>
                <c:pt idx="0">
                  <c:v>0</c:v>
                </c:pt>
              </c:numCache>
            </c:numRef>
          </c:val>
          <c:smooth val="0"/>
          <c:extLst xmlns:c16r2="http://schemas.microsoft.com/office/drawing/2015/06/chart">
            <c:ext xmlns:c16="http://schemas.microsoft.com/office/drawing/2014/chart" uri="{C3380CC4-5D6E-409C-BE32-E72D297353CC}">
              <c16:uniqueId val="{00000003-579C-4B83-8369-74D2F29FA24B}"/>
            </c:ext>
          </c:extLst>
        </c:ser>
        <c:dLbls>
          <c:showLegendKey val="0"/>
          <c:showVal val="0"/>
          <c:showCatName val="0"/>
          <c:showSerName val="0"/>
          <c:showPercent val="0"/>
          <c:showBubbleSize val="0"/>
        </c:dLbls>
        <c:hiLowLines/>
        <c:upDownBars>
          <c:gapWidth val="150"/>
          <c:upBars/>
          <c:downBars>
            <c:spPr>
              <a:solidFill>
                <a:schemeClr val="bg1"/>
              </a:solidFill>
            </c:spPr>
          </c:downBars>
        </c:upDownBars>
        <c:axId val="1153710752"/>
        <c:axId val="1153703136"/>
      </c:stockChart>
      <c:stockChart>
        <c:ser>
          <c:idx val="4"/>
          <c:order val="4"/>
          <c:tx>
            <c:strRef>
              <c:f>Gráficos!$H$371</c:f>
              <c:strCache>
                <c:ptCount val="1"/>
                <c:pt idx="0">
                  <c:v>Promedio</c:v>
                </c:pt>
              </c:strCache>
            </c:strRef>
          </c:tx>
          <c:spPr>
            <a:ln w="28575">
              <a:noFill/>
            </a:ln>
          </c:spPr>
          <c:marker>
            <c:symbol val="circle"/>
            <c:size val="7"/>
            <c:spPr>
              <a:solidFill>
                <a:schemeClr val="tx1"/>
              </a:solidFill>
              <a:ln>
                <a:solidFill>
                  <a:schemeClr val="tx1"/>
                </a:solidFill>
              </a:ln>
            </c:spPr>
          </c:marker>
          <c:val>
            <c:numRef>
              <c:f>Gráficos!$H$374</c:f>
              <c:numCache>
                <c:formatCode>0.00</c:formatCode>
                <c:ptCount val="1"/>
                <c:pt idx="0">
                  <c:v>0</c:v>
                </c:pt>
              </c:numCache>
            </c:numRef>
          </c:val>
          <c:smooth val="0"/>
          <c:extLst xmlns:c16r2="http://schemas.microsoft.com/office/drawing/2015/06/chart">
            <c:ext xmlns:c16="http://schemas.microsoft.com/office/drawing/2014/chart" uri="{C3380CC4-5D6E-409C-BE32-E72D297353CC}">
              <c16:uniqueId val="{00000004-579C-4B83-8369-74D2F29FA24B}"/>
            </c:ext>
          </c:extLst>
        </c:ser>
        <c:dLbls>
          <c:showLegendKey val="0"/>
          <c:showVal val="0"/>
          <c:showCatName val="0"/>
          <c:showSerName val="0"/>
          <c:showPercent val="0"/>
          <c:showBubbleSize val="0"/>
        </c:dLbls>
        <c:axId val="1153688448"/>
        <c:axId val="1153691168"/>
      </c:stockChart>
      <c:catAx>
        <c:axId val="1153710752"/>
        <c:scaling>
          <c:orientation val="minMax"/>
        </c:scaling>
        <c:delete val="0"/>
        <c:axPos val="b"/>
        <c:numFmt formatCode="General" sourceLinked="0"/>
        <c:majorTickMark val="out"/>
        <c:minorTickMark val="none"/>
        <c:tickLblPos val="nextTo"/>
        <c:crossAx val="1153703136"/>
        <c:crosses val="autoZero"/>
        <c:auto val="1"/>
        <c:lblAlgn val="ctr"/>
        <c:lblOffset val="100"/>
        <c:noMultiLvlLbl val="0"/>
      </c:catAx>
      <c:valAx>
        <c:axId val="1153703136"/>
        <c:scaling>
          <c:orientation val="minMax"/>
          <c:max val="1"/>
        </c:scaling>
        <c:delete val="0"/>
        <c:axPos val="l"/>
        <c:majorGridlines>
          <c:spPr>
            <a:ln>
              <a:solidFill>
                <a:schemeClr val="bg1">
                  <a:lumMod val="85000"/>
                </a:schemeClr>
              </a:solidFill>
              <a:prstDash val="sysDot"/>
            </a:ln>
          </c:spPr>
        </c:majorGridlines>
        <c:numFmt formatCode="0.00" sourceLinked="1"/>
        <c:majorTickMark val="out"/>
        <c:minorTickMark val="none"/>
        <c:tickLblPos val="nextTo"/>
        <c:crossAx val="1153710752"/>
        <c:crosses val="autoZero"/>
        <c:crossBetween val="between"/>
      </c:valAx>
      <c:valAx>
        <c:axId val="1153691168"/>
        <c:scaling>
          <c:orientation val="minMax"/>
          <c:max val="1"/>
          <c:min val="0"/>
        </c:scaling>
        <c:delete val="0"/>
        <c:axPos val="r"/>
        <c:numFmt formatCode="0.00" sourceLinked="1"/>
        <c:majorTickMark val="out"/>
        <c:minorTickMark val="none"/>
        <c:tickLblPos val="nextTo"/>
        <c:crossAx val="1153688448"/>
        <c:crosses val="max"/>
        <c:crossBetween val="between"/>
      </c:valAx>
      <c:catAx>
        <c:axId val="1153688448"/>
        <c:scaling>
          <c:orientation val="minMax"/>
        </c:scaling>
        <c:delete val="1"/>
        <c:axPos val="b"/>
        <c:majorTickMark val="out"/>
        <c:minorTickMark val="none"/>
        <c:tickLblPos val="nextTo"/>
        <c:crossAx val="1153691168"/>
        <c:crosses val="autoZero"/>
        <c:auto val="1"/>
        <c:lblAlgn val="ctr"/>
        <c:lblOffset val="100"/>
        <c:noMultiLvlLbl val="0"/>
      </c:catAx>
    </c:plotArea>
    <c:legend>
      <c:legendPos val="t"/>
      <c:layout>
        <c:manualLayout>
          <c:xMode val="edge"/>
          <c:yMode val="edge"/>
          <c:x val="3.3030801252793889E-2"/>
          <c:y val="3.2784585909598013E-2"/>
          <c:w val="0.9669691987472061"/>
          <c:h val="9.6527802576558672E-2"/>
        </c:manualLayout>
      </c:layout>
      <c:overlay val="0"/>
    </c:legend>
    <c:plotVisOnly val="1"/>
    <c:dispBlanksAs val="gap"/>
    <c:showDLblsOverMax val="0"/>
  </c:chart>
  <c:spPr>
    <a:ln>
      <a:solidFill>
        <a:schemeClr val="bg1">
          <a:lumMod val="65000"/>
        </a:schemeClr>
      </a:solidFill>
    </a:ln>
  </c:sp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5313092676234"/>
          <c:y val="0.19308055929987267"/>
          <c:w val="0.6795946572505428"/>
          <c:h val="0.67428212728077674"/>
        </c:manualLayout>
      </c:layout>
      <c:stockChart>
        <c:ser>
          <c:idx val="0"/>
          <c:order val="0"/>
          <c:tx>
            <c:strRef>
              <c:f>Gráficos!$E$371</c:f>
              <c:strCache>
                <c:ptCount val="1"/>
                <c:pt idx="0">
                  <c:v>1° Cuartil</c:v>
                </c:pt>
              </c:strCache>
            </c:strRef>
          </c:tx>
          <c:spPr>
            <a:ln w="28575">
              <a:noFill/>
            </a:ln>
          </c:spPr>
          <c:marker>
            <c:symbol val="none"/>
          </c:marker>
          <c:cat>
            <c:strRef>
              <c:f>Gráficos!$C$375</c:f>
              <c:strCache>
                <c:ptCount val="1"/>
                <c:pt idx="0">
                  <c:v>Prod. de Carne kg/cab</c:v>
                </c:pt>
              </c:strCache>
            </c:strRef>
          </c:cat>
          <c:val>
            <c:numRef>
              <c:f>Gráficos!$E$375</c:f>
              <c:numCache>
                <c:formatCode>0</c:formatCode>
                <c:ptCount val="1"/>
                <c:pt idx="0">
                  <c:v>0</c:v>
                </c:pt>
              </c:numCache>
            </c:numRef>
          </c:val>
          <c:smooth val="0"/>
          <c:extLst xmlns:c16r2="http://schemas.microsoft.com/office/drawing/2015/06/chart">
            <c:ext xmlns:c16="http://schemas.microsoft.com/office/drawing/2014/chart" uri="{C3380CC4-5D6E-409C-BE32-E72D297353CC}">
              <c16:uniqueId val="{00000000-579C-4B83-8369-74D2F29FA24B}"/>
            </c:ext>
          </c:extLst>
        </c:ser>
        <c:ser>
          <c:idx val="1"/>
          <c:order val="1"/>
          <c:tx>
            <c:strRef>
              <c:f>Gráficos!$D$371</c:f>
              <c:strCache>
                <c:ptCount val="1"/>
                <c:pt idx="0">
                  <c:v>Máx</c:v>
                </c:pt>
              </c:strCache>
            </c:strRef>
          </c:tx>
          <c:spPr>
            <a:ln w="28575">
              <a:noFill/>
            </a:ln>
          </c:spPr>
          <c:marker>
            <c:symbol val="dash"/>
            <c:size val="5"/>
            <c:spPr>
              <a:solidFill>
                <a:schemeClr val="tx1"/>
              </a:solidFill>
              <a:ln>
                <a:solidFill>
                  <a:schemeClr val="tx1"/>
                </a:solidFill>
              </a:ln>
            </c:spPr>
          </c:marker>
          <c:cat>
            <c:strRef>
              <c:f>Gráficos!$C$375</c:f>
              <c:strCache>
                <c:ptCount val="1"/>
                <c:pt idx="0">
                  <c:v>Prod. de Carne kg/cab</c:v>
                </c:pt>
              </c:strCache>
            </c:strRef>
          </c:cat>
          <c:val>
            <c:numRef>
              <c:f>Gráficos!$D$375</c:f>
              <c:numCache>
                <c:formatCode>0</c:formatCode>
                <c:ptCount val="1"/>
                <c:pt idx="0">
                  <c:v>0</c:v>
                </c:pt>
              </c:numCache>
            </c:numRef>
          </c:val>
          <c:smooth val="0"/>
          <c:extLst xmlns:c16r2="http://schemas.microsoft.com/office/drawing/2015/06/chart">
            <c:ext xmlns:c16="http://schemas.microsoft.com/office/drawing/2014/chart" uri="{C3380CC4-5D6E-409C-BE32-E72D297353CC}">
              <c16:uniqueId val="{00000001-579C-4B83-8369-74D2F29FA24B}"/>
            </c:ext>
          </c:extLst>
        </c:ser>
        <c:ser>
          <c:idx val="2"/>
          <c:order val="2"/>
          <c:tx>
            <c:strRef>
              <c:f>Gráficos!$G$371</c:f>
              <c:strCache>
                <c:ptCount val="1"/>
                <c:pt idx="0">
                  <c:v>Mín</c:v>
                </c:pt>
              </c:strCache>
            </c:strRef>
          </c:tx>
          <c:spPr>
            <a:ln w="28575">
              <a:noFill/>
            </a:ln>
          </c:spPr>
          <c:marker>
            <c:symbol val="dash"/>
            <c:size val="5"/>
            <c:spPr>
              <a:solidFill>
                <a:schemeClr val="tx1"/>
              </a:solidFill>
              <a:ln>
                <a:solidFill>
                  <a:schemeClr val="tx1"/>
                </a:solidFill>
              </a:ln>
            </c:spPr>
          </c:marker>
          <c:cat>
            <c:strRef>
              <c:f>Gráficos!$C$375</c:f>
              <c:strCache>
                <c:ptCount val="1"/>
                <c:pt idx="0">
                  <c:v>Prod. de Carne kg/cab</c:v>
                </c:pt>
              </c:strCache>
            </c:strRef>
          </c:cat>
          <c:val>
            <c:numRef>
              <c:f>Gráficos!$G$375</c:f>
              <c:numCache>
                <c:formatCode>0</c:formatCode>
                <c:ptCount val="1"/>
                <c:pt idx="0">
                  <c:v>0</c:v>
                </c:pt>
              </c:numCache>
            </c:numRef>
          </c:val>
          <c:smooth val="0"/>
          <c:extLst xmlns:c16r2="http://schemas.microsoft.com/office/drawing/2015/06/chart">
            <c:ext xmlns:c16="http://schemas.microsoft.com/office/drawing/2014/chart" uri="{C3380CC4-5D6E-409C-BE32-E72D297353CC}">
              <c16:uniqueId val="{00000002-579C-4B83-8369-74D2F29FA24B}"/>
            </c:ext>
          </c:extLst>
        </c:ser>
        <c:ser>
          <c:idx val="3"/>
          <c:order val="3"/>
          <c:tx>
            <c:strRef>
              <c:f>Gráficos!$F$371</c:f>
              <c:strCache>
                <c:ptCount val="1"/>
                <c:pt idx="0">
                  <c:v>3°Cuartil</c:v>
                </c:pt>
              </c:strCache>
            </c:strRef>
          </c:tx>
          <c:spPr>
            <a:ln w="28575">
              <a:noFill/>
            </a:ln>
          </c:spPr>
          <c:marker>
            <c:symbol val="none"/>
          </c:marker>
          <c:cat>
            <c:strRef>
              <c:f>Gráficos!$C$375</c:f>
              <c:strCache>
                <c:ptCount val="1"/>
                <c:pt idx="0">
                  <c:v>Prod. de Carne kg/cab</c:v>
                </c:pt>
              </c:strCache>
            </c:strRef>
          </c:cat>
          <c:val>
            <c:numRef>
              <c:f>Gráficos!$F$375</c:f>
              <c:numCache>
                <c:formatCode>0</c:formatCode>
                <c:ptCount val="1"/>
                <c:pt idx="0">
                  <c:v>0</c:v>
                </c:pt>
              </c:numCache>
            </c:numRef>
          </c:val>
          <c:smooth val="0"/>
          <c:extLst xmlns:c16r2="http://schemas.microsoft.com/office/drawing/2015/06/chart">
            <c:ext xmlns:c16="http://schemas.microsoft.com/office/drawing/2014/chart" uri="{C3380CC4-5D6E-409C-BE32-E72D297353CC}">
              <c16:uniqueId val="{00000003-579C-4B83-8369-74D2F29FA24B}"/>
            </c:ext>
          </c:extLst>
        </c:ser>
        <c:dLbls>
          <c:showLegendKey val="0"/>
          <c:showVal val="0"/>
          <c:showCatName val="0"/>
          <c:showSerName val="0"/>
          <c:showPercent val="0"/>
          <c:showBubbleSize val="0"/>
        </c:dLbls>
        <c:hiLowLines/>
        <c:upDownBars>
          <c:gapWidth val="150"/>
          <c:upBars/>
          <c:downBars>
            <c:spPr>
              <a:solidFill>
                <a:schemeClr val="bg1"/>
              </a:solidFill>
            </c:spPr>
          </c:downBars>
        </c:upDownBars>
        <c:axId val="1153702592"/>
        <c:axId val="1153689536"/>
      </c:stockChart>
      <c:stockChart>
        <c:ser>
          <c:idx val="4"/>
          <c:order val="4"/>
          <c:tx>
            <c:strRef>
              <c:f>Gráficos!$H$371</c:f>
              <c:strCache>
                <c:ptCount val="1"/>
                <c:pt idx="0">
                  <c:v>Promedio</c:v>
                </c:pt>
              </c:strCache>
            </c:strRef>
          </c:tx>
          <c:spPr>
            <a:ln w="28575">
              <a:noFill/>
            </a:ln>
          </c:spPr>
          <c:marker>
            <c:symbol val="circle"/>
            <c:size val="7"/>
            <c:spPr>
              <a:solidFill>
                <a:schemeClr val="tx1"/>
              </a:solidFill>
              <a:ln>
                <a:solidFill>
                  <a:schemeClr val="tx1"/>
                </a:solidFill>
              </a:ln>
            </c:spPr>
          </c:marker>
          <c:cat>
            <c:strRef>
              <c:f>Gráficos!$C$375</c:f>
              <c:strCache>
                <c:ptCount val="1"/>
                <c:pt idx="0">
                  <c:v>Prod. de Carne kg/cab</c:v>
                </c:pt>
              </c:strCache>
            </c:strRef>
          </c:cat>
          <c:val>
            <c:numRef>
              <c:f>Gráficos!$H$375</c:f>
              <c:numCache>
                <c:formatCode>0</c:formatCode>
                <c:ptCount val="1"/>
                <c:pt idx="0">
                  <c:v>0</c:v>
                </c:pt>
              </c:numCache>
            </c:numRef>
          </c:val>
          <c:smooth val="0"/>
          <c:extLst xmlns:c16r2="http://schemas.microsoft.com/office/drawing/2015/06/chart">
            <c:ext xmlns:c16="http://schemas.microsoft.com/office/drawing/2014/chart" uri="{C3380CC4-5D6E-409C-BE32-E72D297353CC}">
              <c16:uniqueId val="{00000004-579C-4B83-8369-74D2F29FA24B}"/>
            </c:ext>
          </c:extLst>
        </c:ser>
        <c:dLbls>
          <c:showLegendKey val="0"/>
          <c:showVal val="0"/>
          <c:showCatName val="0"/>
          <c:showSerName val="0"/>
          <c:showPercent val="0"/>
          <c:showBubbleSize val="0"/>
        </c:dLbls>
        <c:axId val="1153709120"/>
        <c:axId val="1153708576"/>
      </c:stockChart>
      <c:catAx>
        <c:axId val="1153702592"/>
        <c:scaling>
          <c:orientation val="minMax"/>
        </c:scaling>
        <c:delete val="0"/>
        <c:axPos val="b"/>
        <c:numFmt formatCode="General" sourceLinked="0"/>
        <c:majorTickMark val="out"/>
        <c:minorTickMark val="none"/>
        <c:tickLblPos val="nextTo"/>
        <c:crossAx val="1153689536"/>
        <c:crosses val="autoZero"/>
        <c:auto val="1"/>
        <c:lblAlgn val="ctr"/>
        <c:lblOffset val="100"/>
        <c:noMultiLvlLbl val="0"/>
      </c:catAx>
      <c:valAx>
        <c:axId val="1153689536"/>
        <c:scaling>
          <c:orientation val="minMax"/>
          <c:max val="500"/>
        </c:scaling>
        <c:delete val="0"/>
        <c:axPos val="l"/>
        <c:majorGridlines>
          <c:spPr>
            <a:ln>
              <a:solidFill>
                <a:schemeClr val="bg1">
                  <a:lumMod val="85000"/>
                </a:schemeClr>
              </a:solidFill>
              <a:prstDash val="sysDot"/>
            </a:ln>
          </c:spPr>
        </c:majorGridlines>
        <c:numFmt formatCode="0" sourceLinked="1"/>
        <c:majorTickMark val="out"/>
        <c:minorTickMark val="none"/>
        <c:tickLblPos val="nextTo"/>
        <c:crossAx val="1153702592"/>
        <c:crosses val="autoZero"/>
        <c:crossBetween val="between"/>
      </c:valAx>
      <c:valAx>
        <c:axId val="1153708576"/>
        <c:scaling>
          <c:orientation val="minMax"/>
          <c:max val="500"/>
          <c:min val="0"/>
        </c:scaling>
        <c:delete val="0"/>
        <c:axPos val="r"/>
        <c:numFmt formatCode="0" sourceLinked="1"/>
        <c:majorTickMark val="out"/>
        <c:minorTickMark val="none"/>
        <c:tickLblPos val="nextTo"/>
        <c:crossAx val="1153709120"/>
        <c:crosses val="max"/>
        <c:crossBetween val="between"/>
      </c:valAx>
      <c:catAx>
        <c:axId val="1153709120"/>
        <c:scaling>
          <c:orientation val="minMax"/>
        </c:scaling>
        <c:delete val="1"/>
        <c:axPos val="b"/>
        <c:numFmt formatCode="General" sourceLinked="1"/>
        <c:majorTickMark val="out"/>
        <c:minorTickMark val="none"/>
        <c:tickLblPos val="nextTo"/>
        <c:crossAx val="1153708576"/>
        <c:crosses val="autoZero"/>
        <c:auto val="1"/>
        <c:lblAlgn val="ctr"/>
        <c:lblOffset val="100"/>
        <c:noMultiLvlLbl val="0"/>
      </c:catAx>
    </c:plotArea>
    <c:legend>
      <c:legendPos val="t"/>
      <c:layout>
        <c:manualLayout>
          <c:xMode val="edge"/>
          <c:yMode val="edge"/>
          <c:x val="3.3030801252793889E-2"/>
          <c:y val="3.2784585909598013E-2"/>
          <c:w val="0.9669691987472061"/>
          <c:h val="9.6527802576558672E-2"/>
        </c:manualLayout>
      </c:layout>
      <c:overlay val="0"/>
    </c:legend>
    <c:plotVisOnly val="1"/>
    <c:dispBlanksAs val="gap"/>
    <c:showDLblsOverMax val="0"/>
  </c:chart>
  <c:spPr>
    <a:ln>
      <a:solidFill>
        <a:schemeClr val="bg1">
          <a:lumMod val="65000"/>
        </a:schemeClr>
      </a:solidFill>
    </a:ln>
  </c:spPr>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5313092676234"/>
          <c:y val="0.19308055929987267"/>
          <c:w val="0.6795946572505428"/>
          <c:h val="0.67428212728077674"/>
        </c:manualLayout>
      </c:layout>
      <c:stockChart>
        <c:ser>
          <c:idx val="0"/>
          <c:order val="0"/>
          <c:tx>
            <c:strRef>
              <c:f>Gráficos!$E$404</c:f>
              <c:strCache>
                <c:ptCount val="1"/>
                <c:pt idx="0">
                  <c:v>1° Cuartil</c:v>
                </c:pt>
              </c:strCache>
            </c:strRef>
          </c:tx>
          <c:spPr>
            <a:ln w="28575">
              <a:noFill/>
            </a:ln>
          </c:spPr>
          <c:marker>
            <c:symbol val="none"/>
          </c:marker>
          <c:cat>
            <c:strRef>
              <c:f>Gráficos!$C$340</c:f>
              <c:strCache>
                <c:ptCount val="1"/>
                <c:pt idx="0">
                  <c:v>ADPV</c:v>
                </c:pt>
              </c:strCache>
            </c:strRef>
          </c:cat>
          <c:val>
            <c:numRef>
              <c:f>Gráficos!$E$406</c:f>
              <c:numCache>
                <c:formatCode>0.00</c:formatCode>
                <c:ptCount val="1"/>
                <c:pt idx="0">
                  <c:v>0</c:v>
                </c:pt>
              </c:numCache>
            </c:numRef>
          </c:val>
          <c:smooth val="0"/>
          <c:extLst xmlns:c16r2="http://schemas.microsoft.com/office/drawing/2015/06/chart">
            <c:ext xmlns:c16="http://schemas.microsoft.com/office/drawing/2014/chart" uri="{C3380CC4-5D6E-409C-BE32-E72D297353CC}">
              <c16:uniqueId val="{00000000-579C-4B83-8369-74D2F29FA24B}"/>
            </c:ext>
          </c:extLst>
        </c:ser>
        <c:ser>
          <c:idx val="1"/>
          <c:order val="1"/>
          <c:tx>
            <c:strRef>
              <c:f>Gráficos!$D$404</c:f>
              <c:strCache>
                <c:ptCount val="1"/>
                <c:pt idx="0">
                  <c:v>Máx</c:v>
                </c:pt>
              </c:strCache>
            </c:strRef>
          </c:tx>
          <c:spPr>
            <a:ln w="28575">
              <a:noFill/>
            </a:ln>
          </c:spPr>
          <c:marker>
            <c:symbol val="dash"/>
            <c:size val="5"/>
            <c:spPr>
              <a:solidFill>
                <a:schemeClr val="tx1"/>
              </a:solidFill>
              <a:ln>
                <a:solidFill>
                  <a:schemeClr val="tx1"/>
                </a:solidFill>
              </a:ln>
            </c:spPr>
          </c:marker>
          <c:cat>
            <c:strRef>
              <c:f>Gráficos!$C$340</c:f>
              <c:strCache>
                <c:ptCount val="1"/>
                <c:pt idx="0">
                  <c:v>ADPV</c:v>
                </c:pt>
              </c:strCache>
            </c:strRef>
          </c:cat>
          <c:val>
            <c:numRef>
              <c:f>Gráficos!$D$406</c:f>
              <c:numCache>
                <c:formatCode>0.00</c:formatCode>
                <c:ptCount val="1"/>
                <c:pt idx="0">
                  <c:v>0</c:v>
                </c:pt>
              </c:numCache>
            </c:numRef>
          </c:val>
          <c:smooth val="0"/>
          <c:extLst xmlns:c16r2="http://schemas.microsoft.com/office/drawing/2015/06/chart">
            <c:ext xmlns:c16="http://schemas.microsoft.com/office/drawing/2014/chart" uri="{C3380CC4-5D6E-409C-BE32-E72D297353CC}">
              <c16:uniqueId val="{00000001-579C-4B83-8369-74D2F29FA24B}"/>
            </c:ext>
          </c:extLst>
        </c:ser>
        <c:ser>
          <c:idx val="2"/>
          <c:order val="2"/>
          <c:tx>
            <c:strRef>
              <c:f>Gráficos!$G$404</c:f>
              <c:strCache>
                <c:ptCount val="1"/>
                <c:pt idx="0">
                  <c:v>Mín</c:v>
                </c:pt>
              </c:strCache>
            </c:strRef>
          </c:tx>
          <c:spPr>
            <a:ln w="28575">
              <a:noFill/>
            </a:ln>
          </c:spPr>
          <c:marker>
            <c:symbol val="dash"/>
            <c:size val="5"/>
            <c:spPr>
              <a:solidFill>
                <a:schemeClr val="tx1"/>
              </a:solidFill>
              <a:ln>
                <a:solidFill>
                  <a:schemeClr val="tx1"/>
                </a:solidFill>
              </a:ln>
            </c:spPr>
          </c:marker>
          <c:cat>
            <c:strRef>
              <c:f>Gráficos!$C$340</c:f>
              <c:strCache>
                <c:ptCount val="1"/>
                <c:pt idx="0">
                  <c:v>ADPV</c:v>
                </c:pt>
              </c:strCache>
            </c:strRef>
          </c:cat>
          <c:val>
            <c:numRef>
              <c:f>Gráficos!$G$406</c:f>
              <c:numCache>
                <c:formatCode>0.00</c:formatCode>
                <c:ptCount val="1"/>
                <c:pt idx="0">
                  <c:v>0</c:v>
                </c:pt>
              </c:numCache>
            </c:numRef>
          </c:val>
          <c:smooth val="0"/>
          <c:extLst xmlns:c16r2="http://schemas.microsoft.com/office/drawing/2015/06/chart">
            <c:ext xmlns:c16="http://schemas.microsoft.com/office/drawing/2014/chart" uri="{C3380CC4-5D6E-409C-BE32-E72D297353CC}">
              <c16:uniqueId val="{00000002-579C-4B83-8369-74D2F29FA24B}"/>
            </c:ext>
          </c:extLst>
        </c:ser>
        <c:ser>
          <c:idx val="3"/>
          <c:order val="3"/>
          <c:tx>
            <c:strRef>
              <c:f>Gráficos!$F$404</c:f>
              <c:strCache>
                <c:ptCount val="1"/>
                <c:pt idx="0">
                  <c:v>3°Cuartil</c:v>
                </c:pt>
              </c:strCache>
            </c:strRef>
          </c:tx>
          <c:spPr>
            <a:ln w="28575">
              <a:noFill/>
            </a:ln>
          </c:spPr>
          <c:marker>
            <c:symbol val="none"/>
          </c:marker>
          <c:cat>
            <c:strRef>
              <c:f>Gráficos!$C$340</c:f>
              <c:strCache>
                <c:ptCount val="1"/>
                <c:pt idx="0">
                  <c:v>ADPV</c:v>
                </c:pt>
              </c:strCache>
            </c:strRef>
          </c:cat>
          <c:val>
            <c:numRef>
              <c:f>Gráficos!$F$406</c:f>
              <c:numCache>
                <c:formatCode>0.00</c:formatCode>
                <c:ptCount val="1"/>
                <c:pt idx="0">
                  <c:v>0</c:v>
                </c:pt>
              </c:numCache>
            </c:numRef>
          </c:val>
          <c:smooth val="0"/>
          <c:extLst xmlns:c16r2="http://schemas.microsoft.com/office/drawing/2015/06/chart">
            <c:ext xmlns:c16="http://schemas.microsoft.com/office/drawing/2014/chart" uri="{C3380CC4-5D6E-409C-BE32-E72D297353CC}">
              <c16:uniqueId val="{00000003-579C-4B83-8369-74D2F29FA24B}"/>
            </c:ext>
          </c:extLst>
        </c:ser>
        <c:dLbls>
          <c:showLegendKey val="0"/>
          <c:showVal val="0"/>
          <c:showCatName val="0"/>
          <c:showSerName val="0"/>
          <c:showPercent val="0"/>
          <c:showBubbleSize val="0"/>
        </c:dLbls>
        <c:hiLowLines/>
        <c:upDownBars>
          <c:gapWidth val="150"/>
          <c:upBars/>
          <c:downBars>
            <c:spPr>
              <a:solidFill>
                <a:schemeClr val="bg1"/>
              </a:solidFill>
            </c:spPr>
          </c:downBars>
        </c:upDownBars>
        <c:axId val="1153694432"/>
        <c:axId val="1153695520"/>
      </c:stockChart>
      <c:stockChart>
        <c:ser>
          <c:idx val="4"/>
          <c:order val="4"/>
          <c:tx>
            <c:strRef>
              <c:f>Gráficos!$H$404</c:f>
              <c:strCache>
                <c:ptCount val="1"/>
                <c:pt idx="0">
                  <c:v>Promedio</c:v>
                </c:pt>
              </c:strCache>
            </c:strRef>
          </c:tx>
          <c:spPr>
            <a:ln w="28575">
              <a:noFill/>
            </a:ln>
          </c:spPr>
          <c:marker>
            <c:symbol val="circle"/>
            <c:size val="7"/>
            <c:spPr>
              <a:solidFill>
                <a:schemeClr val="tx1"/>
              </a:solidFill>
              <a:ln>
                <a:solidFill>
                  <a:schemeClr val="tx1"/>
                </a:solidFill>
              </a:ln>
            </c:spPr>
          </c:marker>
          <c:cat>
            <c:strRef>
              <c:f>Gráficos!$C$406</c:f>
              <c:strCache>
                <c:ptCount val="1"/>
                <c:pt idx="0">
                  <c:v>ADPV</c:v>
                </c:pt>
              </c:strCache>
            </c:strRef>
          </c:cat>
          <c:val>
            <c:numRef>
              <c:f>Gráficos!$H$406</c:f>
              <c:numCache>
                <c:formatCode>0.00</c:formatCode>
                <c:ptCount val="1"/>
                <c:pt idx="0">
                  <c:v>0</c:v>
                </c:pt>
              </c:numCache>
            </c:numRef>
          </c:val>
          <c:smooth val="0"/>
          <c:extLst xmlns:c16r2="http://schemas.microsoft.com/office/drawing/2015/06/chart">
            <c:ext xmlns:c16="http://schemas.microsoft.com/office/drawing/2014/chart" uri="{C3380CC4-5D6E-409C-BE32-E72D297353CC}">
              <c16:uniqueId val="{00000004-579C-4B83-8369-74D2F29FA24B}"/>
            </c:ext>
          </c:extLst>
        </c:ser>
        <c:dLbls>
          <c:showLegendKey val="0"/>
          <c:showVal val="0"/>
          <c:showCatName val="0"/>
          <c:showSerName val="0"/>
          <c:showPercent val="0"/>
          <c:showBubbleSize val="0"/>
        </c:dLbls>
        <c:axId val="1153675392"/>
        <c:axId val="1153680832"/>
      </c:stockChart>
      <c:catAx>
        <c:axId val="1153694432"/>
        <c:scaling>
          <c:orientation val="minMax"/>
        </c:scaling>
        <c:delete val="0"/>
        <c:axPos val="b"/>
        <c:numFmt formatCode="General" sourceLinked="0"/>
        <c:majorTickMark val="out"/>
        <c:minorTickMark val="none"/>
        <c:tickLblPos val="nextTo"/>
        <c:crossAx val="1153695520"/>
        <c:crosses val="autoZero"/>
        <c:auto val="1"/>
        <c:lblAlgn val="ctr"/>
        <c:lblOffset val="100"/>
        <c:noMultiLvlLbl val="0"/>
      </c:catAx>
      <c:valAx>
        <c:axId val="1153695520"/>
        <c:scaling>
          <c:orientation val="minMax"/>
          <c:max val="1"/>
        </c:scaling>
        <c:delete val="0"/>
        <c:axPos val="l"/>
        <c:majorGridlines>
          <c:spPr>
            <a:ln>
              <a:solidFill>
                <a:schemeClr val="bg1">
                  <a:lumMod val="85000"/>
                </a:schemeClr>
              </a:solidFill>
              <a:prstDash val="sysDot"/>
            </a:ln>
          </c:spPr>
        </c:majorGridlines>
        <c:numFmt formatCode="0.00" sourceLinked="1"/>
        <c:majorTickMark val="out"/>
        <c:minorTickMark val="none"/>
        <c:tickLblPos val="nextTo"/>
        <c:crossAx val="1153694432"/>
        <c:crosses val="autoZero"/>
        <c:crossBetween val="between"/>
      </c:valAx>
      <c:valAx>
        <c:axId val="1153680832"/>
        <c:scaling>
          <c:orientation val="minMax"/>
          <c:max val="1"/>
          <c:min val="0"/>
        </c:scaling>
        <c:delete val="0"/>
        <c:axPos val="r"/>
        <c:numFmt formatCode="0.00" sourceLinked="1"/>
        <c:majorTickMark val="out"/>
        <c:minorTickMark val="none"/>
        <c:tickLblPos val="nextTo"/>
        <c:crossAx val="1153675392"/>
        <c:crosses val="max"/>
        <c:crossBetween val="between"/>
      </c:valAx>
      <c:catAx>
        <c:axId val="1153675392"/>
        <c:scaling>
          <c:orientation val="minMax"/>
        </c:scaling>
        <c:delete val="1"/>
        <c:axPos val="b"/>
        <c:numFmt formatCode="General" sourceLinked="1"/>
        <c:majorTickMark val="out"/>
        <c:minorTickMark val="none"/>
        <c:tickLblPos val="nextTo"/>
        <c:crossAx val="1153680832"/>
        <c:crosses val="autoZero"/>
        <c:auto val="1"/>
        <c:lblAlgn val="ctr"/>
        <c:lblOffset val="100"/>
        <c:noMultiLvlLbl val="0"/>
      </c:catAx>
    </c:plotArea>
    <c:legend>
      <c:legendPos val="t"/>
      <c:layout>
        <c:manualLayout>
          <c:xMode val="edge"/>
          <c:yMode val="edge"/>
          <c:x val="3.3030801252793889E-2"/>
          <c:y val="3.2784585909598013E-2"/>
          <c:w val="0.9669691987472061"/>
          <c:h val="9.6527802576558672E-2"/>
        </c:manualLayout>
      </c:layout>
      <c:overlay val="0"/>
    </c:legend>
    <c:plotVisOnly val="1"/>
    <c:dispBlanksAs val="gap"/>
    <c:showDLblsOverMax val="0"/>
  </c:chart>
  <c:spPr>
    <a:ln>
      <a:solidFill>
        <a:schemeClr val="bg1">
          <a:lumMod val="65000"/>
        </a:schemeClr>
      </a:solidFill>
    </a:ln>
  </c:spPr>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5313092676234"/>
          <c:y val="0.19308055929987267"/>
          <c:w val="0.6795946572505428"/>
          <c:h val="0.67428212728077674"/>
        </c:manualLayout>
      </c:layout>
      <c:stockChart>
        <c:ser>
          <c:idx val="0"/>
          <c:order val="0"/>
          <c:tx>
            <c:strRef>
              <c:f>Gráficos!$E$371</c:f>
              <c:strCache>
                <c:ptCount val="1"/>
                <c:pt idx="0">
                  <c:v>1° Cuartil</c:v>
                </c:pt>
              </c:strCache>
            </c:strRef>
          </c:tx>
          <c:spPr>
            <a:ln w="28575">
              <a:noFill/>
            </a:ln>
          </c:spPr>
          <c:marker>
            <c:symbol val="none"/>
          </c:marker>
          <c:cat>
            <c:strRef>
              <c:f>Gráficos!$C$376</c:f>
              <c:strCache>
                <c:ptCount val="1"/>
                <c:pt idx="0">
                  <c:v>Índice de conversión</c:v>
                </c:pt>
              </c:strCache>
            </c:strRef>
          </c:cat>
          <c:val>
            <c:numRef>
              <c:f>Gráficos!$E$376</c:f>
              <c:numCache>
                <c:formatCode>0</c:formatCode>
                <c:ptCount val="1"/>
                <c:pt idx="0">
                  <c:v>0</c:v>
                </c:pt>
              </c:numCache>
            </c:numRef>
          </c:val>
          <c:smooth val="0"/>
          <c:extLst xmlns:c16r2="http://schemas.microsoft.com/office/drawing/2015/06/chart">
            <c:ext xmlns:c16="http://schemas.microsoft.com/office/drawing/2014/chart" uri="{C3380CC4-5D6E-409C-BE32-E72D297353CC}">
              <c16:uniqueId val="{00000000-579C-4B83-8369-74D2F29FA24B}"/>
            </c:ext>
          </c:extLst>
        </c:ser>
        <c:ser>
          <c:idx val="1"/>
          <c:order val="1"/>
          <c:tx>
            <c:strRef>
              <c:f>Gráficos!$D$371</c:f>
              <c:strCache>
                <c:ptCount val="1"/>
                <c:pt idx="0">
                  <c:v>Máx</c:v>
                </c:pt>
              </c:strCache>
            </c:strRef>
          </c:tx>
          <c:spPr>
            <a:ln w="28575">
              <a:noFill/>
            </a:ln>
          </c:spPr>
          <c:marker>
            <c:symbol val="dash"/>
            <c:size val="5"/>
            <c:spPr>
              <a:solidFill>
                <a:schemeClr val="tx1"/>
              </a:solidFill>
              <a:ln>
                <a:solidFill>
                  <a:schemeClr val="tx1"/>
                </a:solidFill>
              </a:ln>
            </c:spPr>
          </c:marker>
          <c:cat>
            <c:strRef>
              <c:f>Gráficos!$C$376</c:f>
              <c:strCache>
                <c:ptCount val="1"/>
                <c:pt idx="0">
                  <c:v>Índice de conversión</c:v>
                </c:pt>
              </c:strCache>
            </c:strRef>
          </c:cat>
          <c:val>
            <c:numRef>
              <c:f>Gráficos!$D$376</c:f>
              <c:numCache>
                <c:formatCode>0</c:formatCode>
                <c:ptCount val="1"/>
                <c:pt idx="0">
                  <c:v>0</c:v>
                </c:pt>
              </c:numCache>
            </c:numRef>
          </c:val>
          <c:smooth val="0"/>
          <c:extLst xmlns:c16r2="http://schemas.microsoft.com/office/drawing/2015/06/chart">
            <c:ext xmlns:c16="http://schemas.microsoft.com/office/drawing/2014/chart" uri="{C3380CC4-5D6E-409C-BE32-E72D297353CC}">
              <c16:uniqueId val="{00000001-579C-4B83-8369-74D2F29FA24B}"/>
            </c:ext>
          </c:extLst>
        </c:ser>
        <c:ser>
          <c:idx val="2"/>
          <c:order val="2"/>
          <c:tx>
            <c:strRef>
              <c:f>Gráficos!$G$371</c:f>
              <c:strCache>
                <c:ptCount val="1"/>
                <c:pt idx="0">
                  <c:v>Mín</c:v>
                </c:pt>
              </c:strCache>
            </c:strRef>
          </c:tx>
          <c:spPr>
            <a:ln w="28575">
              <a:noFill/>
            </a:ln>
          </c:spPr>
          <c:marker>
            <c:symbol val="dash"/>
            <c:size val="5"/>
            <c:spPr>
              <a:solidFill>
                <a:schemeClr val="tx1"/>
              </a:solidFill>
              <a:ln>
                <a:solidFill>
                  <a:schemeClr val="tx1"/>
                </a:solidFill>
              </a:ln>
            </c:spPr>
          </c:marker>
          <c:cat>
            <c:strRef>
              <c:f>Gráficos!$C$376</c:f>
              <c:strCache>
                <c:ptCount val="1"/>
                <c:pt idx="0">
                  <c:v>Índice de conversión</c:v>
                </c:pt>
              </c:strCache>
            </c:strRef>
          </c:cat>
          <c:val>
            <c:numRef>
              <c:f>Gráficos!$G$376</c:f>
              <c:numCache>
                <c:formatCode>0</c:formatCode>
                <c:ptCount val="1"/>
                <c:pt idx="0">
                  <c:v>0</c:v>
                </c:pt>
              </c:numCache>
            </c:numRef>
          </c:val>
          <c:smooth val="0"/>
          <c:extLst xmlns:c16r2="http://schemas.microsoft.com/office/drawing/2015/06/chart">
            <c:ext xmlns:c16="http://schemas.microsoft.com/office/drawing/2014/chart" uri="{C3380CC4-5D6E-409C-BE32-E72D297353CC}">
              <c16:uniqueId val="{00000002-579C-4B83-8369-74D2F29FA24B}"/>
            </c:ext>
          </c:extLst>
        </c:ser>
        <c:ser>
          <c:idx val="3"/>
          <c:order val="3"/>
          <c:tx>
            <c:strRef>
              <c:f>Gráficos!$F$371</c:f>
              <c:strCache>
                <c:ptCount val="1"/>
                <c:pt idx="0">
                  <c:v>3°Cuartil</c:v>
                </c:pt>
              </c:strCache>
            </c:strRef>
          </c:tx>
          <c:spPr>
            <a:ln w="28575">
              <a:noFill/>
            </a:ln>
          </c:spPr>
          <c:marker>
            <c:symbol val="none"/>
          </c:marker>
          <c:cat>
            <c:strRef>
              <c:f>Gráficos!$C$376</c:f>
              <c:strCache>
                <c:ptCount val="1"/>
                <c:pt idx="0">
                  <c:v>Índice de conversión</c:v>
                </c:pt>
              </c:strCache>
            </c:strRef>
          </c:cat>
          <c:val>
            <c:numRef>
              <c:f>Gráficos!$F$376</c:f>
              <c:numCache>
                <c:formatCode>0</c:formatCode>
                <c:ptCount val="1"/>
                <c:pt idx="0">
                  <c:v>0</c:v>
                </c:pt>
              </c:numCache>
            </c:numRef>
          </c:val>
          <c:smooth val="0"/>
          <c:extLst xmlns:c16r2="http://schemas.microsoft.com/office/drawing/2015/06/chart">
            <c:ext xmlns:c16="http://schemas.microsoft.com/office/drawing/2014/chart" uri="{C3380CC4-5D6E-409C-BE32-E72D297353CC}">
              <c16:uniqueId val="{00000003-579C-4B83-8369-74D2F29FA24B}"/>
            </c:ext>
          </c:extLst>
        </c:ser>
        <c:dLbls>
          <c:showLegendKey val="0"/>
          <c:showVal val="0"/>
          <c:showCatName val="0"/>
          <c:showSerName val="0"/>
          <c:showPercent val="0"/>
          <c:showBubbleSize val="0"/>
        </c:dLbls>
        <c:hiLowLines/>
        <c:upDownBars>
          <c:gapWidth val="150"/>
          <c:upBars/>
          <c:downBars>
            <c:spPr>
              <a:solidFill>
                <a:schemeClr val="bg1"/>
              </a:solidFill>
            </c:spPr>
          </c:downBars>
        </c:upDownBars>
        <c:axId val="1153650912"/>
        <c:axId val="1153665600"/>
      </c:stockChart>
      <c:stockChart>
        <c:ser>
          <c:idx val="4"/>
          <c:order val="4"/>
          <c:tx>
            <c:strRef>
              <c:f>Gráficos!$H$371</c:f>
              <c:strCache>
                <c:ptCount val="1"/>
                <c:pt idx="0">
                  <c:v>Promedio</c:v>
                </c:pt>
              </c:strCache>
            </c:strRef>
          </c:tx>
          <c:spPr>
            <a:ln w="28575">
              <a:noFill/>
            </a:ln>
          </c:spPr>
          <c:marker>
            <c:symbol val="circle"/>
            <c:size val="7"/>
            <c:spPr>
              <a:solidFill>
                <a:schemeClr val="tx1"/>
              </a:solidFill>
              <a:ln>
                <a:solidFill>
                  <a:schemeClr val="tx1"/>
                </a:solidFill>
              </a:ln>
            </c:spPr>
          </c:marker>
          <c:val>
            <c:numRef>
              <c:f>Gráficos!$H$376</c:f>
              <c:numCache>
                <c:formatCode>0</c:formatCode>
                <c:ptCount val="1"/>
                <c:pt idx="0">
                  <c:v>0</c:v>
                </c:pt>
              </c:numCache>
            </c:numRef>
          </c:val>
          <c:smooth val="0"/>
          <c:extLst xmlns:c16r2="http://schemas.microsoft.com/office/drawing/2015/06/chart">
            <c:ext xmlns:c16="http://schemas.microsoft.com/office/drawing/2014/chart" uri="{C3380CC4-5D6E-409C-BE32-E72D297353CC}">
              <c16:uniqueId val="{00000004-579C-4B83-8369-74D2F29FA24B}"/>
            </c:ext>
          </c:extLst>
        </c:ser>
        <c:dLbls>
          <c:showLegendKey val="0"/>
          <c:showVal val="0"/>
          <c:showCatName val="0"/>
          <c:showSerName val="0"/>
          <c:showPercent val="0"/>
          <c:showBubbleSize val="0"/>
        </c:dLbls>
        <c:axId val="1153669952"/>
        <c:axId val="1153666688"/>
      </c:stockChart>
      <c:catAx>
        <c:axId val="1153650912"/>
        <c:scaling>
          <c:orientation val="minMax"/>
        </c:scaling>
        <c:delete val="0"/>
        <c:axPos val="b"/>
        <c:numFmt formatCode="General" sourceLinked="0"/>
        <c:majorTickMark val="out"/>
        <c:minorTickMark val="none"/>
        <c:tickLblPos val="nextTo"/>
        <c:crossAx val="1153665600"/>
        <c:crosses val="autoZero"/>
        <c:auto val="1"/>
        <c:lblAlgn val="ctr"/>
        <c:lblOffset val="100"/>
        <c:noMultiLvlLbl val="0"/>
      </c:catAx>
      <c:valAx>
        <c:axId val="1153665600"/>
        <c:scaling>
          <c:orientation val="minMax"/>
          <c:max val="14"/>
          <c:min val="0"/>
        </c:scaling>
        <c:delete val="0"/>
        <c:axPos val="l"/>
        <c:majorGridlines>
          <c:spPr>
            <a:ln>
              <a:solidFill>
                <a:schemeClr val="bg1">
                  <a:lumMod val="85000"/>
                </a:schemeClr>
              </a:solidFill>
              <a:prstDash val="sysDot"/>
            </a:ln>
          </c:spPr>
        </c:majorGridlines>
        <c:numFmt formatCode="0" sourceLinked="1"/>
        <c:majorTickMark val="out"/>
        <c:minorTickMark val="none"/>
        <c:tickLblPos val="nextTo"/>
        <c:crossAx val="1153650912"/>
        <c:crosses val="autoZero"/>
        <c:crossBetween val="between"/>
      </c:valAx>
      <c:valAx>
        <c:axId val="1153666688"/>
        <c:scaling>
          <c:orientation val="minMax"/>
          <c:max val="14"/>
          <c:min val="0"/>
        </c:scaling>
        <c:delete val="0"/>
        <c:axPos val="r"/>
        <c:numFmt formatCode="0" sourceLinked="1"/>
        <c:majorTickMark val="out"/>
        <c:minorTickMark val="none"/>
        <c:tickLblPos val="nextTo"/>
        <c:crossAx val="1153669952"/>
        <c:crosses val="max"/>
        <c:crossBetween val="between"/>
      </c:valAx>
      <c:catAx>
        <c:axId val="1153669952"/>
        <c:scaling>
          <c:orientation val="minMax"/>
        </c:scaling>
        <c:delete val="1"/>
        <c:axPos val="b"/>
        <c:majorTickMark val="out"/>
        <c:minorTickMark val="none"/>
        <c:tickLblPos val="nextTo"/>
        <c:crossAx val="1153666688"/>
        <c:crosses val="autoZero"/>
        <c:auto val="1"/>
        <c:lblAlgn val="ctr"/>
        <c:lblOffset val="100"/>
        <c:noMultiLvlLbl val="0"/>
      </c:catAx>
    </c:plotArea>
    <c:legend>
      <c:legendPos val="t"/>
      <c:layout>
        <c:manualLayout>
          <c:xMode val="edge"/>
          <c:yMode val="edge"/>
          <c:x val="3.3030801252793889E-2"/>
          <c:y val="3.2784585909598013E-2"/>
          <c:w val="0.9669691987472061"/>
          <c:h val="9.6527802576558672E-2"/>
        </c:manualLayout>
      </c:layout>
      <c:overlay val="0"/>
    </c:legend>
    <c:plotVisOnly val="1"/>
    <c:dispBlanksAs val="gap"/>
    <c:showDLblsOverMax val="0"/>
  </c:chart>
  <c:spPr>
    <a:ln>
      <a:solidFill>
        <a:schemeClr val="bg1">
          <a:lumMod val="65000"/>
        </a:schemeClr>
      </a:solidFill>
    </a:ln>
  </c:spPr>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5313092676234"/>
          <c:y val="0.19308055929987267"/>
          <c:w val="0.6795946572505428"/>
          <c:h val="0.67428212728077674"/>
        </c:manualLayout>
      </c:layout>
      <c:stockChart>
        <c:ser>
          <c:idx val="0"/>
          <c:order val="0"/>
          <c:tx>
            <c:strRef>
              <c:f>Gráficos!$E$404</c:f>
              <c:strCache>
                <c:ptCount val="1"/>
                <c:pt idx="0">
                  <c:v>1° Cuartil</c:v>
                </c:pt>
              </c:strCache>
            </c:strRef>
          </c:tx>
          <c:spPr>
            <a:ln w="28575">
              <a:noFill/>
            </a:ln>
          </c:spPr>
          <c:marker>
            <c:symbol val="none"/>
          </c:marker>
          <c:cat>
            <c:strRef>
              <c:f>Gráficos!$C$407</c:f>
              <c:strCache>
                <c:ptCount val="1"/>
                <c:pt idx="0">
                  <c:v>Eficiencia de Stock</c:v>
                </c:pt>
              </c:strCache>
            </c:strRef>
          </c:cat>
          <c:val>
            <c:numRef>
              <c:f>Gráficos!$E$407</c:f>
              <c:numCache>
                <c:formatCode>0.00</c:formatCode>
                <c:ptCount val="1"/>
                <c:pt idx="0">
                  <c:v>0</c:v>
                </c:pt>
              </c:numCache>
            </c:numRef>
          </c:val>
          <c:smooth val="0"/>
          <c:extLst xmlns:c16r2="http://schemas.microsoft.com/office/drawing/2015/06/chart">
            <c:ext xmlns:c16="http://schemas.microsoft.com/office/drawing/2014/chart" uri="{C3380CC4-5D6E-409C-BE32-E72D297353CC}">
              <c16:uniqueId val="{00000000-579C-4B83-8369-74D2F29FA24B}"/>
            </c:ext>
          </c:extLst>
        </c:ser>
        <c:ser>
          <c:idx val="1"/>
          <c:order val="1"/>
          <c:tx>
            <c:strRef>
              <c:f>Gráficos!$D$404</c:f>
              <c:strCache>
                <c:ptCount val="1"/>
                <c:pt idx="0">
                  <c:v>Máx</c:v>
                </c:pt>
              </c:strCache>
            </c:strRef>
          </c:tx>
          <c:spPr>
            <a:ln w="28575">
              <a:noFill/>
            </a:ln>
          </c:spPr>
          <c:marker>
            <c:symbol val="dash"/>
            <c:size val="5"/>
            <c:spPr>
              <a:solidFill>
                <a:schemeClr val="tx1"/>
              </a:solidFill>
              <a:ln>
                <a:solidFill>
                  <a:schemeClr val="tx1"/>
                </a:solidFill>
              </a:ln>
            </c:spPr>
          </c:marker>
          <c:cat>
            <c:strRef>
              <c:f>Gráficos!$C$407</c:f>
              <c:strCache>
                <c:ptCount val="1"/>
                <c:pt idx="0">
                  <c:v>Eficiencia de Stock</c:v>
                </c:pt>
              </c:strCache>
            </c:strRef>
          </c:cat>
          <c:val>
            <c:numRef>
              <c:f>Gráficos!$D$407</c:f>
              <c:numCache>
                <c:formatCode>0.00</c:formatCode>
                <c:ptCount val="1"/>
                <c:pt idx="0">
                  <c:v>0</c:v>
                </c:pt>
              </c:numCache>
            </c:numRef>
          </c:val>
          <c:smooth val="0"/>
          <c:extLst xmlns:c16r2="http://schemas.microsoft.com/office/drawing/2015/06/chart">
            <c:ext xmlns:c16="http://schemas.microsoft.com/office/drawing/2014/chart" uri="{C3380CC4-5D6E-409C-BE32-E72D297353CC}">
              <c16:uniqueId val="{00000001-579C-4B83-8369-74D2F29FA24B}"/>
            </c:ext>
          </c:extLst>
        </c:ser>
        <c:ser>
          <c:idx val="2"/>
          <c:order val="2"/>
          <c:tx>
            <c:strRef>
              <c:f>Gráficos!$G$404</c:f>
              <c:strCache>
                <c:ptCount val="1"/>
                <c:pt idx="0">
                  <c:v>Mín</c:v>
                </c:pt>
              </c:strCache>
            </c:strRef>
          </c:tx>
          <c:spPr>
            <a:ln w="28575">
              <a:noFill/>
            </a:ln>
          </c:spPr>
          <c:marker>
            <c:symbol val="dash"/>
            <c:size val="5"/>
            <c:spPr>
              <a:solidFill>
                <a:schemeClr val="tx1"/>
              </a:solidFill>
              <a:ln>
                <a:solidFill>
                  <a:schemeClr val="tx1"/>
                </a:solidFill>
              </a:ln>
            </c:spPr>
          </c:marker>
          <c:cat>
            <c:strRef>
              <c:f>Gráficos!$C$407</c:f>
              <c:strCache>
                <c:ptCount val="1"/>
                <c:pt idx="0">
                  <c:v>Eficiencia de Stock</c:v>
                </c:pt>
              </c:strCache>
            </c:strRef>
          </c:cat>
          <c:val>
            <c:numRef>
              <c:f>Gráficos!$G$407</c:f>
              <c:numCache>
                <c:formatCode>0.00</c:formatCode>
                <c:ptCount val="1"/>
                <c:pt idx="0">
                  <c:v>0</c:v>
                </c:pt>
              </c:numCache>
            </c:numRef>
          </c:val>
          <c:smooth val="0"/>
          <c:extLst xmlns:c16r2="http://schemas.microsoft.com/office/drawing/2015/06/chart">
            <c:ext xmlns:c16="http://schemas.microsoft.com/office/drawing/2014/chart" uri="{C3380CC4-5D6E-409C-BE32-E72D297353CC}">
              <c16:uniqueId val="{00000002-579C-4B83-8369-74D2F29FA24B}"/>
            </c:ext>
          </c:extLst>
        </c:ser>
        <c:ser>
          <c:idx val="3"/>
          <c:order val="3"/>
          <c:tx>
            <c:strRef>
              <c:f>Gráficos!$F$404</c:f>
              <c:strCache>
                <c:ptCount val="1"/>
                <c:pt idx="0">
                  <c:v>3°Cuartil</c:v>
                </c:pt>
              </c:strCache>
            </c:strRef>
          </c:tx>
          <c:spPr>
            <a:ln w="28575">
              <a:noFill/>
            </a:ln>
          </c:spPr>
          <c:marker>
            <c:symbol val="none"/>
          </c:marker>
          <c:cat>
            <c:strRef>
              <c:f>Gráficos!$C$407</c:f>
              <c:strCache>
                <c:ptCount val="1"/>
                <c:pt idx="0">
                  <c:v>Eficiencia de Stock</c:v>
                </c:pt>
              </c:strCache>
            </c:strRef>
          </c:cat>
          <c:val>
            <c:numRef>
              <c:f>Gráficos!$F$407</c:f>
              <c:numCache>
                <c:formatCode>0.00</c:formatCode>
                <c:ptCount val="1"/>
                <c:pt idx="0">
                  <c:v>0</c:v>
                </c:pt>
              </c:numCache>
            </c:numRef>
          </c:val>
          <c:smooth val="0"/>
          <c:extLst xmlns:c16r2="http://schemas.microsoft.com/office/drawing/2015/06/chart">
            <c:ext xmlns:c16="http://schemas.microsoft.com/office/drawing/2014/chart" uri="{C3380CC4-5D6E-409C-BE32-E72D297353CC}">
              <c16:uniqueId val="{00000003-579C-4B83-8369-74D2F29FA24B}"/>
            </c:ext>
          </c:extLst>
        </c:ser>
        <c:dLbls>
          <c:showLegendKey val="0"/>
          <c:showVal val="0"/>
          <c:showCatName val="0"/>
          <c:showSerName val="0"/>
          <c:showPercent val="0"/>
          <c:showBubbleSize val="0"/>
        </c:dLbls>
        <c:hiLowLines/>
        <c:upDownBars>
          <c:gapWidth val="150"/>
          <c:upBars/>
          <c:downBars>
            <c:spPr>
              <a:solidFill>
                <a:schemeClr val="bg1"/>
              </a:solidFill>
            </c:spPr>
          </c:downBars>
        </c:upDownBars>
        <c:axId val="1153670496"/>
        <c:axId val="1153684640"/>
      </c:stockChart>
      <c:stockChart>
        <c:ser>
          <c:idx val="4"/>
          <c:order val="4"/>
          <c:tx>
            <c:strRef>
              <c:f>Gráficos!$H$404</c:f>
              <c:strCache>
                <c:ptCount val="1"/>
                <c:pt idx="0">
                  <c:v>Promedio</c:v>
                </c:pt>
              </c:strCache>
            </c:strRef>
          </c:tx>
          <c:spPr>
            <a:ln w="28575">
              <a:noFill/>
            </a:ln>
          </c:spPr>
          <c:marker>
            <c:symbol val="circle"/>
            <c:size val="7"/>
            <c:spPr>
              <a:solidFill>
                <a:schemeClr val="tx1"/>
              </a:solidFill>
              <a:ln>
                <a:solidFill>
                  <a:schemeClr val="tx1"/>
                </a:solidFill>
              </a:ln>
            </c:spPr>
          </c:marker>
          <c:cat>
            <c:strRef>
              <c:f>Gráficos!$C$407</c:f>
              <c:strCache>
                <c:ptCount val="1"/>
                <c:pt idx="0">
                  <c:v>Eficiencia de Stock</c:v>
                </c:pt>
              </c:strCache>
            </c:strRef>
          </c:cat>
          <c:val>
            <c:numRef>
              <c:f>Gráficos!$H$407</c:f>
              <c:numCache>
                <c:formatCode>0.00</c:formatCode>
                <c:ptCount val="1"/>
                <c:pt idx="0">
                  <c:v>0</c:v>
                </c:pt>
              </c:numCache>
            </c:numRef>
          </c:val>
          <c:smooth val="0"/>
          <c:extLst xmlns:c16r2="http://schemas.microsoft.com/office/drawing/2015/06/chart">
            <c:ext xmlns:c16="http://schemas.microsoft.com/office/drawing/2014/chart" uri="{C3380CC4-5D6E-409C-BE32-E72D297353CC}">
              <c16:uniqueId val="{00000004-579C-4B83-8369-74D2F29FA24B}"/>
            </c:ext>
          </c:extLst>
        </c:ser>
        <c:dLbls>
          <c:showLegendKey val="0"/>
          <c:showVal val="0"/>
          <c:showCatName val="0"/>
          <c:showSerName val="0"/>
          <c:showPercent val="0"/>
          <c:showBubbleSize val="0"/>
        </c:dLbls>
        <c:axId val="1153667776"/>
        <c:axId val="1153667232"/>
      </c:stockChart>
      <c:catAx>
        <c:axId val="1153670496"/>
        <c:scaling>
          <c:orientation val="minMax"/>
        </c:scaling>
        <c:delete val="0"/>
        <c:axPos val="b"/>
        <c:numFmt formatCode="General" sourceLinked="0"/>
        <c:majorTickMark val="out"/>
        <c:minorTickMark val="none"/>
        <c:tickLblPos val="nextTo"/>
        <c:crossAx val="1153684640"/>
        <c:crosses val="autoZero"/>
        <c:auto val="1"/>
        <c:lblAlgn val="ctr"/>
        <c:lblOffset val="100"/>
        <c:noMultiLvlLbl val="0"/>
      </c:catAx>
      <c:valAx>
        <c:axId val="1153684640"/>
        <c:scaling>
          <c:orientation val="minMax"/>
          <c:max val="1"/>
        </c:scaling>
        <c:delete val="0"/>
        <c:axPos val="l"/>
        <c:majorGridlines>
          <c:spPr>
            <a:ln>
              <a:solidFill>
                <a:schemeClr val="bg1">
                  <a:lumMod val="85000"/>
                </a:schemeClr>
              </a:solidFill>
              <a:prstDash val="sysDot"/>
            </a:ln>
          </c:spPr>
        </c:majorGridlines>
        <c:numFmt formatCode="0.00" sourceLinked="1"/>
        <c:majorTickMark val="out"/>
        <c:minorTickMark val="none"/>
        <c:tickLblPos val="nextTo"/>
        <c:crossAx val="1153670496"/>
        <c:crosses val="autoZero"/>
        <c:crossBetween val="between"/>
      </c:valAx>
      <c:valAx>
        <c:axId val="1153667232"/>
        <c:scaling>
          <c:orientation val="minMax"/>
          <c:max val="1"/>
          <c:min val="0"/>
        </c:scaling>
        <c:delete val="0"/>
        <c:axPos val="r"/>
        <c:numFmt formatCode="0.00" sourceLinked="1"/>
        <c:majorTickMark val="out"/>
        <c:minorTickMark val="none"/>
        <c:tickLblPos val="nextTo"/>
        <c:crossAx val="1153667776"/>
        <c:crosses val="max"/>
        <c:crossBetween val="between"/>
      </c:valAx>
      <c:catAx>
        <c:axId val="1153667776"/>
        <c:scaling>
          <c:orientation val="minMax"/>
        </c:scaling>
        <c:delete val="1"/>
        <c:axPos val="b"/>
        <c:numFmt formatCode="General" sourceLinked="1"/>
        <c:majorTickMark val="out"/>
        <c:minorTickMark val="none"/>
        <c:tickLblPos val="nextTo"/>
        <c:crossAx val="1153667232"/>
        <c:crosses val="autoZero"/>
        <c:auto val="1"/>
        <c:lblAlgn val="ctr"/>
        <c:lblOffset val="100"/>
        <c:noMultiLvlLbl val="0"/>
      </c:catAx>
    </c:plotArea>
    <c:legend>
      <c:legendPos val="t"/>
      <c:layout>
        <c:manualLayout>
          <c:xMode val="edge"/>
          <c:yMode val="edge"/>
          <c:x val="3.3030801252793889E-2"/>
          <c:y val="3.2784585909598013E-2"/>
          <c:w val="0.9669691987472061"/>
          <c:h val="9.6527802576558672E-2"/>
        </c:manualLayout>
      </c:layout>
      <c:overlay val="0"/>
    </c:legend>
    <c:plotVisOnly val="1"/>
    <c:dispBlanksAs val="gap"/>
    <c:showDLblsOverMax val="0"/>
  </c:chart>
  <c:spPr>
    <a:ln>
      <a:solidFill>
        <a:schemeClr val="bg1">
          <a:lumMod val="65000"/>
        </a:schemeClr>
      </a:solidFill>
    </a:ln>
  </c:spPr>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5313092676234"/>
          <c:y val="0.19308055929987267"/>
          <c:w val="0.6795946572505428"/>
          <c:h val="0.67428212728077674"/>
        </c:manualLayout>
      </c:layout>
      <c:stockChart>
        <c:ser>
          <c:idx val="0"/>
          <c:order val="0"/>
          <c:tx>
            <c:strRef>
              <c:f>Gráficos!$E$404</c:f>
              <c:strCache>
                <c:ptCount val="1"/>
                <c:pt idx="0">
                  <c:v>1° Cuartil</c:v>
                </c:pt>
              </c:strCache>
            </c:strRef>
          </c:tx>
          <c:spPr>
            <a:ln w="28575">
              <a:noFill/>
            </a:ln>
          </c:spPr>
          <c:marker>
            <c:symbol val="none"/>
          </c:marker>
          <c:cat>
            <c:strRef>
              <c:f>Gráficos!$C$408</c:f>
              <c:strCache>
                <c:ptCount val="1"/>
                <c:pt idx="0">
                  <c:v>Prod. de Carne kg/cab</c:v>
                </c:pt>
              </c:strCache>
            </c:strRef>
          </c:cat>
          <c:val>
            <c:numRef>
              <c:f>Gráficos!$E$408</c:f>
              <c:numCache>
                <c:formatCode>0</c:formatCode>
                <c:ptCount val="1"/>
                <c:pt idx="0">
                  <c:v>0</c:v>
                </c:pt>
              </c:numCache>
            </c:numRef>
          </c:val>
          <c:smooth val="0"/>
          <c:extLst xmlns:c16r2="http://schemas.microsoft.com/office/drawing/2015/06/chart">
            <c:ext xmlns:c16="http://schemas.microsoft.com/office/drawing/2014/chart" uri="{C3380CC4-5D6E-409C-BE32-E72D297353CC}">
              <c16:uniqueId val="{00000000-579C-4B83-8369-74D2F29FA24B}"/>
            </c:ext>
          </c:extLst>
        </c:ser>
        <c:ser>
          <c:idx val="1"/>
          <c:order val="1"/>
          <c:tx>
            <c:strRef>
              <c:f>Gráficos!$D$404</c:f>
              <c:strCache>
                <c:ptCount val="1"/>
                <c:pt idx="0">
                  <c:v>Máx</c:v>
                </c:pt>
              </c:strCache>
            </c:strRef>
          </c:tx>
          <c:spPr>
            <a:ln w="28575">
              <a:noFill/>
            </a:ln>
          </c:spPr>
          <c:marker>
            <c:symbol val="dash"/>
            <c:size val="5"/>
            <c:spPr>
              <a:solidFill>
                <a:schemeClr val="tx1"/>
              </a:solidFill>
              <a:ln>
                <a:solidFill>
                  <a:schemeClr val="tx1"/>
                </a:solidFill>
              </a:ln>
            </c:spPr>
          </c:marker>
          <c:cat>
            <c:strRef>
              <c:f>Gráficos!$C$408</c:f>
              <c:strCache>
                <c:ptCount val="1"/>
                <c:pt idx="0">
                  <c:v>Prod. de Carne kg/cab</c:v>
                </c:pt>
              </c:strCache>
            </c:strRef>
          </c:cat>
          <c:val>
            <c:numRef>
              <c:f>Gráficos!$D$408</c:f>
              <c:numCache>
                <c:formatCode>0</c:formatCode>
                <c:ptCount val="1"/>
                <c:pt idx="0">
                  <c:v>0</c:v>
                </c:pt>
              </c:numCache>
            </c:numRef>
          </c:val>
          <c:smooth val="0"/>
          <c:extLst xmlns:c16r2="http://schemas.microsoft.com/office/drawing/2015/06/chart">
            <c:ext xmlns:c16="http://schemas.microsoft.com/office/drawing/2014/chart" uri="{C3380CC4-5D6E-409C-BE32-E72D297353CC}">
              <c16:uniqueId val="{00000001-579C-4B83-8369-74D2F29FA24B}"/>
            </c:ext>
          </c:extLst>
        </c:ser>
        <c:ser>
          <c:idx val="2"/>
          <c:order val="2"/>
          <c:tx>
            <c:strRef>
              <c:f>Gráficos!$G$404</c:f>
              <c:strCache>
                <c:ptCount val="1"/>
                <c:pt idx="0">
                  <c:v>Mín</c:v>
                </c:pt>
              </c:strCache>
            </c:strRef>
          </c:tx>
          <c:spPr>
            <a:ln w="28575">
              <a:noFill/>
            </a:ln>
          </c:spPr>
          <c:marker>
            <c:symbol val="dash"/>
            <c:size val="5"/>
            <c:spPr>
              <a:solidFill>
                <a:schemeClr val="tx1"/>
              </a:solidFill>
              <a:ln>
                <a:solidFill>
                  <a:schemeClr val="tx1"/>
                </a:solidFill>
              </a:ln>
            </c:spPr>
          </c:marker>
          <c:cat>
            <c:strRef>
              <c:f>Gráficos!$C$408</c:f>
              <c:strCache>
                <c:ptCount val="1"/>
                <c:pt idx="0">
                  <c:v>Prod. de Carne kg/cab</c:v>
                </c:pt>
              </c:strCache>
            </c:strRef>
          </c:cat>
          <c:val>
            <c:numRef>
              <c:f>Gráficos!$G$408</c:f>
              <c:numCache>
                <c:formatCode>0</c:formatCode>
                <c:ptCount val="1"/>
                <c:pt idx="0">
                  <c:v>0</c:v>
                </c:pt>
              </c:numCache>
            </c:numRef>
          </c:val>
          <c:smooth val="0"/>
          <c:extLst xmlns:c16r2="http://schemas.microsoft.com/office/drawing/2015/06/chart">
            <c:ext xmlns:c16="http://schemas.microsoft.com/office/drawing/2014/chart" uri="{C3380CC4-5D6E-409C-BE32-E72D297353CC}">
              <c16:uniqueId val="{00000002-579C-4B83-8369-74D2F29FA24B}"/>
            </c:ext>
          </c:extLst>
        </c:ser>
        <c:ser>
          <c:idx val="3"/>
          <c:order val="3"/>
          <c:tx>
            <c:strRef>
              <c:f>Gráficos!$F$404</c:f>
              <c:strCache>
                <c:ptCount val="1"/>
                <c:pt idx="0">
                  <c:v>3°Cuartil</c:v>
                </c:pt>
              </c:strCache>
            </c:strRef>
          </c:tx>
          <c:spPr>
            <a:ln w="28575">
              <a:noFill/>
            </a:ln>
          </c:spPr>
          <c:marker>
            <c:symbol val="none"/>
          </c:marker>
          <c:cat>
            <c:strRef>
              <c:f>Gráficos!$C$408</c:f>
              <c:strCache>
                <c:ptCount val="1"/>
                <c:pt idx="0">
                  <c:v>Prod. de Carne kg/cab</c:v>
                </c:pt>
              </c:strCache>
            </c:strRef>
          </c:cat>
          <c:val>
            <c:numRef>
              <c:f>Gráficos!$F$408</c:f>
              <c:numCache>
                <c:formatCode>0</c:formatCode>
                <c:ptCount val="1"/>
                <c:pt idx="0">
                  <c:v>0</c:v>
                </c:pt>
              </c:numCache>
            </c:numRef>
          </c:val>
          <c:smooth val="0"/>
          <c:extLst xmlns:c16r2="http://schemas.microsoft.com/office/drawing/2015/06/chart">
            <c:ext xmlns:c16="http://schemas.microsoft.com/office/drawing/2014/chart" uri="{C3380CC4-5D6E-409C-BE32-E72D297353CC}">
              <c16:uniqueId val="{00000003-579C-4B83-8369-74D2F29FA24B}"/>
            </c:ext>
          </c:extLst>
        </c:ser>
        <c:dLbls>
          <c:showLegendKey val="0"/>
          <c:showVal val="0"/>
          <c:showCatName val="0"/>
          <c:showSerName val="0"/>
          <c:showPercent val="0"/>
          <c:showBubbleSize val="0"/>
        </c:dLbls>
        <c:hiLowLines/>
        <c:upDownBars>
          <c:gapWidth val="150"/>
          <c:upBars/>
          <c:downBars>
            <c:spPr>
              <a:solidFill>
                <a:schemeClr val="bg1"/>
              </a:solidFill>
            </c:spPr>
          </c:downBars>
        </c:upDownBars>
        <c:axId val="1153684096"/>
        <c:axId val="1153651456"/>
      </c:stockChart>
      <c:stockChart>
        <c:ser>
          <c:idx val="4"/>
          <c:order val="4"/>
          <c:tx>
            <c:strRef>
              <c:f>Gráficos!$H$404</c:f>
              <c:strCache>
                <c:ptCount val="1"/>
                <c:pt idx="0">
                  <c:v>Promedio</c:v>
                </c:pt>
              </c:strCache>
            </c:strRef>
          </c:tx>
          <c:spPr>
            <a:ln w="28575">
              <a:noFill/>
            </a:ln>
          </c:spPr>
          <c:marker>
            <c:symbol val="circle"/>
            <c:size val="7"/>
            <c:spPr>
              <a:solidFill>
                <a:schemeClr val="tx1"/>
              </a:solidFill>
              <a:ln>
                <a:solidFill>
                  <a:schemeClr val="tx1"/>
                </a:solidFill>
              </a:ln>
            </c:spPr>
          </c:marker>
          <c:cat>
            <c:strRef>
              <c:f>Gráficos!$C$408</c:f>
              <c:strCache>
                <c:ptCount val="1"/>
                <c:pt idx="0">
                  <c:v>Prod. de Carne kg/cab</c:v>
                </c:pt>
              </c:strCache>
            </c:strRef>
          </c:cat>
          <c:val>
            <c:numRef>
              <c:f>Gráficos!$H$408</c:f>
              <c:numCache>
                <c:formatCode>0</c:formatCode>
                <c:ptCount val="1"/>
                <c:pt idx="0">
                  <c:v>0</c:v>
                </c:pt>
              </c:numCache>
            </c:numRef>
          </c:val>
          <c:smooth val="0"/>
          <c:extLst xmlns:c16r2="http://schemas.microsoft.com/office/drawing/2015/06/chart">
            <c:ext xmlns:c16="http://schemas.microsoft.com/office/drawing/2014/chart" uri="{C3380CC4-5D6E-409C-BE32-E72D297353CC}">
              <c16:uniqueId val="{00000004-579C-4B83-8369-74D2F29FA24B}"/>
            </c:ext>
          </c:extLst>
        </c:ser>
        <c:dLbls>
          <c:showLegendKey val="0"/>
          <c:showVal val="0"/>
          <c:showCatName val="0"/>
          <c:showSerName val="0"/>
          <c:showPercent val="0"/>
          <c:showBubbleSize val="0"/>
        </c:dLbls>
        <c:axId val="1153683552"/>
        <c:axId val="1153669408"/>
      </c:stockChart>
      <c:catAx>
        <c:axId val="1153684096"/>
        <c:scaling>
          <c:orientation val="minMax"/>
        </c:scaling>
        <c:delete val="0"/>
        <c:axPos val="b"/>
        <c:numFmt formatCode="General" sourceLinked="0"/>
        <c:majorTickMark val="out"/>
        <c:minorTickMark val="none"/>
        <c:tickLblPos val="nextTo"/>
        <c:crossAx val="1153651456"/>
        <c:crosses val="autoZero"/>
        <c:auto val="1"/>
        <c:lblAlgn val="ctr"/>
        <c:lblOffset val="100"/>
        <c:noMultiLvlLbl val="0"/>
      </c:catAx>
      <c:valAx>
        <c:axId val="1153651456"/>
        <c:scaling>
          <c:orientation val="minMax"/>
          <c:max val="500"/>
          <c:min val="0"/>
        </c:scaling>
        <c:delete val="0"/>
        <c:axPos val="l"/>
        <c:majorGridlines>
          <c:spPr>
            <a:ln>
              <a:solidFill>
                <a:schemeClr val="bg1">
                  <a:lumMod val="85000"/>
                </a:schemeClr>
              </a:solidFill>
              <a:prstDash val="sysDot"/>
            </a:ln>
          </c:spPr>
        </c:majorGridlines>
        <c:numFmt formatCode="0" sourceLinked="1"/>
        <c:majorTickMark val="out"/>
        <c:minorTickMark val="none"/>
        <c:tickLblPos val="nextTo"/>
        <c:crossAx val="1153684096"/>
        <c:crosses val="autoZero"/>
        <c:crossBetween val="between"/>
      </c:valAx>
      <c:valAx>
        <c:axId val="1153669408"/>
        <c:scaling>
          <c:orientation val="minMax"/>
          <c:max val="500"/>
          <c:min val="0"/>
        </c:scaling>
        <c:delete val="0"/>
        <c:axPos val="r"/>
        <c:numFmt formatCode="0" sourceLinked="1"/>
        <c:majorTickMark val="out"/>
        <c:minorTickMark val="none"/>
        <c:tickLblPos val="nextTo"/>
        <c:crossAx val="1153683552"/>
        <c:crosses val="max"/>
        <c:crossBetween val="between"/>
      </c:valAx>
      <c:catAx>
        <c:axId val="1153683552"/>
        <c:scaling>
          <c:orientation val="minMax"/>
        </c:scaling>
        <c:delete val="1"/>
        <c:axPos val="b"/>
        <c:numFmt formatCode="General" sourceLinked="1"/>
        <c:majorTickMark val="out"/>
        <c:minorTickMark val="none"/>
        <c:tickLblPos val="nextTo"/>
        <c:crossAx val="1153669408"/>
        <c:crosses val="autoZero"/>
        <c:auto val="1"/>
        <c:lblAlgn val="ctr"/>
        <c:lblOffset val="100"/>
        <c:noMultiLvlLbl val="0"/>
      </c:catAx>
    </c:plotArea>
    <c:legend>
      <c:legendPos val="t"/>
      <c:layout>
        <c:manualLayout>
          <c:xMode val="edge"/>
          <c:yMode val="edge"/>
          <c:x val="3.3030801252793889E-2"/>
          <c:y val="3.2784585909598013E-2"/>
          <c:w val="0.9669691987472061"/>
          <c:h val="9.6527802576558672E-2"/>
        </c:manualLayout>
      </c:layout>
      <c:overlay val="0"/>
    </c:legend>
    <c:plotVisOnly val="1"/>
    <c:dispBlanksAs val="gap"/>
    <c:showDLblsOverMax val="0"/>
  </c:chart>
  <c:spPr>
    <a:ln>
      <a:solidFill>
        <a:schemeClr val="bg1">
          <a:lumMod val="65000"/>
        </a:schemeClr>
      </a:solidFill>
    </a:ln>
  </c:spPr>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5313092676234"/>
          <c:y val="0.19308055929987267"/>
          <c:w val="0.6795946572505428"/>
          <c:h val="0.67428212728077674"/>
        </c:manualLayout>
      </c:layout>
      <c:stockChart>
        <c:ser>
          <c:idx val="0"/>
          <c:order val="0"/>
          <c:tx>
            <c:strRef>
              <c:f>Gráficos!$E$404</c:f>
              <c:strCache>
                <c:ptCount val="1"/>
                <c:pt idx="0">
                  <c:v>1° Cuartil</c:v>
                </c:pt>
              </c:strCache>
            </c:strRef>
          </c:tx>
          <c:spPr>
            <a:ln w="28575">
              <a:noFill/>
            </a:ln>
          </c:spPr>
          <c:marker>
            <c:symbol val="none"/>
          </c:marker>
          <c:cat>
            <c:strRef>
              <c:f>Gráficos!$C$409</c:f>
              <c:strCache>
                <c:ptCount val="1"/>
                <c:pt idx="0">
                  <c:v>Índice de conversión</c:v>
                </c:pt>
              </c:strCache>
            </c:strRef>
          </c:cat>
          <c:val>
            <c:numRef>
              <c:f>Gráficos!$E$409</c:f>
              <c:numCache>
                <c:formatCode>0</c:formatCode>
                <c:ptCount val="1"/>
                <c:pt idx="0">
                  <c:v>0</c:v>
                </c:pt>
              </c:numCache>
            </c:numRef>
          </c:val>
          <c:smooth val="0"/>
          <c:extLst xmlns:c16r2="http://schemas.microsoft.com/office/drawing/2015/06/chart">
            <c:ext xmlns:c16="http://schemas.microsoft.com/office/drawing/2014/chart" uri="{C3380CC4-5D6E-409C-BE32-E72D297353CC}">
              <c16:uniqueId val="{00000000-579C-4B83-8369-74D2F29FA24B}"/>
            </c:ext>
          </c:extLst>
        </c:ser>
        <c:ser>
          <c:idx val="1"/>
          <c:order val="1"/>
          <c:tx>
            <c:strRef>
              <c:f>Gráficos!$D$404</c:f>
              <c:strCache>
                <c:ptCount val="1"/>
                <c:pt idx="0">
                  <c:v>Máx</c:v>
                </c:pt>
              </c:strCache>
            </c:strRef>
          </c:tx>
          <c:spPr>
            <a:ln w="28575">
              <a:noFill/>
            </a:ln>
          </c:spPr>
          <c:marker>
            <c:symbol val="dash"/>
            <c:size val="5"/>
            <c:spPr>
              <a:solidFill>
                <a:schemeClr val="tx1"/>
              </a:solidFill>
              <a:ln>
                <a:solidFill>
                  <a:schemeClr val="tx1"/>
                </a:solidFill>
              </a:ln>
            </c:spPr>
          </c:marker>
          <c:cat>
            <c:strRef>
              <c:f>Gráficos!$C$409</c:f>
              <c:strCache>
                <c:ptCount val="1"/>
                <c:pt idx="0">
                  <c:v>Índice de conversión</c:v>
                </c:pt>
              </c:strCache>
            </c:strRef>
          </c:cat>
          <c:val>
            <c:numRef>
              <c:f>Gráficos!$D$409</c:f>
              <c:numCache>
                <c:formatCode>0</c:formatCode>
                <c:ptCount val="1"/>
                <c:pt idx="0">
                  <c:v>0</c:v>
                </c:pt>
              </c:numCache>
            </c:numRef>
          </c:val>
          <c:smooth val="0"/>
          <c:extLst xmlns:c16r2="http://schemas.microsoft.com/office/drawing/2015/06/chart">
            <c:ext xmlns:c16="http://schemas.microsoft.com/office/drawing/2014/chart" uri="{C3380CC4-5D6E-409C-BE32-E72D297353CC}">
              <c16:uniqueId val="{00000001-579C-4B83-8369-74D2F29FA24B}"/>
            </c:ext>
          </c:extLst>
        </c:ser>
        <c:ser>
          <c:idx val="2"/>
          <c:order val="2"/>
          <c:tx>
            <c:strRef>
              <c:f>Gráficos!$G$404</c:f>
              <c:strCache>
                <c:ptCount val="1"/>
                <c:pt idx="0">
                  <c:v>Mín</c:v>
                </c:pt>
              </c:strCache>
            </c:strRef>
          </c:tx>
          <c:spPr>
            <a:ln w="28575">
              <a:noFill/>
            </a:ln>
          </c:spPr>
          <c:marker>
            <c:symbol val="dash"/>
            <c:size val="5"/>
            <c:spPr>
              <a:solidFill>
                <a:schemeClr val="tx1"/>
              </a:solidFill>
              <a:ln>
                <a:solidFill>
                  <a:schemeClr val="tx1"/>
                </a:solidFill>
              </a:ln>
            </c:spPr>
          </c:marker>
          <c:cat>
            <c:strRef>
              <c:f>Gráficos!$C$409</c:f>
              <c:strCache>
                <c:ptCount val="1"/>
                <c:pt idx="0">
                  <c:v>Índice de conversión</c:v>
                </c:pt>
              </c:strCache>
            </c:strRef>
          </c:cat>
          <c:val>
            <c:numRef>
              <c:f>Gráficos!$G$409</c:f>
              <c:numCache>
                <c:formatCode>0</c:formatCode>
                <c:ptCount val="1"/>
                <c:pt idx="0">
                  <c:v>0</c:v>
                </c:pt>
              </c:numCache>
            </c:numRef>
          </c:val>
          <c:smooth val="0"/>
          <c:extLst xmlns:c16r2="http://schemas.microsoft.com/office/drawing/2015/06/chart">
            <c:ext xmlns:c16="http://schemas.microsoft.com/office/drawing/2014/chart" uri="{C3380CC4-5D6E-409C-BE32-E72D297353CC}">
              <c16:uniqueId val="{00000002-579C-4B83-8369-74D2F29FA24B}"/>
            </c:ext>
          </c:extLst>
        </c:ser>
        <c:ser>
          <c:idx val="3"/>
          <c:order val="3"/>
          <c:tx>
            <c:strRef>
              <c:f>Gráficos!$F$404</c:f>
              <c:strCache>
                <c:ptCount val="1"/>
                <c:pt idx="0">
                  <c:v>3°Cuartil</c:v>
                </c:pt>
              </c:strCache>
            </c:strRef>
          </c:tx>
          <c:spPr>
            <a:ln w="28575">
              <a:noFill/>
            </a:ln>
          </c:spPr>
          <c:marker>
            <c:symbol val="none"/>
          </c:marker>
          <c:cat>
            <c:strRef>
              <c:f>Gráficos!$C$409</c:f>
              <c:strCache>
                <c:ptCount val="1"/>
                <c:pt idx="0">
                  <c:v>Índice de conversión</c:v>
                </c:pt>
              </c:strCache>
            </c:strRef>
          </c:cat>
          <c:val>
            <c:numRef>
              <c:f>Gráficos!$F$409</c:f>
              <c:numCache>
                <c:formatCode>0</c:formatCode>
                <c:ptCount val="1"/>
                <c:pt idx="0">
                  <c:v>0</c:v>
                </c:pt>
              </c:numCache>
            </c:numRef>
          </c:val>
          <c:smooth val="0"/>
          <c:extLst xmlns:c16r2="http://schemas.microsoft.com/office/drawing/2015/06/chart">
            <c:ext xmlns:c16="http://schemas.microsoft.com/office/drawing/2014/chart" uri="{C3380CC4-5D6E-409C-BE32-E72D297353CC}">
              <c16:uniqueId val="{00000003-579C-4B83-8369-74D2F29FA24B}"/>
            </c:ext>
          </c:extLst>
        </c:ser>
        <c:dLbls>
          <c:showLegendKey val="0"/>
          <c:showVal val="0"/>
          <c:showCatName val="0"/>
          <c:showSerName val="0"/>
          <c:showPercent val="0"/>
          <c:showBubbleSize val="0"/>
        </c:dLbls>
        <c:hiLowLines/>
        <c:upDownBars>
          <c:gapWidth val="150"/>
          <c:upBars/>
          <c:downBars>
            <c:spPr>
              <a:solidFill>
                <a:schemeClr val="bg1"/>
              </a:solidFill>
            </c:spPr>
          </c:downBars>
        </c:upDownBars>
        <c:axId val="1153665056"/>
        <c:axId val="1153660704"/>
      </c:stockChart>
      <c:stockChart>
        <c:ser>
          <c:idx val="4"/>
          <c:order val="4"/>
          <c:tx>
            <c:strRef>
              <c:f>Gráficos!$H$404</c:f>
              <c:strCache>
                <c:ptCount val="1"/>
                <c:pt idx="0">
                  <c:v>Promedio</c:v>
                </c:pt>
              </c:strCache>
            </c:strRef>
          </c:tx>
          <c:spPr>
            <a:ln w="28575">
              <a:noFill/>
            </a:ln>
          </c:spPr>
          <c:marker>
            <c:symbol val="circle"/>
            <c:size val="7"/>
            <c:spPr>
              <a:solidFill>
                <a:schemeClr val="tx1"/>
              </a:solidFill>
              <a:ln>
                <a:solidFill>
                  <a:schemeClr val="tx1"/>
                </a:solidFill>
              </a:ln>
            </c:spPr>
          </c:marker>
          <c:cat>
            <c:strRef>
              <c:f>Gráficos!$C$409</c:f>
              <c:strCache>
                <c:ptCount val="1"/>
                <c:pt idx="0">
                  <c:v>Índice de conversión</c:v>
                </c:pt>
              </c:strCache>
            </c:strRef>
          </c:cat>
          <c:val>
            <c:numRef>
              <c:f>Gráficos!$H$409</c:f>
              <c:numCache>
                <c:formatCode>0</c:formatCode>
                <c:ptCount val="1"/>
                <c:pt idx="0">
                  <c:v>0</c:v>
                </c:pt>
              </c:numCache>
            </c:numRef>
          </c:val>
          <c:smooth val="0"/>
          <c:extLst xmlns:c16r2="http://schemas.microsoft.com/office/drawing/2015/06/chart">
            <c:ext xmlns:c16="http://schemas.microsoft.com/office/drawing/2014/chart" uri="{C3380CC4-5D6E-409C-BE32-E72D297353CC}">
              <c16:uniqueId val="{00000004-579C-4B83-8369-74D2F29FA24B}"/>
            </c:ext>
          </c:extLst>
        </c:ser>
        <c:dLbls>
          <c:showLegendKey val="0"/>
          <c:showVal val="0"/>
          <c:showCatName val="0"/>
          <c:showSerName val="0"/>
          <c:showPercent val="0"/>
          <c:showBubbleSize val="0"/>
        </c:dLbls>
        <c:axId val="1153680288"/>
        <c:axId val="1153672128"/>
      </c:stockChart>
      <c:catAx>
        <c:axId val="1153665056"/>
        <c:scaling>
          <c:orientation val="minMax"/>
        </c:scaling>
        <c:delete val="0"/>
        <c:axPos val="b"/>
        <c:numFmt formatCode="General" sourceLinked="0"/>
        <c:majorTickMark val="out"/>
        <c:minorTickMark val="none"/>
        <c:tickLblPos val="nextTo"/>
        <c:crossAx val="1153660704"/>
        <c:crosses val="autoZero"/>
        <c:auto val="1"/>
        <c:lblAlgn val="ctr"/>
        <c:lblOffset val="100"/>
        <c:noMultiLvlLbl val="0"/>
      </c:catAx>
      <c:valAx>
        <c:axId val="1153660704"/>
        <c:scaling>
          <c:orientation val="minMax"/>
          <c:max val="14"/>
        </c:scaling>
        <c:delete val="0"/>
        <c:axPos val="l"/>
        <c:majorGridlines>
          <c:spPr>
            <a:ln>
              <a:solidFill>
                <a:schemeClr val="bg1">
                  <a:lumMod val="85000"/>
                </a:schemeClr>
              </a:solidFill>
              <a:prstDash val="sysDot"/>
            </a:ln>
          </c:spPr>
        </c:majorGridlines>
        <c:numFmt formatCode="0" sourceLinked="1"/>
        <c:majorTickMark val="out"/>
        <c:minorTickMark val="none"/>
        <c:tickLblPos val="nextTo"/>
        <c:crossAx val="1153665056"/>
        <c:crosses val="autoZero"/>
        <c:crossBetween val="between"/>
      </c:valAx>
      <c:valAx>
        <c:axId val="1153672128"/>
        <c:scaling>
          <c:orientation val="minMax"/>
          <c:max val="14"/>
          <c:min val="0"/>
        </c:scaling>
        <c:delete val="0"/>
        <c:axPos val="r"/>
        <c:numFmt formatCode="0" sourceLinked="1"/>
        <c:majorTickMark val="out"/>
        <c:minorTickMark val="none"/>
        <c:tickLblPos val="nextTo"/>
        <c:crossAx val="1153680288"/>
        <c:crosses val="max"/>
        <c:crossBetween val="between"/>
      </c:valAx>
      <c:catAx>
        <c:axId val="1153680288"/>
        <c:scaling>
          <c:orientation val="minMax"/>
        </c:scaling>
        <c:delete val="1"/>
        <c:axPos val="b"/>
        <c:numFmt formatCode="General" sourceLinked="1"/>
        <c:majorTickMark val="out"/>
        <c:minorTickMark val="none"/>
        <c:tickLblPos val="nextTo"/>
        <c:crossAx val="1153672128"/>
        <c:crosses val="autoZero"/>
        <c:auto val="1"/>
        <c:lblAlgn val="ctr"/>
        <c:lblOffset val="100"/>
        <c:noMultiLvlLbl val="0"/>
      </c:catAx>
    </c:plotArea>
    <c:legend>
      <c:legendPos val="t"/>
      <c:layout>
        <c:manualLayout>
          <c:xMode val="edge"/>
          <c:yMode val="edge"/>
          <c:x val="3.3030801252793889E-2"/>
          <c:y val="3.2784585909598013E-2"/>
          <c:w val="0.9669691987472061"/>
          <c:h val="9.6527802576558672E-2"/>
        </c:manualLayout>
      </c:layout>
      <c:overlay val="0"/>
    </c:legend>
    <c:plotVisOnly val="1"/>
    <c:dispBlanksAs val="gap"/>
    <c:showDLblsOverMax val="0"/>
  </c:chart>
  <c:spPr>
    <a:ln>
      <a:solidFill>
        <a:schemeClr val="bg1">
          <a:lumMod val="65000"/>
        </a:schemeClr>
      </a:solid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_rels/drawing9.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7.xml.rels><?xml version="1.0" encoding="UTF-8" standalone="yes"?>
<Relationships xmlns="http://schemas.openxmlformats.org/package/2006/relationships"><Relationship Id="rId13" Type="http://schemas.openxmlformats.org/officeDocument/2006/relationships/chart" Target="../charts/chart11.xml"/><Relationship Id="rId18" Type="http://schemas.openxmlformats.org/officeDocument/2006/relationships/chart" Target="../charts/chart16.xml"/><Relationship Id="rId26" Type="http://schemas.openxmlformats.org/officeDocument/2006/relationships/chart" Target="../charts/chart24.xml"/><Relationship Id="rId39" Type="http://schemas.openxmlformats.org/officeDocument/2006/relationships/chart" Target="../charts/chart36.xml"/><Relationship Id="rId21" Type="http://schemas.openxmlformats.org/officeDocument/2006/relationships/chart" Target="../charts/chart19.xml"/><Relationship Id="rId34" Type="http://schemas.openxmlformats.org/officeDocument/2006/relationships/chart" Target="../charts/chart31.xml"/><Relationship Id="rId42" Type="http://schemas.openxmlformats.org/officeDocument/2006/relationships/chart" Target="../charts/chart39.xml"/><Relationship Id="rId47" Type="http://schemas.openxmlformats.org/officeDocument/2006/relationships/chart" Target="../charts/chart44.xml"/><Relationship Id="rId50" Type="http://schemas.openxmlformats.org/officeDocument/2006/relationships/image" Target="../media/image7.gif"/><Relationship Id="rId55" Type="http://schemas.openxmlformats.org/officeDocument/2006/relationships/image" Target="../media/image12.gif"/><Relationship Id="rId63" Type="http://schemas.openxmlformats.org/officeDocument/2006/relationships/image" Target="../media/image20.gif"/><Relationship Id="rId7" Type="http://schemas.openxmlformats.org/officeDocument/2006/relationships/chart" Target="../charts/chart5.xml"/><Relationship Id="rId2" Type="http://schemas.openxmlformats.org/officeDocument/2006/relationships/image" Target="../media/image4.png"/><Relationship Id="rId16" Type="http://schemas.openxmlformats.org/officeDocument/2006/relationships/chart" Target="../charts/chart14.xml"/><Relationship Id="rId29" Type="http://schemas.openxmlformats.org/officeDocument/2006/relationships/chart" Target="../charts/chart27.xml"/><Relationship Id="rId11" Type="http://schemas.openxmlformats.org/officeDocument/2006/relationships/chart" Target="../charts/chart9.xml"/><Relationship Id="rId24" Type="http://schemas.openxmlformats.org/officeDocument/2006/relationships/chart" Target="../charts/chart22.xml"/><Relationship Id="rId32" Type="http://schemas.openxmlformats.org/officeDocument/2006/relationships/chart" Target="../charts/chart30.xml"/><Relationship Id="rId37" Type="http://schemas.openxmlformats.org/officeDocument/2006/relationships/chart" Target="../charts/chart34.xml"/><Relationship Id="rId40" Type="http://schemas.openxmlformats.org/officeDocument/2006/relationships/chart" Target="../charts/chart37.xml"/><Relationship Id="rId45" Type="http://schemas.openxmlformats.org/officeDocument/2006/relationships/chart" Target="../charts/chart42.xml"/><Relationship Id="rId53" Type="http://schemas.openxmlformats.org/officeDocument/2006/relationships/image" Target="../media/image10.gif"/><Relationship Id="rId58" Type="http://schemas.openxmlformats.org/officeDocument/2006/relationships/image" Target="../media/image15.png"/><Relationship Id="rId5" Type="http://schemas.openxmlformats.org/officeDocument/2006/relationships/chart" Target="../charts/chart3.xml"/><Relationship Id="rId61" Type="http://schemas.openxmlformats.org/officeDocument/2006/relationships/image" Target="../media/image18.gif"/><Relationship Id="rId19" Type="http://schemas.openxmlformats.org/officeDocument/2006/relationships/chart" Target="../charts/chart17.xml"/><Relationship Id="rId14" Type="http://schemas.openxmlformats.org/officeDocument/2006/relationships/chart" Target="../charts/chart12.xml"/><Relationship Id="rId22" Type="http://schemas.openxmlformats.org/officeDocument/2006/relationships/chart" Target="../charts/chart20.xml"/><Relationship Id="rId27" Type="http://schemas.openxmlformats.org/officeDocument/2006/relationships/chart" Target="../charts/chart25.xml"/><Relationship Id="rId30" Type="http://schemas.openxmlformats.org/officeDocument/2006/relationships/chart" Target="../charts/chart28.xml"/><Relationship Id="rId35" Type="http://schemas.openxmlformats.org/officeDocument/2006/relationships/chart" Target="../charts/chart32.xml"/><Relationship Id="rId43" Type="http://schemas.openxmlformats.org/officeDocument/2006/relationships/chart" Target="../charts/chart40.xml"/><Relationship Id="rId48" Type="http://schemas.openxmlformats.org/officeDocument/2006/relationships/image" Target="../media/image5.png"/><Relationship Id="rId56" Type="http://schemas.openxmlformats.org/officeDocument/2006/relationships/image" Target="../media/image13.png"/><Relationship Id="rId8" Type="http://schemas.openxmlformats.org/officeDocument/2006/relationships/chart" Target="../charts/chart6.xml"/><Relationship Id="rId51" Type="http://schemas.openxmlformats.org/officeDocument/2006/relationships/image" Target="../media/image8.png"/><Relationship Id="rId3" Type="http://schemas.openxmlformats.org/officeDocument/2006/relationships/chart" Target="../charts/chart1.xml"/><Relationship Id="rId12" Type="http://schemas.openxmlformats.org/officeDocument/2006/relationships/chart" Target="../charts/chart10.xml"/><Relationship Id="rId17" Type="http://schemas.openxmlformats.org/officeDocument/2006/relationships/chart" Target="../charts/chart15.xml"/><Relationship Id="rId25" Type="http://schemas.openxmlformats.org/officeDocument/2006/relationships/chart" Target="../charts/chart23.xml"/><Relationship Id="rId33" Type="http://schemas.openxmlformats.org/officeDocument/2006/relationships/image" Target="../media/image1.jpeg"/><Relationship Id="rId38" Type="http://schemas.openxmlformats.org/officeDocument/2006/relationships/chart" Target="../charts/chart35.xml"/><Relationship Id="rId46" Type="http://schemas.openxmlformats.org/officeDocument/2006/relationships/chart" Target="../charts/chart43.xml"/><Relationship Id="rId59" Type="http://schemas.openxmlformats.org/officeDocument/2006/relationships/image" Target="../media/image16.png"/><Relationship Id="rId20" Type="http://schemas.openxmlformats.org/officeDocument/2006/relationships/chart" Target="../charts/chart18.xml"/><Relationship Id="rId41" Type="http://schemas.openxmlformats.org/officeDocument/2006/relationships/chart" Target="../charts/chart38.xml"/><Relationship Id="rId54" Type="http://schemas.openxmlformats.org/officeDocument/2006/relationships/image" Target="../media/image11.png"/><Relationship Id="rId62" Type="http://schemas.openxmlformats.org/officeDocument/2006/relationships/image" Target="../media/image19.png"/><Relationship Id="rId1" Type="http://schemas.openxmlformats.org/officeDocument/2006/relationships/image" Target="../media/image3.png"/><Relationship Id="rId6" Type="http://schemas.openxmlformats.org/officeDocument/2006/relationships/chart" Target="../charts/chart4.xml"/><Relationship Id="rId15" Type="http://schemas.openxmlformats.org/officeDocument/2006/relationships/chart" Target="../charts/chart13.xml"/><Relationship Id="rId23" Type="http://schemas.openxmlformats.org/officeDocument/2006/relationships/chart" Target="../charts/chart21.xml"/><Relationship Id="rId28" Type="http://schemas.openxmlformats.org/officeDocument/2006/relationships/chart" Target="../charts/chart26.xml"/><Relationship Id="rId36" Type="http://schemas.openxmlformats.org/officeDocument/2006/relationships/chart" Target="../charts/chart33.xml"/><Relationship Id="rId49" Type="http://schemas.openxmlformats.org/officeDocument/2006/relationships/image" Target="../media/image6.png"/><Relationship Id="rId57" Type="http://schemas.openxmlformats.org/officeDocument/2006/relationships/image" Target="../media/image14.jpeg"/><Relationship Id="rId10" Type="http://schemas.openxmlformats.org/officeDocument/2006/relationships/chart" Target="../charts/chart8.xml"/><Relationship Id="rId31" Type="http://schemas.openxmlformats.org/officeDocument/2006/relationships/chart" Target="../charts/chart29.xml"/><Relationship Id="rId44" Type="http://schemas.openxmlformats.org/officeDocument/2006/relationships/chart" Target="../charts/chart41.xml"/><Relationship Id="rId52" Type="http://schemas.openxmlformats.org/officeDocument/2006/relationships/image" Target="../media/image9.gif"/><Relationship Id="rId60" Type="http://schemas.openxmlformats.org/officeDocument/2006/relationships/image" Target="../media/image17.png"/><Relationship Id="rId4" Type="http://schemas.openxmlformats.org/officeDocument/2006/relationships/chart" Target="../charts/chart2.xml"/><Relationship Id="rId9" Type="http://schemas.openxmlformats.org/officeDocument/2006/relationships/chart" Target="../charts/chart7.xml"/></Relationships>
</file>

<file path=xl/drawings/_rels/drawing19.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1.png"/></Relationships>
</file>

<file path=xl/drawings/drawing1.xml><?xml version="1.0" encoding="utf-8"?>
<xdr:wsDr xmlns:xdr="http://schemas.openxmlformats.org/drawingml/2006/spreadsheetDrawing" xmlns:a="http://schemas.openxmlformats.org/drawingml/2006/main">
  <xdr:twoCellAnchor editAs="oneCell">
    <xdr:from>
      <xdr:col>15</xdr:col>
      <xdr:colOff>119708</xdr:colOff>
      <xdr:row>1</xdr:row>
      <xdr:rowOff>18573</xdr:rowOff>
    </xdr:from>
    <xdr:to>
      <xdr:col>16</xdr:col>
      <xdr:colOff>339424</xdr:colOff>
      <xdr:row>5</xdr:row>
      <xdr:rowOff>30773</xdr:rowOff>
    </xdr:to>
    <xdr:pic>
      <xdr:nvPicPr>
        <xdr:cNvPr id="2" name="1 Imagen"/>
        <xdr:cNvPicPr>
          <a:picLocks noChangeAspect="1"/>
        </xdr:cNvPicPr>
      </xdr:nvPicPr>
      <xdr:blipFill>
        <a:blip xmlns:r="http://schemas.openxmlformats.org/officeDocument/2006/relationships" r:embed="rId1"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10568633" y="209073"/>
          <a:ext cx="981716" cy="8027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412750</xdr:colOff>
      <xdr:row>1</xdr:row>
      <xdr:rowOff>190499</xdr:rowOff>
    </xdr:from>
    <xdr:to>
      <xdr:col>14</xdr:col>
      <xdr:colOff>575995</xdr:colOff>
      <xdr:row>4</xdr:row>
      <xdr:rowOff>279375</xdr:rowOff>
    </xdr:to>
    <xdr:pic>
      <xdr:nvPicPr>
        <xdr:cNvPr id="2" name="1 Imagen"/>
        <xdr:cNvPicPr>
          <a:picLocks noChangeAspect="1"/>
        </xdr:cNvPicPr>
      </xdr:nvPicPr>
      <xdr:blipFill>
        <a:blip xmlns:r="http://schemas.openxmlformats.org/officeDocument/2006/relationships" r:embed="rId1" cstate="email">
          <a:clrChange>
            <a:clrFrom>
              <a:srgbClr val="FFFFFF"/>
            </a:clrFrom>
            <a:clrTo>
              <a:srgbClr val="FFFFFF">
                <a:alpha val="0"/>
              </a:srgbClr>
            </a:clrTo>
          </a:clrChange>
          <a:extLst>
            <a:ext uri="{28A0092B-C50C-407E-A947-70E740481C1C}">
              <a14:useLocalDpi xmlns:a14="http://schemas.microsoft.com/office/drawing/2010/main"/>
            </a:ext>
          </a:extLst>
        </a:blip>
        <a:stretch>
          <a:fillRect/>
        </a:stretch>
      </xdr:blipFill>
      <xdr:spPr>
        <a:xfrm>
          <a:off x="12424833" y="380999"/>
          <a:ext cx="925245" cy="69212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13</xdr:col>
      <xdr:colOff>412750</xdr:colOff>
      <xdr:row>1</xdr:row>
      <xdr:rowOff>190499</xdr:rowOff>
    </xdr:from>
    <xdr:to>
      <xdr:col>14</xdr:col>
      <xdr:colOff>575995</xdr:colOff>
      <xdr:row>4</xdr:row>
      <xdr:rowOff>279375</xdr:rowOff>
    </xdr:to>
    <xdr:pic>
      <xdr:nvPicPr>
        <xdr:cNvPr id="2" name="1 Imagen"/>
        <xdr:cNvPicPr>
          <a:picLocks noChangeAspect="1"/>
        </xdr:cNvPicPr>
      </xdr:nvPicPr>
      <xdr:blipFill>
        <a:blip xmlns:r="http://schemas.openxmlformats.org/officeDocument/2006/relationships" r:embed="rId1" cstate="email">
          <a:clrChange>
            <a:clrFrom>
              <a:srgbClr val="FFFFFF"/>
            </a:clrFrom>
            <a:clrTo>
              <a:srgbClr val="FFFFFF">
                <a:alpha val="0"/>
              </a:srgbClr>
            </a:clrTo>
          </a:clrChange>
          <a:extLst>
            <a:ext uri="{28A0092B-C50C-407E-A947-70E740481C1C}">
              <a14:useLocalDpi xmlns:a14="http://schemas.microsoft.com/office/drawing/2010/main"/>
            </a:ext>
          </a:extLst>
        </a:blip>
        <a:stretch>
          <a:fillRect/>
        </a:stretch>
      </xdr:blipFill>
      <xdr:spPr>
        <a:xfrm>
          <a:off x="12947650" y="374649"/>
          <a:ext cx="963345" cy="67942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13</xdr:col>
      <xdr:colOff>412750</xdr:colOff>
      <xdr:row>1</xdr:row>
      <xdr:rowOff>190499</xdr:rowOff>
    </xdr:from>
    <xdr:to>
      <xdr:col>14</xdr:col>
      <xdr:colOff>575995</xdr:colOff>
      <xdr:row>4</xdr:row>
      <xdr:rowOff>279375</xdr:rowOff>
    </xdr:to>
    <xdr:pic>
      <xdr:nvPicPr>
        <xdr:cNvPr id="2" name="1 Imagen"/>
        <xdr:cNvPicPr>
          <a:picLocks noChangeAspect="1"/>
        </xdr:cNvPicPr>
      </xdr:nvPicPr>
      <xdr:blipFill>
        <a:blip xmlns:r="http://schemas.openxmlformats.org/officeDocument/2006/relationships" r:embed="rId1" cstate="email">
          <a:clrChange>
            <a:clrFrom>
              <a:srgbClr val="FFFFFF"/>
            </a:clrFrom>
            <a:clrTo>
              <a:srgbClr val="FFFFFF">
                <a:alpha val="0"/>
              </a:srgbClr>
            </a:clrTo>
          </a:clrChange>
          <a:extLst>
            <a:ext uri="{28A0092B-C50C-407E-A947-70E740481C1C}">
              <a14:useLocalDpi xmlns:a14="http://schemas.microsoft.com/office/drawing/2010/main"/>
            </a:ext>
          </a:extLst>
        </a:blip>
        <a:stretch>
          <a:fillRect/>
        </a:stretch>
      </xdr:blipFill>
      <xdr:spPr>
        <a:xfrm>
          <a:off x="12947650" y="374649"/>
          <a:ext cx="963345" cy="67942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13</xdr:col>
      <xdr:colOff>412750</xdr:colOff>
      <xdr:row>1</xdr:row>
      <xdr:rowOff>190499</xdr:rowOff>
    </xdr:from>
    <xdr:to>
      <xdr:col>14</xdr:col>
      <xdr:colOff>575995</xdr:colOff>
      <xdr:row>4</xdr:row>
      <xdr:rowOff>279375</xdr:rowOff>
    </xdr:to>
    <xdr:pic>
      <xdr:nvPicPr>
        <xdr:cNvPr id="2" name="1 Imagen"/>
        <xdr:cNvPicPr>
          <a:picLocks noChangeAspect="1"/>
        </xdr:cNvPicPr>
      </xdr:nvPicPr>
      <xdr:blipFill>
        <a:blip xmlns:r="http://schemas.openxmlformats.org/officeDocument/2006/relationships" r:embed="rId1" cstate="email">
          <a:clrChange>
            <a:clrFrom>
              <a:srgbClr val="FFFFFF"/>
            </a:clrFrom>
            <a:clrTo>
              <a:srgbClr val="FFFFFF">
                <a:alpha val="0"/>
              </a:srgbClr>
            </a:clrTo>
          </a:clrChange>
          <a:extLst>
            <a:ext uri="{28A0092B-C50C-407E-A947-70E740481C1C}">
              <a14:useLocalDpi xmlns:a14="http://schemas.microsoft.com/office/drawing/2010/main"/>
            </a:ext>
          </a:extLst>
        </a:blip>
        <a:stretch>
          <a:fillRect/>
        </a:stretch>
      </xdr:blipFill>
      <xdr:spPr>
        <a:xfrm>
          <a:off x="12947650" y="374649"/>
          <a:ext cx="963345" cy="67942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13</xdr:col>
      <xdr:colOff>412750</xdr:colOff>
      <xdr:row>1</xdr:row>
      <xdr:rowOff>190499</xdr:rowOff>
    </xdr:from>
    <xdr:to>
      <xdr:col>14</xdr:col>
      <xdr:colOff>575995</xdr:colOff>
      <xdr:row>4</xdr:row>
      <xdr:rowOff>279375</xdr:rowOff>
    </xdr:to>
    <xdr:pic>
      <xdr:nvPicPr>
        <xdr:cNvPr id="2" name="1 Imagen"/>
        <xdr:cNvPicPr>
          <a:picLocks noChangeAspect="1"/>
        </xdr:cNvPicPr>
      </xdr:nvPicPr>
      <xdr:blipFill>
        <a:blip xmlns:r="http://schemas.openxmlformats.org/officeDocument/2006/relationships" r:embed="rId1" cstate="email">
          <a:clrChange>
            <a:clrFrom>
              <a:srgbClr val="FFFFFF"/>
            </a:clrFrom>
            <a:clrTo>
              <a:srgbClr val="FFFFFF">
                <a:alpha val="0"/>
              </a:srgbClr>
            </a:clrTo>
          </a:clrChange>
          <a:extLst>
            <a:ext uri="{28A0092B-C50C-407E-A947-70E740481C1C}">
              <a14:useLocalDpi xmlns:a14="http://schemas.microsoft.com/office/drawing/2010/main"/>
            </a:ext>
          </a:extLst>
        </a:blip>
        <a:stretch>
          <a:fillRect/>
        </a:stretch>
      </xdr:blipFill>
      <xdr:spPr>
        <a:xfrm>
          <a:off x="12947650" y="374649"/>
          <a:ext cx="963345" cy="67942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13</xdr:col>
      <xdr:colOff>412750</xdr:colOff>
      <xdr:row>1</xdr:row>
      <xdr:rowOff>190499</xdr:rowOff>
    </xdr:from>
    <xdr:to>
      <xdr:col>14</xdr:col>
      <xdr:colOff>575995</xdr:colOff>
      <xdr:row>4</xdr:row>
      <xdr:rowOff>279375</xdr:rowOff>
    </xdr:to>
    <xdr:pic>
      <xdr:nvPicPr>
        <xdr:cNvPr id="2" name="1 Imagen"/>
        <xdr:cNvPicPr>
          <a:picLocks noChangeAspect="1"/>
        </xdr:cNvPicPr>
      </xdr:nvPicPr>
      <xdr:blipFill>
        <a:blip xmlns:r="http://schemas.openxmlformats.org/officeDocument/2006/relationships" r:embed="rId1" cstate="email">
          <a:clrChange>
            <a:clrFrom>
              <a:srgbClr val="FFFFFF"/>
            </a:clrFrom>
            <a:clrTo>
              <a:srgbClr val="FFFFFF">
                <a:alpha val="0"/>
              </a:srgbClr>
            </a:clrTo>
          </a:clrChange>
          <a:extLst>
            <a:ext uri="{28A0092B-C50C-407E-A947-70E740481C1C}">
              <a14:useLocalDpi xmlns:a14="http://schemas.microsoft.com/office/drawing/2010/main"/>
            </a:ext>
          </a:extLst>
        </a:blip>
        <a:stretch>
          <a:fillRect/>
        </a:stretch>
      </xdr:blipFill>
      <xdr:spPr>
        <a:xfrm>
          <a:off x="12947650" y="374649"/>
          <a:ext cx="963345" cy="679426"/>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13</xdr:col>
      <xdr:colOff>412750</xdr:colOff>
      <xdr:row>1</xdr:row>
      <xdr:rowOff>190499</xdr:rowOff>
    </xdr:from>
    <xdr:to>
      <xdr:col>14</xdr:col>
      <xdr:colOff>575995</xdr:colOff>
      <xdr:row>4</xdr:row>
      <xdr:rowOff>279375</xdr:rowOff>
    </xdr:to>
    <xdr:pic>
      <xdr:nvPicPr>
        <xdr:cNvPr id="2" name="1 Imagen"/>
        <xdr:cNvPicPr>
          <a:picLocks noChangeAspect="1"/>
        </xdr:cNvPicPr>
      </xdr:nvPicPr>
      <xdr:blipFill>
        <a:blip xmlns:r="http://schemas.openxmlformats.org/officeDocument/2006/relationships" r:embed="rId1" cstate="email">
          <a:clrChange>
            <a:clrFrom>
              <a:srgbClr val="FFFFFF"/>
            </a:clrFrom>
            <a:clrTo>
              <a:srgbClr val="FFFFFF">
                <a:alpha val="0"/>
              </a:srgbClr>
            </a:clrTo>
          </a:clrChange>
          <a:extLst>
            <a:ext uri="{28A0092B-C50C-407E-A947-70E740481C1C}">
              <a14:useLocalDpi xmlns:a14="http://schemas.microsoft.com/office/drawing/2010/main"/>
            </a:ext>
          </a:extLst>
        </a:blip>
        <a:stretch>
          <a:fillRect/>
        </a:stretch>
      </xdr:blipFill>
      <xdr:spPr>
        <a:xfrm>
          <a:off x="12947650" y="374649"/>
          <a:ext cx="963345" cy="679426"/>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13</xdr:col>
      <xdr:colOff>412750</xdr:colOff>
      <xdr:row>1</xdr:row>
      <xdr:rowOff>190499</xdr:rowOff>
    </xdr:from>
    <xdr:to>
      <xdr:col>14</xdr:col>
      <xdr:colOff>575995</xdr:colOff>
      <xdr:row>4</xdr:row>
      <xdr:rowOff>279375</xdr:rowOff>
    </xdr:to>
    <xdr:pic>
      <xdr:nvPicPr>
        <xdr:cNvPr id="2" name="1 Imagen"/>
        <xdr:cNvPicPr>
          <a:picLocks noChangeAspect="1"/>
        </xdr:cNvPicPr>
      </xdr:nvPicPr>
      <xdr:blipFill>
        <a:blip xmlns:r="http://schemas.openxmlformats.org/officeDocument/2006/relationships" r:embed="rId1" cstate="email">
          <a:clrChange>
            <a:clrFrom>
              <a:srgbClr val="FFFFFF"/>
            </a:clrFrom>
            <a:clrTo>
              <a:srgbClr val="FFFFFF">
                <a:alpha val="0"/>
              </a:srgbClr>
            </a:clrTo>
          </a:clrChange>
          <a:extLst>
            <a:ext uri="{28A0092B-C50C-407E-A947-70E740481C1C}">
              <a14:useLocalDpi xmlns:a14="http://schemas.microsoft.com/office/drawing/2010/main"/>
            </a:ext>
          </a:extLst>
        </a:blip>
        <a:stretch>
          <a:fillRect/>
        </a:stretch>
      </xdr:blipFill>
      <xdr:spPr>
        <a:xfrm>
          <a:off x="12947650" y="374649"/>
          <a:ext cx="963345" cy="679426"/>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13</xdr:col>
      <xdr:colOff>412750</xdr:colOff>
      <xdr:row>1</xdr:row>
      <xdr:rowOff>190499</xdr:rowOff>
    </xdr:from>
    <xdr:to>
      <xdr:col>14</xdr:col>
      <xdr:colOff>575995</xdr:colOff>
      <xdr:row>4</xdr:row>
      <xdr:rowOff>279375</xdr:rowOff>
    </xdr:to>
    <xdr:pic>
      <xdr:nvPicPr>
        <xdr:cNvPr id="2" name="1 Imagen"/>
        <xdr:cNvPicPr>
          <a:picLocks noChangeAspect="1"/>
        </xdr:cNvPicPr>
      </xdr:nvPicPr>
      <xdr:blipFill>
        <a:blip xmlns:r="http://schemas.openxmlformats.org/officeDocument/2006/relationships" r:embed="rId1" cstate="email">
          <a:clrChange>
            <a:clrFrom>
              <a:srgbClr val="FFFFFF"/>
            </a:clrFrom>
            <a:clrTo>
              <a:srgbClr val="FFFFFF">
                <a:alpha val="0"/>
              </a:srgbClr>
            </a:clrTo>
          </a:clrChange>
          <a:extLst>
            <a:ext uri="{28A0092B-C50C-407E-A947-70E740481C1C}">
              <a14:useLocalDpi xmlns:a14="http://schemas.microsoft.com/office/drawing/2010/main"/>
            </a:ext>
          </a:extLst>
        </a:blip>
        <a:stretch>
          <a:fillRect/>
        </a:stretch>
      </xdr:blipFill>
      <xdr:spPr>
        <a:xfrm>
          <a:off x="12947650" y="374649"/>
          <a:ext cx="963345" cy="679426"/>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13</xdr:col>
      <xdr:colOff>412750</xdr:colOff>
      <xdr:row>1</xdr:row>
      <xdr:rowOff>190499</xdr:rowOff>
    </xdr:from>
    <xdr:to>
      <xdr:col>14</xdr:col>
      <xdr:colOff>575995</xdr:colOff>
      <xdr:row>4</xdr:row>
      <xdr:rowOff>279375</xdr:rowOff>
    </xdr:to>
    <xdr:pic>
      <xdr:nvPicPr>
        <xdr:cNvPr id="2" name="1 Imagen"/>
        <xdr:cNvPicPr>
          <a:picLocks noChangeAspect="1"/>
        </xdr:cNvPicPr>
      </xdr:nvPicPr>
      <xdr:blipFill>
        <a:blip xmlns:r="http://schemas.openxmlformats.org/officeDocument/2006/relationships" r:embed="rId1" cstate="email">
          <a:clrChange>
            <a:clrFrom>
              <a:srgbClr val="FFFFFF"/>
            </a:clrFrom>
            <a:clrTo>
              <a:srgbClr val="FFFFFF">
                <a:alpha val="0"/>
              </a:srgbClr>
            </a:clrTo>
          </a:clrChange>
          <a:extLst>
            <a:ext uri="{28A0092B-C50C-407E-A947-70E740481C1C}">
              <a14:useLocalDpi xmlns:a14="http://schemas.microsoft.com/office/drawing/2010/main"/>
            </a:ext>
          </a:extLst>
        </a:blip>
        <a:stretch>
          <a:fillRect/>
        </a:stretch>
      </xdr:blipFill>
      <xdr:spPr>
        <a:xfrm>
          <a:off x="12947650" y="374649"/>
          <a:ext cx="963345" cy="679426"/>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13</xdr:col>
      <xdr:colOff>412750</xdr:colOff>
      <xdr:row>1</xdr:row>
      <xdr:rowOff>190499</xdr:rowOff>
    </xdr:from>
    <xdr:to>
      <xdr:col>14</xdr:col>
      <xdr:colOff>575995</xdr:colOff>
      <xdr:row>4</xdr:row>
      <xdr:rowOff>279375</xdr:rowOff>
    </xdr:to>
    <xdr:pic>
      <xdr:nvPicPr>
        <xdr:cNvPr id="2" name="1 Imagen"/>
        <xdr:cNvPicPr>
          <a:picLocks noChangeAspect="1"/>
        </xdr:cNvPicPr>
      </xdr:nvPicPr>
      <xdr:blipFill>
        <a:blip xmlns:r="http://schemas.openxmlformats.org/officeDocument/2006/relationships" r:embed="rId1" cstate="email">
          <a:clrChange>
            <a:clrFrom>
              <a:srgbClr val="FFFFFF"/>
            </a:clrFrom>
            <a:clrTo>
              <a:srgbClr val="FFFFFF">
                <a:alpha val="0"/>
              </a:srgbClr>
            </a:clrTo>
          </a:clrChange>
          <a:extLst>
            <a:ext uri="{28A0092B-C50C-407E-A947-70E740481C1C}">
              <a14:useLocalDpi xmlns:a14="http://schemas.microsoft.com/office/drawing/2010/main"/>
            </a:ext>
          </a:extLst>
        </a:blip>
        <a:stretch>
          <a:fillRect/>
        </a:stretch>
      </xdr:blipFill>
      <xdr:spPr>
        <a:xfrm>
          <a:off x="12947650" y="374649"/>
          <a:ext cx="963345" cy="679426"/>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13</xdr:col>
      <xdr:colOff>412750</xdr:colOff>
      <xdr:row>1</xdr:row>
      <xdr:rowOff>190499</xdr:rowOff>
    </xdr:from>
    <xdr:to>
      <xdr:col>14</xdr:col>
      <xdr:colOff>575995</xdr:colOff>
      <xdr:row>4</xdr:row>
      <xdr:rowOff>279375</xdr:rowOff>
    </xdr:to>
    <xdr:pic>
      <xdr:nvPicPr>
        <xdr:cNvPr id="2" name="1 Imagen"/>
        <xdr:cNvPicPr>
          <a:picLocks noChangeAspect="1"/>
        </xdr:cNvPicPr>
      </xdr:nvPicPr>
      <xdr:blipFill>
        <a:blip xmlns:r="http://schemas.openxmlformats.org/officeDocument/2006/relationships" r:embed="rId1" cstate="email">
          <a:clrChange>
            <a:clrFrom>
              <a:srgbClr val="FFFFFF"/>
            </a:clrFrom>
            <a:clrTo>
              <a:srgbClr val="FFFFFF">
                <a:alpha val="0"/>
              </a:srgbClr>
            </a:clrTo>
          </a:clrChange>
          <a:extLst>
            <a:ext uri="{28A0092B-C50C-407E-A947-70E740481C1C}">
              <a14:useLocalDpi xmlns:a14="http://schemas.microsoft.com/office/drawing/2010/main"/>
            </a:ext>
          </a:extLst>
        </a:blip>
        <a:stretch>
          <a:fillRect/>
        </a:stretch>
      </xdr:blipFill>
      <xdr:spPr>
        <a:xfrm>
          <a:off x="12947650" y="374649"/>
          <a:ext cx="963345" cy="679426"/>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13</xdr:col>
      <xdr:colOff>412750</xdr:colOff>
      <xdr:row>1</xdr:row>
      <xdr:rowOff>190499</xdr:rowOff>
    </xdr:from>
    <xdr:to>
      <xdr:col>14</xdr:col>
      <xdr:colOff>575995</xdr:colOff>
      <xdr:row>4</xdr:row>
      <xdr:rowOff>279375</xdr:rowOff>
    </xdr:to>
    <xdr:pic>
      <xdr:nvPicPr>
        <xdr:cNvPr id="2" name="1 Imagen"/>
        <xdr:cNvPicPr>
          <a:picLocks noChangeAspect="1"/>
        </xdr:cNvPicPr>
      </xdr:nvPicPr>
      <xdr:blipFill>
        <a:blip xmlns:r="http://schemas.openxmlformats.org/officeDocument/2006/relationships" r:embed="rId1" cstate="email">
          <a:clrChange>
            <a:clrFrom>
              <a:srgbClr val="FFFFFF"/>
            </a:clrFrom>
            <a:clrTo>
              <a:srgbClr val="FFFFFF">
                <a:alpha val="0"/>
              </a:srgbClr>
            </a:clrTo>
          </a:clrChange>
          <a:extLst>
            <a:ext uri="{28A0092B-C50C-407E-A947-70E740481C1C}">
              <a14:useLocalDpi xmlns:a14="http://schemas.microsoft.com/office/drawing/2010/main"/>
            </a:ext>
          </a:extLst>
        </a:blip>
        <a:stretch>
          <a:fillRect/>
        </a:stretch>
      </xdr:blipFill>
      <xdr:spPr>
        <a:xfrm>
          <a:off x="12947650" y="374649"/>
          <a:ext cx="963345" cy="679426"/>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13</xdr:col>
      <xdr:colOff>412750</xdr:colOff>
      <xdr:row>1</xdr:row>
      <xdr:rowOff>190499</xdr:rowOff>
    </xdr:from>
    <xdr:to>
      <xdr:col>14</xdr:col>
      <xdr:colOff>575995</xdr:colOff>
      <xdr:row>4</xdr:row>
      <xdr:rowOff>279375</xdr:rowOff>
    </xdr:to>
    <xdr:pic>
      <xdr:nvPicPr>
        <xdr:cNvPr id="2" name="1 Imagen"/>
        <xdr:cNvPicPr>
          <a:picLocks noChangeAspect="1"/>
        </xdr:cNvPicPr>
      </xdr:nvPicPr>
      <xdr:blipFill>
        <a:blip xmlns:r="http://schemas.openxmlformats.org/officeDocument/2006/relationships" r:embed="rId1" cstate="email">
          <a:clrChange>
            <a:clrFrom>
              <a:srgbClr val="FFFFFF"/>
            </a:clrFrom>
            <a:clrTo>
              <a:srgbClr val="FFFFFF">
                <a:alpha val="0"/>
              </a:srgbClr>
            </a:clrTo>
          </a:clrChange>
          <a:extLst>
            <a:ext uri="{28A0092B-C50C-407E-A947-70E740481C1C}">
              <a14:useLocalDpi xmlns:a14="http://schemas.microsoft.com/office/drawing/2010/main"/>
            </a:ext>
          </a:extLst>
        </a:blip>
        <a:stretch>
          <a:fillRect/>
        </a:stretch>
      </xdr:blipFill>
      <xdr:spPr>
        <a:xfrm>
          <a:off x="12947650" y="374649"/>
          <a:ext cx="963345" cy="679426"/>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13</xdr:col>
      <xdr:colOff>412750</xdr:colOff>
      <xdr:row>1</xdr:row>
      <xdr:rowOff>190499</xdr:rowOff>
    </xdr:from>
    <xdr:to>
      <xdr:col>14</xdr:col>
      <xdr:colOff>575995</xdr:colOff>
      <xdr:row>4</xdr:row>
      <xdr:rowOff>279375</xdr:rowOff>
    </xdr:to>
    <xdr:pic>
      <xdr:nvPicPr>
        <xdr:cNvPr id="2" name="1 Imagen"/>
        <xdr:cNvPicPr>
          <a:picLocks noChangeAspect="1"/>
        </xdr:cNvPicPr>
      </xdr:nvPicPr>
      <xdr:blipFill>
        <a:blip xmlns:r="http://schemas.openxmlformats.org/officeDocument/2006/relationships" r:embed="rId1" cstate="email">
          <a:clrChange>
            <a:clrFrom>
              <a:srgbClr val="FFFFFF"/>
            </a:clrFrom>
            <a:clrTo>
              <a:srgbClr val="FFFFFF">
                <a:alpha val="0"/>
              </a:srgbClr>
            </a:clrTo>
          </a:clrChange>
          <a:extLst>
            <a:ext uri="{28A0092B-C50C-407E-A947-70E740481C1C}">
              <a14:useLocalDpi xmlns:a14="http://schemas.microsoft.com/office/drawing/2010/main"/>
            </a:ext>
          </a:extLst>
        </a:blip>
        <a:stretch>
          <a:fillRect/>
        </a:stretch>
      </xdr:blipFill>
      <xdr:spPr>
        <a:xfrm>
          <a:off x="12947650" y="374649"/>
          <a:ext cx="963345" cy="679426"/>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xdr:from>
      <xdr:col>15</xdr:col>
      <xdr:colOff>544607</xdr:colOff>
      <xdr:row>247</xdr:row>
      <xdr:rowOff>17929</xdr:rowOff>
    </xdr:from>
    <xdr:to>
      <xdr:col>17</xdr:col>
      <xdr:colOff>426697</xdr:colOff>
      <xdr:row>250</xdr:row>
      <xdr:rowOff>50827</xdr:rowOff>
    </xdr:to>
    <xdr:grpSp>
      <xdr:nvGrpSpPr>
        <xdr:cNvPr id="211" name="57 Grupo"/>
        <xdr:cNvGrpSpPr/>
      </xdr:nvGrpSpPr>
      <xdr:grpSpPr>
        <a:xfrm>
          <a:off x="13057842" y="46903341"/>
          <a:ext cx="1480796" cy="593192"/>
          <a:chOff x="6880686" y="3500438"/>
          <a:chExt cx="1406090" cy="604398"/>
        </a:xfrm>
      </xdr:grpSpPr>
      <xdr:pic>
        <xdr:nvPicPr>
          <xdr:cNvPr id="212" name="75 Imagen" descr="Peanuts_66.png"/>
          <xdr:cNvPicPr>
            <a:picLocks noChangeAspect="1"/>
          </xdr:cNvPicPr>
        </xdr:nvPicPr>
        <xdr:blipFill>
          <a:blip xmlns:r="http://schemas.openxmlformats.org/officeDocument/2006/relationships" r:embed="rId1" cstate="print"/>
          <a:stretch>
            <a:fillRect/>
          </a:stretch>
        </xdr:blipFill>
        <xdr:spPr>
          <a:xfrm>
            <a:off x="7535999" y="3500438"/>
            <a:ext cx="750777" cy="451998"/>
          </a:xfrm>
          <a:prstGeom prst="rect">
            <a:avLst/>
          </a:prstGeom>
        </xdr:spPr>
      </xdr:pic>
      <xdr:pic>
        <xdr:nvPicPr>
          <xdr:cNvPr id="213" name="76 Imagen" descr="Peanuts_66.png"/>
          <xdr:cNvPicPr>
            <a:picLocks noChangeAspect="1"/>
          </xdr:cNvPicPr>
        </xdr:nvPicPr>
        <xdr:blipFill>
          <a:blip xmlns:r="http://schemas.openxmlformats.org/officeDocument/2006/relationships" r:embed="rId1" cstate="print"/>
          <a:stretch>
            <a:fillRect/>
          </a:stretch>
        </xdr:blipFill>
        <xdr:spPr>
          <a:xfrm>
            <a:off x="6880686" y="3500438"/>
            <a:ext cx="750777" cy="451998"/>
          </a:xfrm>
          <a:prstGeom prst="rect">
            <a:avLst/>
          </a:prstGeom>
        </xdr:spPr>
      </xdr:pic>
      <xdr:pic>
        <xdr:nvPicPr>
          <xdr:cNvPr id="214" name="77 Imagen" descr="Peanuts_66.png"/>
          <xdr:cNvPicPr>
            <a:picLocks noChangeAspect="1"/>
          </xdr:cNvPicPr>
        </xdr:nvPicPr>
        <xdr:blipFill>
          <a:blip xmlns:r="http://schemas.openxmlformats.org/officeDocument/2006/relationships" r:embed="rId1" cstate="print"/>
          <a:stretch>
            <a:fillRect/>
          </a:stretch>
        </xdr:blipFill>
        <xdr:spPr>
          <a:xfrm>
            <a:off x="7215206" y="3652838"/>
            <a:ext cx="750777" cy="451998"/>
          </a:xfrm>
          <a:prstGeom prst="rect">
            <a:avLst/>
          </a:prstGeom>
        </xdr:spPr>
      </xdr:pic>
    </xdr:grpSp>
    <xdr:clientData/>
  </xdr:twoCellAnchor>
  <xdr:twoCellAnchor editAs="oneCell">
    <xdr:from>
      <xdr:col>16</xdr:col>
      <xdr:colOff>78441</xdr:colOff>
      <xdr:row>140</xdr:row>
      <xdr:rowOff>134471</xdr:rowOff>
    </xdr:from>
    <xdr:to>
      <xdr:col>17</xdr:col>
      <xdr:colOff>552854</xdr:colOff>
      <xdr:row>147</xdr:row>
      <xdr:rowOff>31865</xdr:rowOff>
    </xdr:to>
    <xdr:pic>
      <xdr:nvPicPr>
        <xdr:cNvPr id="201" name="65 Imagen" descr="Bull-icon.png"/>
        <xdr:cNvPicPr>
          <a:picLocks noChangeAspect="1"/>
        </xdr:cNvPicPr>
      </xdr:nvPicPr>
      <xdr:blipFill>
        <a:blip xmlns:r="http://schemas.openxmlformats.org/officeDocument/2006/relationships" r:embed="rId2" cstate="print"/>
        <a:stretch>
          <a:fillRect/>
        </a:stretch>
      </xdr:blipFill>
      <xdr:spPr>
        <a:xfrm>
          <a:off x="12931588" y="27499236"/>
          <a:ext cx="1236413" cy="1253305"/>
        </a:xfrm>
        <a:prstGeom prst="rect">
          <a:avLst/>
        </a:prstGeom>
        <a:noFill/>
        <a:ln>
          <a:noFill/>
        </a:ln>
      </xdr:spPr>
    </xdr:pic>
    <xdr:clientData/>
  </xdr:twoCellAnchor>
  <xdr:twoCellAnchor>
    <xdr:from>
      <xdr:col>6</xdr:col>
      <xdr:colOff>19050</xdr:colOff>
      <xdr:row>154</xdr:row>
      <xdr:rowOff>171450</xdr:rowOff>
    </xdr:from>
    <xdr:to>
      <xdr:col>7</xdr:col>
      <xdr:colOff>171450</xdr:colOff>
      <xdr:row>159</xdr:row>
      <xdr:rowOff>57149</xdr:rowOff>
    </xdr:to>
    <xdr:sp macro="" textlink="">
      <xdr:nvSpPr>
        <xdr:cNvPr id="95" name="94 CuadroTexto"/>
        <xdr:cNvSpPr txBox="1"/>
      </xdr:nvSpPr>
      <xdr:spPr>
        <a:xfrm>
          <a:off x="5305425" y="33528000"/>
          <a:ext cx="914400" cy="838199"/>
        </a:xfrm>
        <a:prstGeom prst="round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wrap="square" lIns="36000" tIns="36000" rIns="36000" bIns="36000" rtlCol="0" anchor="t"/>
        <a:lstStyle/>
        <a:p>
          <a:pPr algn="ctr"/>
          <a:r>
            <a:rPr lang="es-AR" sz="1100" b="1">
              <a:solidFill>
                <a:sysClr val="windowText" lastClr="000000"/>
              </a:solidFill>
            </a:rPr>
            <a:t>Promedio  preñez</a:t>
          </a:r>
        </a:p>
      </xdr:txBody>
    </xdr:sp>
    <xdr:clientData/>
  </xdr:twoCellAnchor>
  <xdr:twoCellAnchor>
    <xdr:from>
      <xdr:col>1</xdr:col>
      <xdr:colOff>1103</xdr:colOff>
      <xdr:row>28</xdr:row>
      <xdr:rowOff>34854</xdr:rowOff>
    </xdr:from>
    <xdr:to>
      <xdr:col>4</xdr:col>
      <xdr:colOff>751178</xdr:colOff>
      <xdr:row>41</xdr:row>
      <xdr:rowOff>78354</xdr:rowOff>
    </xdr:to>
    <xdr:graphicFrame macro="">
      <xdr:nvGraphicFramePr>
        <xdr:cNvPr id="6" name="5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176734</xdr:colOff>
      <xdr:row>28</xdr:row>
      <xdr:rowOff>50621</xdr:rowOff>
    </xdr:from>
    <xdr:to>
      <xdr:col>10</xdr:col>
      <xdr:colOff>326734</xdr:colOff>
      <xdr:row>41</xdr:row>
      <xdr:rowOff>98217</xdr:rowOff>
    </xdr:to>
    <xdr:graphicFrame macro="">
      <xdr:nvGraphicFramePr>
        <xdr:cNvPr id="2" name="1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509230</xdr:colOff>
      <xdr:row>28</xdr:row>
      <xdr:rowOff>58385</xdr:rowOff>
    </xdr:from>
    <xdr:to>
      <xdr:col>15</xdr:col>
      <xdr:colOff>659230</xdr:colOff>
      <xdr:row>41</xdr:row>
      <xdr:rowOff>105981</xdr:rowOff>
    </xdr:to>
    <xdr:graphicFrame macro="">
      <xdr:nvGraphicFramePr>
        <xdr:cNvPr id="4" name="3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69858</xdr:colOff>
      <xdr:row>60</xdr:row>
      <xdr:rowOff>11533</xdr:rowOff>
    </xdr:from>
    <xdr:to>
      <xdr:col>2</xdr:col>
      <xdr:colOff>184665</xdr:colOff>
      <xdr:row>70</xdr:row>
      <xdr:rowOff>14533</xdr:rowOff>
    </xdr:to>
    <xdr:graphicFrame macro="">
      <xdr:nvGraphicFramePr>
        <xdr:cNvPr id="3" name="2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217245</xdr:colOff>
      <xdr:row>60</xdr:row>
      <xdr:rowOff>7895</xdr:rowOff>
    </xdr:from>
    <xdr:to>
      <xdr:col>4</xdr:col>
      <xdr:colOff>493245</xdr:colOff>
      <xdr:row>70</xdr:row>
      <xdr:rowOff>10895</xdr:rowOff>
    </xdr:to>
    <xdr:graphicFrame macro="">
      <xdr:nvGraphicFramePr>
        <xdr:cNvPr id="9" name="8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541958</xdr:colOff>
      <xdr:row>60</xdr:row>
      <xdr:rowOff>10138</xdr:rowOff>
    </xdr:from>
    <xdr:to>
      <xdr:col>7</xdr:col>
      <xdr:colOff>55958</xdr:colOff>
      <xdr:row>70</xdr:row>
      <xdr:rowOff>13138</xdr:rowOff>
    </xdr:to>
    <xdr:graphicFrame macro="">
      <xdr:nvGraphicFramePr>
        <xdr:cNvPr id="10" name="9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7</xdr:col>
      <xdr:colOff>86520</xdr:colOff>
      <xdr:row>60</xdr:row>
      <xdr:rowOff>7030</xdr:rowOff>
    </xdr:from>
    <xdr:to>
      <xdr:col>9</xdr:col>
      <xdr:colOff>362520</xdr:colOff>
      <xdr:row>70</xdr:row>
      <xdr:rowOff>10030</xdr:rowOff>
    </xdr:to>
    <xdr:graphicFrame macro="">
      <xdr:nvGraphicFramePr>
        <xdr:cNvPr id="11" name="10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11</xdr:col>
      <xdr:colOff>703676</xdr:colOff>
      <xdr:row>60</xdr:row>
      <xdr:rowOff>5321</xdr:rowOff>
    </xdr:from>
    <xdr:to>
      <xdr:col>14</xdr:col>
      <xdr:colOff>217676</xdr:colOff>
      <xdr:row>70</xdr:row>
      <xdr:rowOff>6728</xdr:rowOff>
    </xdr:to>
    <xdr:graphicFrame macro="">
      <xdr:nvGraphicFramePr>
        <xdr:cNvPr id="12" name="11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14</xdr:col>
      <xdr:colOff>254599</xdr:colOff>
      <xdr:row>60</xdr:row>
      <xdr:rowOff>2327</xdr:rowOff>
    </xdr:from>
    <xdr:to>
      <xdr:col>16</xdr:col>
      <xdr:colOff>530599</xdr:colOff>
      <xdr:row>70</xdr:row>
      <xdr:rowOff>3734</xdr:rowOff>
    </xdr:to>
    <xdr:graphicFrame macro="">
      <xdr:nvGraphicFramePr>
        <xdr:cNvPr id="13" name="12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9</xdr:col>
      <xdr:colOff>396637</xdr:colOff>
      <xdr:row>60</xdr:row>
      <xdr:rowOff>11047</xdr:rowOff>
    </xdr:from>
    <xdr:to>
      <xdr:col>11</xdr:col>
      <xdr:colOff>672637</xdr:colOff>
      <xdr:row>70</xdr:row>
      <xdr:rowOff>12454</xdr:rowOff>
    </xdr:to>
    <xdr:graphicFrame macro="">
      <xdr:nvGraphicFramePr>
        <xdr:cNvPr id="16" name="15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8</xdr:col>
      <xdr:colOff>438733</xdr:colOff>
      <xdr:row>101</xdr:row>
      <xdr:rowOff>152835</xdr:rowOff>
    </xdr:from>
    <xdr:to>
      <xdr:col>14</xdr:col>
      <xdr:colOff>186733</xdr:colOff>
      <xdr:row>112</xdr:row>
      <xdr:rowOff>162907</xdr:rowOff>
    </xdr:to>
    <xdr:graphicFrame macro="">
      <xdr:nvGraphicFramePr>
        <xdr:cNvPr id="17" name="16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8</xdr:col>
      <xdr:colOff>442368</xdr:colOff>
      <xdr:row>90</xdr:row>
      <xdr:rowOff>59899</xdr:rowOff>
    </xdr:from>
    <xdr:to>
      <xdr:col>14</xdr:col>
      <xdr:colOff>190368</xdr:colOff>
      <xdr:row>101</xdr:row>
      <xdr:rowOff>69970</xdr:rowOff>
    </xdr:to>
    <xdr:graphicFrame macro="">
      <xdr:nvGraphicFramePr>
        <xdr:cNvPr id="20" name="19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8</xdr:col>
      <xdr:colOff>408537</xdr:colOff>
      <xdr:row>78</xdr:row>
      <xdr:rowOff>142753</xdr:rowOff>
    </xdr:from>
    <xdr:to>
      <xdr:col>14</xdr:col>
      <xdr:colOff>156537</xdr:colOff>
      <xdr:row>89</xdr:row>
      <xdr:rowOff>152825</xdr:rowOff>
    </xdr:to>
    <xdr:graphicFrame macro="">
      <xdr:nvGraphicFramePr>
        <xdr:cNvPr id="29" name="28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8</xdr:col>
      <xdr:colOff>435429</xdr:colOff>
      <xdr:row>113</xdr:row>
      <xdr:rowOff>95250</xdr:rowOff>
    </xdr:from>
    <xdr:to>
      <xdr:col>14</xdr:col>
      <xdr:colOff>183429</xdr:colOff>
      <xdr:row>124</xdr:row>
      <xdr:rowOff>105321</xdr:rowOff>
    </xdr:to>
    <xdr:graphicFrame macro="">
      <xdr:nvGraphicFramePr>
        <xdr:cNvPr id="26" name="25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8</xdr:col>
      <xdr:colOff>449034</xdr:colOff>
      <xdr:row>125</xdr:row>
      <xdr:rowOff>81643</xdr:rowOff>
    </xdr:from>
    <xdr:to>
      <xdr:col>14</xdr:col>
      <xdr:colOff>204107</xdr:colOff>
      <xdr:row>136</xdr:row>
      <xdr:rowOff>91715</xdr:rowOff>
    </xdr:to>
    <xdr:graphicFrame macro="">
      <xdr:nvGraphicFramePr>
        <xdr:cNvPr id="27" name="26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xdr:col>
      <xdr:colOff>39375</xdr:colOff>
      <xdr:row>152</xdr:row>
      <xdr:rowOff>142792</xdr:rowOff>
    </xdr:from>
    <xdr:to>
      <xdr:col>5</xdr:col>
      <xdr:colOff>567450</xdr:colOff>
      <xdr:row>165</xdr:row>
      <xdr:rowOff>6292</xdr:rowOff>
    </xdr:to>
    <xdr:graphicFrame macro="">
      <xdr:nvGraphicFramePr>
        <xdr:cNvPr id="19" name="18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xdr:col>
      <xdr:colOff>58906</xdr:colOff>
      <xdr:row>208</xdr:row>
      <xdr:rowOff>9362</xdr:rowOff>
    </xdr:from>
    <xdr:to>
      <xdr:col>5</xdr:col>
      <xdr:colOff>702256</xdr:colOff>
      <xdr:row>220</xdr:row>
      <xdr:rowOff>61681</xdr:rowOff>
    </xdr:to>
    <xdr:graphicFrame macro="">
      <xdr:nvGraphicFramePr>
        <xdr:cNvPr id="24" name="23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7</xdr:col>
      <xdr:colOff>528358</xdr:colOff>
      <xdr:row>152</xdr:row>
      <xdr:rowOff>72278</xdr:rowOff>
    </xdr:from>
    <xdr:to>
      <xdr:col>13</xdr:col>
      <xdr:colOff>276358</xdr:colOff>
      <xdr:row>164</xdr:row>
      <xdr:rowOff>126278</xdr:rowOff>
    </xdr:to>
    <xdr:graphicFrame macro="">
      <xdr:nvGraphicFramePr>
        <xdr:cNvPr id="28" name="27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6</xdr:col>
      <xdr:colOff>184098</xdr:colOff>
      <xdr:row>208</xdr:row>
      <xdr:rowOff>1071</xdr:rowOff>
    </xdr:from>
    <xdr:to>
      <xdr:col>10</xdr:col>
      <xdr:colOff>196098</xdr:colOff>
      <xdr:row>220</xdr:row>
      <xdr:rowOff>55071</xdr:rowOff>
    </xdr:to>
    <xdr:graphicFrame macro="">
      <xdr:nvGraphicFramePr>
        <xdr:cNvPr id="30" name="29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10</xdr:col>
      <xdr:colOff>378518</xdr:colOff>
      <xdr:row>207</xdr:row>
      <xdr:rowOff>187458</xdr:rowOff>
    </xdr:from>
    <xdr:to>
      <xdr:col>14</xdr:col>
      <xdr:colOff>390518</xdr:colOff>
      <xdr:row>220</xdr:row>
      <xdr:rowOff>50958</xdr:rowOff>
    </xdr:to>
    <xdr:graphicFrame macro="">
      <xdr:nvGraphicFramePr>
        <xdr:cNvPr id="31" name="30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1</xdr:col>
      <xdr:colOff>499471</xdr:colOff>
      <xdr:row>177</xdr:row>
      <xdr:rowOff>163286</xdr:rowOff>
    </xdr:from>
    <xdr:to>
      <xdr:col>6</xdr:col>
      <xdr:colOff>265546</xdr:colOff>
      <xdr:row>190</xdr:row>
      <xdr:rowOff>26786</xdr:rowOff>
    </xdr:to>
    <xdr:graphicFrame macro="">
      <xdr:nvGraphicFramePr>
        <xdr:cNvPr id="18" name="17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6</xdr:col>
      <xdr:colOff>751915</xdr:colOff>
      <xdr:row>177</xdr:row>
      <xdr:rowOff>151840</xdr:rowOff>
    </xdr:from>
    <xdr:to>
      <xdr:col>12</xdr:col>
      <xdr:colOff>679915</xdr:colOff>
      <xdr:row>190</xdr:row>
      <xdr:rowOff>15340</xdr:rowOff>
    </xdr:to>
    <xdr:graphicFrame macro="">
      <xdr:nvGraphicFramePr>
        <xdr:cNvPr id="32" name="31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1</xdr:col>
      <xdr:colOff>562303</xdr:colOff>
      <xdr:row>243</xdr:row>
      <xdr:rowOff>82323</xdr:rowOff>
    </xdr:from>
    <xdr:to>
      <xdr:col>6</xdr:col>
      <xdr:colOff>143616</xdr:colOff>
      <xdr:row>252</xdr:row>
      <xdr:rowOff>155916</xdr:rowOff>
    </xdr:to>
    <xdr:graphicFrame macro="">
      <xdr:nvGraphicFramePr>
        <xdr:cNvPr id="34" name="33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7</xdr:col>
      <xdr:colOff>626258</xdr:colOff>
      <xdr:row>243</xdr:row>
      <xdr:rowOff>64295</xdr:rowOff>
    </xdr:from>
    <xdr:to>
      <xdr:col>13</xdr:col>
      <xdr:colOff>374258</xdr:colOff>
      <xdr:row>252</xdr:row>
      <xdr:rowOff>137888</xdr:rowOff>
    </xdr:to>
    <xdr:graphicFrame macro="">
      <xdr:nvGraphicFramePr>
        <xdr:cNvPr id="35" name="34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1</xdr:col>
      <xdr:colOff>464341</xdr:colOff>
      <xdr:row>253</xdr:row>
      <xdr:rowOff>123824</xdr:rowOff>
    </xdr:from>
    <xdr:to>
      <xdr:col>6</xdr:col>
      <xdr:colOff>45654</xdr:colOff>
      <xdr:row>264</xdr:row>
      <xdr:rowOff>188324</xdr:rowOff>
    </xdr:to>
    <xdr:graphicFrame macro="">
      <xdr:nvGraphicFramePr>
        <xdr:cNvPr id="36" name="35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7</xdr:col>
      <xdr:colOff>695325</xdr:colOff>
      <xdr:row>253</xdr:row>
      <xdr:rowOff>85725</xdr:rowOff>
    </xdr:from>
    <xdr:to>
      <xdr:col>13</xdr:col>
      <xdr:colOff>443325</xdr:colOff>
      <xdr:row>264</xdr:row>
      <xdr:rowOff>150225</xdr:rowOff>
    </xdr:to>
    <xdr:graphicFrame macro="">
      <xdr:nvGraphicFramePr>
        <xdr:cNvPr id="37" name="36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7</xdr:col>
      <xdr:colOff>533400</xdr:colOff>
      <xdr:row>272</xdr:row>
      <xdr:rowOff>107156</xdr:rowOff>
    </xdr:from>
    <xdr:to>
      <xdr:col>16</xdr:col>
      <xdr:colOff>209549</xdr:colOff>
      <xdr:row>279</xdr:row>
      <xdr:rowOff>178593</xdr:rowOff>
    </xdr:to>
    <xdr:graphicFrame macro="">
      <xdr:nvGraphicFramePr>
        <xdr:cNvPr id="41" name="40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7</xdr:col>
      <xdr:colOff>714374</xdr:colOff>
      <xdr:row>280</xdr:row>
      <xdr:rowOff>115491</xdr:rowOff>
    </xdr:from>
    <xdr:to>
      <xdr:col>10</xdr:col>
      <xdr:colOff>588374</xdr:colOff>
      <xdr:row>292</xdr:row>
      <xdr:rowOff>100013</xdr:rowOff>
    </xdr:to>
    <xdr:graphicFrame macro="">
      <xdr:nvGraphicFramePr>
        <xdr:cNvPr id="43" name="42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10</xdr:col>
      <xdr:colOff>476250</xdr:colOff>
      <xdr:row>280</xdr:row>
      <xdr:rowOff>111919</xdr:rowOff>
    </xdr:from>
    <xdr:to>
      <xdr:col>12</xdr:col>
      <xdr:colOff>572250</xdr:colOff>
      <xdr:row>292</xdr:row>
      <xdr:rowOff>96441</xdr:rowOff>
    </xdr:to>
    <xdr:graphicFrame macro="">
      <xdr:nvGraphicFramePr>
        <xdr:cNvPr id="44" name="43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12</xdr:col>
      <xdr:colOff>476250</xdr:colOff>
      <xdr:row>280</xdr:row>
      <xdr:rowOff>121444</xdr:rowOff>
    </xdr:from>
    <xdr:to>
      <xdr:col>14</xdr:col>
      <xdr:colOff>572250</xdr:colOff>
      <xdr:row>292</xdr:row>
      <xdr:rowOff>105966</xdr:rowOff>
    </xdr:to>
    <xdr:graphicFrame macro="">
      <xdr:nvGraphicFramePr>
        <xdr:cNvPr id="45" name="44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xdr:from>
      <xdr:col>1</xdr:col>
      <xdr:colOff>5609</xdr:colOff>
      <xdr:row>25</xdr:row>
      <xdr:rowOff>146528</xdr:rowOff>
    </xdr:from>
    <xdr:to>
      <xdr:col>4</xdr:col>
      <xdr:colOff>755684</xdr:colOff>
      <xdr:row>27</xdr:row>
      <xdr:rowOff>12057</xdr:rowOff>
    </xdr:to>
    <xdr:sp macro="" textlink="">
      <xdr:nvSpPr>
        <xdr:cNvPr id="7" name="6 CuadroTexto"/>
        <xdr:cNvSpPr txBox="1"/>
      </xdr:nvSpPr>
      <xdr:spPr>
        <a:xfrm>
          <a:off x="224684" y="4823303"/>
          <a:ext cx="3960000" cy="246529"/>
        </a:xfrm>
        <a:prstGeom prst="rect">
          <a:avLst/>
        </a:prstGeom>
        <a:solidFill>
          <a:schemeClr val="tx1">
            <a:lumMod val="65000"/>
            <a:lumOff val="3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b="1">
              <a:solidFill>
                <a:schemeClr val="bg1"/>
              </a:solidFill>
            </a:rPr>
            <a:t>Proporción de los establecimientos</a:t>
          </a:r>
          <a:r>
            <a:rPr lang="es-AR" sz="1100" b="1" baseline="0">
              <a:solidFill>
                <a:schemeClr val="bg1"/>
              </a:solidFill>
            </a:rPr>
            <a:t> del CREA con cada  actividad</a:t>
          </a:r>
          <a:endParaRPr lang="es-AR" sz="1100" b="1">
            <a:solidFill>
              <a:schemeClr val="bg1"/>
            </a:solidFill>
          </a:endParaRPr>
        </a:p>
      </xdr:txBody>
    </xdr:sp>
    <xdr:clientData/>
  </xdr:twoCellAnchor>
  <xdr:twoCellAnchor>
    <xdr:from>
      <xdr:col>5</xdr:col>
      <xdr:colOff>204507</xdr:colOff>
      <xdr:row>25</xdr:row>
      <xdr:rowOff>156053</xdr:rowOff>
    </xdr:from>
    <xdr:to>
      <xdr:col>10</xdr:col>
      <xdr:colOff>354507</xdr:colOff>
      <xdr:row>27</xdr:row>
      <xdr:rowOff>17486</xdr:rowOff>
    </xdr:to>
    <xdr:sp macro="" textlink="">
      <xdr:nvSpPr>
        <xdr:cNvPr id="90" name="89 CuadroTexto"/>
        <xdr:cNvSpPr txBox="1"/>
      </xdr:nvSpPr>
      <xdr:spPr>
        <a:xfrm>
          <a:off x="4395507" y="4832828"/>
          <a:ext cx="3960000" cy="242433"/>
        </a:xfrm>
        <a:prstGeom prst="rect">
          <a:avLst/>
        </a:prstGeom>
        <a:solidFill>
          <a:schemeClr val="tx1">
            <a:lumMod val="65000"/>
            <a:lumOff val="3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050" b="1">
              <a:solidFill>
                <a:schemeClr val="bg1"/>
              </a:solidFill>
            </a:rPr>
            <a:t>Superficies total en</a:t>
          </a:r>
          <a:r>
            <a:rPr lang="es-AR" sz="1050" b="1" baseline="0">
              <a:solidFill>
                <a:schemeClr val="bg1"/>
              </a:solidFill>
            </a:rPr>
            <a:t> ganadería por actividad</a:t>
          </a:r>
          <a:endParaRPr lang="es-AR" sz="1050" b="1">
            <a:solidFill>
              <a:schemeClr val="bg1"/>
            </a:solidFill>
          </a:endParaRPr>
        </a:p>
      </xdr:txBody>
    </xdr:sp>
    <xdr:clientData/>
  </xdr:twoCellAnchor>
  <xdr:twoCellAnchor>
    <xdr:from>
      <xdr:col>10</xdr:col>
      <xdr:colOff>499782</xdr:colOff>
      <xdr:row>25</xdr:row>
      <xdr:rowOff>156053</xdr:rowOff>
    </xdr:from>
    <xdr:to>
      <xdr:col>15</xdr:col>
      <xdr:colOff>649782</xdr:colOff>
      <xdr:row>27</xdr:row>
      <xdr:rowOff>17486</xdr:rowOff>
    </xdr:to>
    <xdr:sp macro="" textlink="">
      <xdr:nvSpPr>
        <xdr:cNvPr id="91" name="90 CuadroTexto"/>
        <xdr:cNvSpPr txBox="1"/>
      </xdr:nvSpPr>
      <xdr:spPr>
        <a:xfrm>
          <a:off x="8500782" y="4832828"/>
          <a:ext cx="3960000" cy="242433"/>
        </a:xfrm>
        <a:prstGeom prst="rect">
          <a:avLst/>
        </a:prstGeom>
        <a:solidFill>
          <a:schemeClr val="tx1">
            <a:lumMod val="65000"/>
            <a:lumOff val="3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900" b="1">
              <a:solidFill>
                <a:schemeClr val="bg1"/>
              </a:solidFill>
            </a:rPr>
            <a:t>Tamaño promedio de los establecimientos</a:t>
          </a:r>
          <a:r>
            <a:rPr lang="es-AR" sz="900" b="1" baseline="0">
              <a:solidFill>
                <a:schemeClr val="bg1"/>
              </a:solidFill>
            </a:rPr>
            <a:t> según actividad</a:t>
          </a:r>
          <a:endParaRPr lang="es-AR" sz="900" b="1">
            <a:solidFill>
              <a:schemeClr val="bg1"/>
            </a:solidFill>
          </a:endParaRPr>
        </a:p>
      </xdr:txBody>
    </xdr:sp>
    <xdr:clientData/>
  </xdr:twoCellAnchor>
  <xdr:twoCellAnchor>
    <xdr:from>
      <xdr:col>1</xdr:col>
      <xdr:colOff>9524</xdr:colOff>
      <xdr:row>56</xdr:row>
      <xdr:rowOff>163871</xdr:rowOff>
    </xdr:from>
    <xdr:to>
      <xdr:col>19</xdr:col>
      <xdr:colOff>266288</xdr:colOff>
      <xdr:row>58</xdr:row>
      <xdr:rowOff>26678</xdr:rowOff>
    </xdr:to>
    <xdr:sp macro="" textlink="">
      <xdr:nvSpPr>
        <xdr:cNvPr id="92" name="91 CuadroTexto"/>
        <xdr:cNvSpPr txBox="1"/>
      </xdr:nvSpPr>
      <xdr:spPr>
        <a:xfrm>
          <a:off x="561974" y="11203346"/>
          <a:ext cx="14896689" cy="243807"/>
        </a:xfrm>
        <a:prstGeom prst="rect">
          <a:avLst/>
        </a:prstGeom>
        <a:solidFill>
          <a:schemeClr val="tx1">
            <a:lumMod val="65000"/>
            <a:lumOff val="3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200" b="1">
              <a:solidFill>
                <a:schemeClr val="bg1"/>
              </a:solidFill>
            </a:rPr>
            <a:t>Distribución de recursos forrajeros promedio, para cada modelo productivo</a:t>
          </a:r>
        </a:p>
      </xdr:txBody>
    </xdr:sp>
    <xdr:clientData/>
  </xdr:twoCellAnchor>
  <xdr:twoCellAnchor>
    <xdr:from>
      <xdr:col>0</xdr:col>
      <xdr:colOff>552449</xdr:colOff>
      <xdr:row>150</xdr:row>
      <xdr:rowOff>66674</xdr:rowOff>
    </xdr:from>
    <xdr:to>
      <xdr:col>5</xdr:col>
      <xdr:colOff>528074</xdr:colOff>
      <xdr:row>151</xdr:row>
      <xdr:rowOff>128174</xdr:rowOff>
    </xdr:to>
    <xdr:sp macro="" textlink="">
      <xdr:nvSpPr>
        <xdr:cNvPr id="93" name="92 CuadroTexto"/>
        <xdr:cNvSpPr txBox="1"/>
      </xdr:nvSpPr>
      <xdr:spPr>
        <a:xfrm>
          <a:off x="552449" y="32661224"/>
          <a:ext cx="4500000" cy="252000"/>
        </a:xfrm>
        <a:prstGeom prst="rect">
          <a:avLst/>
        </a:prstGeom>
        <a:solidFill>
          <a:schemeClr val="tx1">
            <a:lumMod val="65000"/>
            <a:lumOff val="3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200" b="1">
              <a:solidFill>
                <a:schemeClr val="bg1"/>
              </a:solidFill>
            </a:rPr>
            <a:t>Comparación de datos de tacto 16´ de vacas, vaquillonas y rodeo general</a:t>
          </a:r>
        </a:p>
      </xdr:txBody>
    </xdr:sp>
    <xdr:clientData/>
  </xdr:twoCellAnchor>
  <xdr:twoCellAnchor>
    <xdr:from>
      <xdr:col>7</xdr:col>
      <xdr:colOff>523875</xdr:colOff>
      <xdr:row>150</xdr:row>
      <xdr:rowOff>47624</xdr:rowOff>
    </xdr:from>
    <xdr:to>
      <xdr:col>13</xdr:col>
      <xdr:colOff>271875</xdr:colOff>
      <xdr:row>151</xdr:row>
      <xdr:rowOff>109124</xdr:rowOff>
    </xdr:to>
    <xdr:sp macro="" textlink="">
      <xdr:nvSpPr>
        <xdr:cNvPr id="94" name="93 CuadroTexto"/>
        <xdr:cNvSpPr txBox="1"/>
      </xdr:nvSpPr>
      <xdr:spPr>
        <a:xfrm>
          <a:off x="6276975" y="32642174"/>
          <a:ext cx="4320000" cy="252000"/>
        </a:xfrm>
        <a:prstGeom prst="rect">
          <a:avLst/>
        </a:prstGeom>
        <a:solidFill>
          <a:schemeClr val="tx1">
            <a:lumMod val="65000"/>
            <a:lumOff val="3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200" b="1">
              <a:solidFill>
                <a:schemeClr val="bg1"/>
              </a:solidFill>
            </a:rPr>
            <a:t>Comparación de datos de tacto 16´ con datos</a:t>
          </a:r>
          <a:r>
            <a:rPr lang="es-AR" sz="1200" b="1" baseline="0">
              <a:solidFill>
                <a:schemeClr val="bg1"/>
              </a:solidFill>
            </a:rPr>
            <a:t> tacto 15´</a:t>
          </a:r>
          <a:endParaRPr lang="es-AR" sz="1200" b="1">
            <a:solidFill>
              <a:schemeClr val="bg1"/>
            </a:solidFill>
          </a:endParaRPr>
        </a:p>
      </xdr:txBody>
    </xdr:sp>
    <xdr:clientData/>
  </xdr:twoCellAnchor>
  <xdr:oneCellAnchor>
    <xdr:from>
      <xdr:col>5</xdr:col>
      <xdr:colOff>724326</xdr:colOff>
      <xdr:row>157</xdr:row>
      <xdr:rowOff>45876</xdr:rowOff>
    </xdr:from>
    <xdr:ext cx="1033112" cy="394021"/>
    <xdr:sp macro="" textlink="N146">
      <xdr:nvSpPr>
        <xdr:cNvPr id="15" name="14 Elipse"/>
        <xdr:cNvSpPr/>
      </xdr:nvSpPr>
      <xdr:spPr>
        <a:xfrm>
          <a:off x="5027385" y="30671552"/>
          <a:ext cx="1033112" cy="394021"/>
        </a:xfrm>
        <a:prstGeom prst="ellipse">
          <a:avLst/>
        </a:prstGeom>
      </xdr:spPr>
      <xdr:style>
        <a:lnRef idx="1">
          <a:schemeClr val="accent6"/>
        </a:lnRef>
        <a:fillRef idx="3">
          <a:schemeClr val="accent6"/>
        </a:fillRef>
        <a:effectRef idx="2">
          <a:schemeClr val="accent6"/>
        </a:effectRef>
        <a:fontRef idx="minor">
          <a:schemeClr val="lt1"/>
        </a:fontRef>
      </xdr:style>
      <xdr:txBody>
        <a:bodyPr vertOverflow="clip" horzOverflow="clip" wrap="none" rtlCol="0" anchor="ctr">
          <a:spAutoFit/>
        </a:bodyPr>
        <a:lstStyle/>
        <a:p>
          <a:pPr algn="ctr"/>
          <a:fld id="{FC53AFCE-79BA-4619-9F04-DE129086A06B}" type="TxLink">
            <a:rPr lang="en-US" sz="1200" b="1" i="0" u="none" strike="noStrike">
              <a:solidFill>
                <a:schemeClr val="bg1"/>
              </a:solidFill>
              <a:latin typeface="Calibri"/>
            </a:rPr>
            <a:pPr algn="ctr"/>
            <a:t>#N/A</a:t>
          </a:fld>
          <a:endParaRPr lang="es-AR" sz="1200" b="1">
            <a:solidFill>
              <a:schemeClr val="bg1"/>
            </a:solidFill>
          </a:endParaRPr>
        </a:p>
      </xdr:txBody>
    </xdr:sp>
    <xdr:clientData/>
  </xdr:oneCellAnchor>
  <xdr:twoCellAnchor>
    <xdr:from>
      <xdr:col>6</xdr:col>
      <xdr:colOff>19050</xdr:colOff>
      <xdr:row>159</xdr:row>
      <xdr:rowOff>161925</xdr:rowOff>
    </xdr:from>
    <xdr:to>
      <xdr:col>7</xdr:col>
      <xdr:colOff>171450</xdr:colOff>
      <xdr:row>164</xdr:row>
      <xdr:rowOff>76200</xdr:rowOff>
    </xdr:to>
    <xdr:sp macro="" textlink="">
      <xdr:nvSpPr>
        <xdr:cNvPr id="96" name="95 CuadroTexto"/>
        <xdr:cNvSpPr txBox="1"/>
      </xdr:nvSpPr>
      <xdr:spPr>
        <a:xfrm>
          <a:off x="5305425" y="34470975"/>
          <a:ext cx="914400" cy="866775"/>
        </a:xfrm>
        <a:prstGeom prst="round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wrap="square" lIns="36000" tIns="36000" rIns="36000" bIns="36000" rtlCol="0" anchor="t"/>
        <a:lstStyle/>
        <a:p>
          <a:pPr algn="ctr"/>
          <a:r>
            <a:rPr lang="es-AR" sz="1100" b="1">
              <a:solidFill>
                <a:sysClr val="windowText" lastClr="000000"/>
              </a:solidFill>
            </a:rPr>
            <a:t>Cab.</a:t>
          </a:r>
          <a:r>
            <a:rPr lang="es-AR" sz="1100" b="1" baseline="0">
              <a:solidFill>
                <a:sysClr val="windowText" lastClr="000000"/>
              </a:solidFill>
            </a:rPr>
            <a:t> entoradas</a:t>
          </a:r>
          <a:endParaRPr lang="es-AR" sz="1100" b="1">
            <a:solidFill>
              <a:sysClr val="windowText" lastClr="000000"/>
            </a:solidFill>
          </a:endParaRPr>
        </a:p>
      </xdr:txBody>
    </xdr:sp>
    <xdr:clientData/>
  </xdr:twoCellAnchor>
  <xdr:oneCellAnchor>
    <xdr:from>
      <xdr:col>6</xdr:col>
      <xdr:colOff>287458</xdr:colOff>
      <xdr:row>162</xdr:row>
      <xdr:rowOff>77484</xdr:rowOff>
    </xdr:from>
    <xdr:ext cx="382847" cy="292704"/>
    <xdr:sp macro="" textlink="D148">
      <xdr:nvSpPr>
        <xdr:cNvPr id="97" name="96 Rectángulo redondeado"/>
        <xdr:cNvSpPr/>
      </xdr:nvSpPr>
      <xdr:spPr>
        <a:xfrm>
          <a:off x="5352517" y="31655660"/>
          <a:ext cx="382847" cy="292704"/>
        </a:xfrm>
        <a:prstGeom prst="roundRect">
          <a:avLst/>
        </a:prstGeom>
      </xdr:spPr>
      <xdr:style>
        <a:lnRef idx="1">
          <a:schemeClr val="accent6"/>
        </a:lnRef>
        <a:fillRef idx="3">
          <a:schemeClr val="accent6"/>
        </a:fillRef>
        <a:effectRef idx="2">
          <a:schemeClr val="accent6"/>
        </a:effectRef>
        <a:fontRef idx="minor">
          <a:schemeClr val="lt1"/>
        </a:fontRef>
      </xdr:style>
      <xdr:txBody>
        <a:bodyPr vertOverflow="clip" horzOverflow="clip" wrap="none" rtlCol="0" anchor="ctr">
          <a:spAutoFit/>
        </a:bodyPr>
        <a:lstStyle/>
        <a:p>
          <a:pPr algn="ctr"/>
          <a:fld id="{B9EF19AD-5545-4DE1-B997-E5D5DFEB54C0}" type="TxLink">
            <a:rPr lang="en-US" sz="1100" b="0" i="0" u="none" strike="noStrike">
              <a:solidFill>
                <a:schemeClr val="bg1"/>
              </a:solidFill>
              <a:latin typeface="Calibri"/>
            </a:rPr>
            <a:pPr algn="ctr"/>
            <a:t>#N/A</a:t>
          </a:fld>
          <a:endParaRPr lang="es-AR" sz="1400" b="1">
            <a:solidFill>
              <a:schemeClr val="bg1"/>
            </a:solidFill>
          </a:endParaRPr>
        </a:p>
      </xdr:txBody>
    </xdr:sp>
    <xdr:clientData/>
  </xdr:oneCellAnchor>
  <xdr:twoCellAnchor>
    <xdr:from>
      <xdr:col>13</xdr:col>
      <xdr:colOff>485775</xdr:colOff>
      <xdr:row>154</xdr:row>
      <xdr:rowOff>85725</xdr:rowOff>
    </xdr:from>
    <xdr:to>
      <xdr:col>14</xdr:col>
      <xdr:colOff>638175</xdr:colOff>
      <xdr:row>158</xdr:row>
      <xdr:rowOff>161924</xdr:rowOff>
    </xdr:to>
    <xdr:sp macro="" textlink="">
      <xdr:nvSpPr>
        <xdr:cNvPr id="98" name="97 CuadroTexto"/>
        <xdr:cNvSpPr txBox="1"/>
      </xdr:nvSpPr>
      <xdr:spPr>
        <a:xfrm>
          <a:off x="10810875" y="33442275"/>
          <a:ext cx="914400" cy="838199"/>
        </a:xfrm>
        <a:prstGeom prst="round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wrap="square" lIns="36000" tIns="36000" rIns="36000" bIns="36000" rtlCol="0" anchor="t"/>
        <a:lstStyle/>
        <a:p>
          <a:pPr algn="ctr"/>
          <a:r>
            <a:rPr lang="es-AR" sz="1100" b="1">
              <a:solidFill>
                <a:sysClr val="windowText" lastClr="000000"/>
              </a:solidFill>
            </a:rPr>
            <a:t>Dif. de preñez</a:t>
          </a:r>
        </a:p>
      </xdr:txBody>
    </xdr:sp>
    <xdr:clientData/>
  </xdr:twoCellAnchor>
  <xdr:oneCellAnchor>
    <xdr:from>
      <xdr:col>13</xdr:col>
      <xdr:colOff>461195</xdr:colOff>
      <xdr:row>156</xdr:row>
      <xdr:rowOff>161651</xdr:rowOff>
    </xdr:from>
    <xdr:ext cx="968824" cy="372021"/>
    <xdr:sp macro="" textlink="M148">
      <xdr:nvSpPr>
        <xdr:cNvPr id="99" name="98 Elipse"/>
        <xdr:cNvSpPr/>
      </xdr:nvSpPr>
      <xdr:spPr>
        <a:xfrm>
          <a:off x="10860254" y="30596827"/>
          <a:ext cx="968824" cy="372021"/>
        </a:xfrm>
        <a:prstGeom prst="ellipse">
          <a:avLst/>
        </a:prstGeom>
      </xdr:spPr>
      <xdr:style>
        <a:lnRef idx="1">
          <a:schemeClr val="accent6"/>
        </a:lnRef>
        <a:fillRef idx="3">
          <a:schemeClr val="accent6"/>
        </a:fillRef>
        <a:effectRef idx="2">
          <a:schemeClr val="accent6"/>
        </a:effectRef>
        <a:fontRef idx="minor">
          <a:schemeClr val="lt1"/>
        </a:fontRef>
      </xdr:style>
      <xdr:txBody>
        <a:bodyPr vertOverflow="clip" horzOverflow="clip" wrap="none" rtlCol="0" anchor="ctr">
          <a:spAutoFit/>
        </a:bodyPr>
        <a:lstStyle/>
        <a:p>
          <a:pPr algn="ctr"/>
          <a:fld id="{39DA51FD-1B7D-44A6-BD1A-495100229F74}" type="TxLink">
            <a:rPr lang="en-US" sz="1100" b="1" i="0" u="none" strike="noStrike">
              <a:solidFill>
                <a:schemeClr val="bg1"/>
              </a:solidFill>
              <a:latin typeface="Calibri"/>
            </a:rPr>
            <a:pPr algn="ctr"/>
            <a:t>#N/A</a:t>
          </a:fld>
          <a:endParaRPr lang="es-AR" sz="1200" b="1">
            <a:solidFill>
              <a:schemeClr val="bg1"/>
            </a:solidFill>
          </a:endParaRPr>
        </a:p>
      </xdr:txBody>
    </xdr:sp>
    <xdr:clientData/>
  </xdr:oneCellAnchor>
  <xdr:twoCellAnchor>
    <xdr:from>
      <xdr:col>13</xdr:col>
      <xdr:colOff>476250</xdr:colOff>
      <xdr:row>159</xdr:row>
      <xdr:rowOff>152400</xdr:rowOff>
    </xdr:from>
    <xdr:to>
      <xdr:col>14</xdr:col>
      <xdr:colOff>628650</xdr:colOff>
      <xdr:row>164</xdr:row>
      <xdr:rowOff>66675</xdr:rowOff>
    </xdr:to>
    <xdr:sp macro="" textlink="">
      <xdr:nvSpPr>
        <xdr:cNvPr id="100" name="99 CuadroTexto"/>
        <xdr:cNvSpPr txBox="1"/>
      </xdr:nvSpPr>
      <xdr:spPr>
        <a:xfrm>
          <a:off x="10801350" y="34461450"/>
          <a:ext cx="914400" cy="866775"/>
        </a:xfrm>
        <a:prstGeom prst="round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wrap="square" lIns="36000" tIns="36000" rIns="36000" bIns="36000" rtlCol="0" anchor="t"/>
        <a:lstStyle/>
        <a:p>
          <a:pPr algn="ctr"/>
          <a:r>
            <a:rPr lang="es-AR" sz="1100" b="1">
              <a:solidFill>
                <a:sysClr val="windowText" lastClr="000000"/>
              </a:solidFill>
            </a:rPr>
            <a:t>Dif.</a:t>
          </a:r>
          <a:r>
            <a:rPr lang="es-AR" sz="1100" b="1" baseline="0">
              <a:solidFill>
                <a:sysClr val="windowText" lastClr="000000"/>
              </a:solidFill>
            </a:rPr>
            <a:t> c</a:t>
          </a:r>
          <a:r>
            <a:rPr lang="es-AR" sz="1100" b="1">
              <a:solidFill>
                <a:sysClr val="windowText" lastClr="000000"/>
              </a:solidFill>
            </a:rPr>
            <a:t>ab.</a:t>
          </a:r>
          <a:r>
            <a:rPr lang="es-AR" sz="1100" b="1" baseline="0">
              <a:solidFill>
                <a:sysClr val="windowText" lastClr="000000"/>
              </a:solidFill>
            </a:rPr>
            <a:t> entoradas</a:t>
          </a:r>
          <a:endParaRPr lang="es-AR" sz="1100" b="1">
            <a:solidFill>
              <a:sysClr val="windowText" lastClr="000000"/>
            </a:solidFill>
          </a:endParaRPr>
        </a:p>
      </xdr:txBody>
    </xdr:sp>
    <xdr:clientData/>
  </xdr:twoCellAnchor>
  <xdr:oneCellAnchor>
    <xdr:from>
      <xdr:col>13</xdr:col>
      <xdr:colOff>744659</xdr:colOff>
      <xdr:row>162</xdr:row>
      <xdr:rowOff>67959</xdr:rowOff>
    </xdr:from>
    <xdr:ext cx="382847" cy="292704"/>
    <xdr:sp macro="" textlink="E148">
      <xdr:nvSpPr>
        <xdr:cNvPr id="101" name="100 Rectángulo redondeado"/>
        <xdr:cNvSpPr/>
      </xdr:nvSpPr>
      <xdr:spPr>
        <a:xfrm>
          <a:off x="11143718" y="31646135"/>
          <a:ext cx="382847" cy="292704"/>
        </a:xfrm>
        <a:prstGeom prst="roundRect">
          <a:avLst/>
        </a:prstGeom>
      </xdr:spPr>
      <xdr:style>
        <a:lnRef idx="1">
          <a:schemeClr val="accent6"/>
        </a:lnRef>
        <a:fillRef idx="3">
          <a:schemeClr val="accent6"/>
        </a:fillRef>
        <a:effectRef idx="2">
          <a:schemeClr val="accent6"/>
        </a:effectRef>
        <a:fontRef idx="minor">
          <a:schemeClr val="lt1"/>
        </a:fontRef>
      </xdr:style>
      <xdr:txBody>
        <a:bodyPr vertOverflow="clip" horzOverflow="clip" wrap="none" rtlCol="0" anchor="ctr">
          <a:spAutoFit/>
        </a:bodyPr>
        <a:lstStyle/>
        <a:p>
          <a:pPr algn="ctr"/>
          <a:fld id="{B63C3185-EA22-4C82-BF42-4EE4201C0ED1}" type="TxLink">
            <a:rPr lang="en-US" sz="1100" b="0" i="0" u="none" strike="noStrike">
              <a:solidFill>
                <a:schemeClr val="bg1"/>
              </a:solidFill>
              <a:latin typeface="Calibri"/>
            </a:rPr>
            <a:pPr algn="ctr"/>
            <a:t>#N/A</a:t>
          </a:fld>
          <a:endParaRPr lang="es-AR" sz="1400" b="1">
            <a:solidFill>
              <a:schemeClr val="bg1"/>
            </a:solidFill>
          </a:endParaRPr>
        </a:p>
      </xdr:txBody>
    </xdr:sp>
    <xdr:clientData/>
  </xdr:oneCellAnchor>
  <xdr:twoCellAnchor>
    <xdr:from>
      <xdr:col>13</xdr:col>
      <xdr:colOff>447676</xdr:colOff>
      <xdr:row>152</xdr:row>
      <xdr:rowOff>152400</xdr:rowOff>
    </xdr:from>
    <xdr:to>
      <xdr:col>14</xdr:col>
      <xdr:colOff>638176</xdr:colOff>
      <xdr:row>154</xdr:row>
      <xdr:rowOff>23400</xdr:rowOff>
    </xdr:to>
    <xdr:sp macro="" textlink="">
      <xdr:nvSpPr>
        <xdr:cNvPr id="102" name="101 CuadroTexto"/>
        <xdr:cNvSpPr txBox="1"/>
      </xdr:nvSpPr>
      <xdr:spPr>
        <a:xfrm>
          <a:off x="10772776" y="33127950"/>
          <a:ext cx="952500" cy="252000"/>
        </a:xfrm>
        <a:prstGeom prst="rect">
          <a:avLst/>
        </a:prstGeom>
        <a:solidFill>
          <a:schemeClr val="bg1">
            <a:lumMod val="6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AR" sz="1100" b="1">
              <a:solidFill>
                <a:schemeClr val="bg1"/>
              </a:solidFill>
            </a:rPr>
            <a:t>DIFERENCIAS</a:t>
          </a:r>
        </a:p>
      </xdr:txBody>
    </xdr:sp>
    <xdr:clientData/>
  </xdr:twoCellAnchor>
  <xdr:twoCellAnchor>
    <xdr:from>
      <xdr:col>5</xdr:col>
      <xdr:colOff>723901</xdr:colOff>
      <xdr:row>152</xdr:row>
      <xdr:rowOff>171450</xdr:rowOff>
    </xdr:from>
    <xdr:to>
      <xdr:col>7</xdr:col>
      <xdr:colOff>152401</xdr:colOff>
      <xdr:row>154</xdr:row>
      <xdr:rowOff>42450</xdr:rowOff>
    </xdr:to>
    <xdr:sp macro="" textlink="">
      <xdr:nvSpPr>
        <xdr:cNvPr id="103" name="102 CuadroTexto"/>
        <xdr:cNvSpPr txBox="1"/>
      </xdr:nvSpPr>
      <xdr:spPr>
        <a:xfrm>
          <a:off x="5248276" y="33147000"/>
          <a:ext cx="952500" cy="252000"/>
        </a:xfrm>
        <a:prstGeom prst="rect">
          <a:avLst/>
        </a:prstGeom>
        <a:solidFill>
          <a:schemeClr val="bg1">
            <a:lumMod val="6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AR" sz="1100" b="1">
              <a:solidFill>
                <a:schemeClr val="bg1"/>
              </a:solidFill>
            </a:rPr>
            <a:t>DATOS...</a:t>
          </a:r>
        </a:p>
      </xdr:txBody>
    </xdr:sp>
    <xdr:clientData/>
  </xdr:twoCellAnchor>
  <xdr:twoCellAnchor>
    <xdr:from>
      <xdr:col>1</xdr:col>
      <xdr:colOff>457208</xdr:colOff>
      <xdr:row>175</xdr:row>
      <xdr:rowOff>180975</xdr:rowOff>
    </xdr:from>
    <xdr:to>
      <xdr:col>6</xdr:col>
      <xdr:colOff>223283</xdr:colOff>
      <xdr:row>177</xdr:row>
      <xdr:rowOff>51975</xdr:rowOff>
    </xdr:to>
    <xdr:sp macro="" textlink="">
      <xdr:nvSpPr>
        <xdr:cNvPr id="104" name="103 CuadroTexto"/>
        <xdr:cNvSpPr txBox="1"/>
      </xdr:nvSpPr>
      <xdr:spPr>
        <a:xfrm>
          <a:off x="1009658" y="37538025"/>
          <a:ext cx="4500000" cy="252000"/>
        </a:xfrm>
        <a:prstGeom prst="rect">
          <a:avLst/>
        </a:prstGeom>
        <a:solidFill>
          <a:schemeClr val="tx1">
            <a:lumMod val="65000"/>
            <a:lumOff val="3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200" b="1">
              <a:solidFill>
                <a:schemeClr val="bg1"/>
              </a:solidFill>
            </a:rPr>
            <a:t>Edad</a:t>
          </a:r>
          <a:r>
            <a:rPr lang="es-AR" sz="1200" b="1" baseline="0">
              <a:solidFill>
                <a:schemeClr val="bg1"/>
              </a:solidFill>
            </a:rPr>
            <a:t> de entore de las vaquillonas</a:t>
          </a:r>
          <a:endParaRPr lang="es-AR" sz="1200" b="1">
            <a:solidFill>
              <a:schemeClr val="bg1"/>
            </a:solidFill>
          </a:endParaRPr>
        </a:p>
      </xdr:txBody>
    </xdr:sp>
    <xdr:clientData/>
  </xdr:twoCellAnchor>
  <xdr:twoCellAnchor>
    <xdr:from>
      <xdr:col>6</xdr:col>
      <xdr:colOff>743518</xdr:colOff>
      <xdr:row>175</xdr:row>
      <xdr:rowOff>157443</xdr:rowOff>
    </xdr:from>
    <xdr:to>
      <xdr:col>12</xdr:col>
      <xdr:colOff>671518</xdr:colOff>
      <xdr:row>177</xdr:row>
      <xdr:rowOff>28443</xdr:rowOff>
    </xdr:to>
    <xdr:sp macro="" textlink="">
      <xdr:nvSpPr>
        <xdr:cNvPr id="106" name="105 CuadroTexto"/>
        <xdr:cNvSpPr txBox="1"/>
      </xdr:nvSpPr>
      <xdr:spPr>
        <a:xfrm>
          <a:off x="6029893" y="37514493"/>
          <a:ext cx="4500000" cy="252000"/>
        </a:xfrm>
        <a:prstGeom prst="rect">
          <a:avLst/>
        </a:prstGeom>
        <a:solidFill>
          <a:schemeClr val="tx1">
            <a:lumMod val="65000"/>
            <a:lumOff val="3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200" b="1">
              <a:solidFill>
                <a:schemeClr val="bg1"/>
              </a:solidFill>
            </a:rPr>
            <a:t>IA en  </a:t>
          </a:r>
          <a:r>
            <a:rPr lang="es-AR" sz="1200" b="1" baseline="0">
              <a:solidFill>
                <a:schemeClr val="bg1"/>
              </a:solidFill>
            </a:rPr>
            <a:t>vaquillonas</a:t>
          </a:r>
          <a:endParaRPr lang="es-AR" sz="1200" b="1">
            <a:solidFill>
              <a:schemeClr val="bg1"/>
            </a:solidFill>
          </a:endParaRPr>
        </a:p>
      </xdr:txBody>
    </xdr:sp>
    <xdr:clientData/>
  </xdr:twoCellAnchor>
  <xdr:twoCellAnchor>
    <xdr:from>
      <xdr:col>1</xdr:col>
      <xdr:colOff>48193</xdr:colOff>
      <xdr:row>206</xdr:row>
      <xdr:rowOff>43143</xdr:rowOff>
    </xdr:from>
    <xdr:to>
      <xdr:col>5</xdr:col>
      <xdr:colOff>691543</xdr:colOff>
      <xdr:row>207</xdr:row>
      <xdr:rowOff>104643</xdr:rowOff>
    </xdr:to>
    <xdr:sp macro="" textlink="">
      <xdr:nvSpPr>
        <xdr:cNvPr id="107" name="106 CuadroTexto"/>
        <xdr:cNvSpPr txBox="1"/>
      </xdr:nvSpPr>
      <xdr:spPr>
        <a:xfrm>
          <a:off x="600643" y="43315218"/>
          <a:ext cx="4615275" cy="252000"/>
        </a:xfrm>
        <a:prstGeom prst="rect">
          <a:avLst/>
        </a:prstGeom>
        <a:solidFill>
          <a:schemeClr val="tx1">
            <a:lumMod val="65000"/>
            <a:lumOff val="3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200" b="1">
              <a:solidFill>
                <a:schemeClr val="bg1"/>
              </a:solidFill>
            </a:rPr>
            <a:t>Preñez</a:t>
          </a:r>
          <a:r>
            <a:rPr lang="es-AR" sz="1200" b="1" baseline="0">
              <a:solidFill>
                <a:schemeClr val="bg1"/>
              </a:solidFill>
            </a:rPr>
            <a:t> y destete</a:t>
          </a:r>
          <a:endParaRPr lang="es-AR" sz="1200" b="1">
            <a:solidFill>
              <a:schemeClr val="bg1"/>
            </a:solidFill>
          </a:endParaRPr>
        </a:p>
      </xdr:txBody>
    </xdr:sp>
    <xdr:clientData/>
  </xdr:twoCellAnchor>
  <xdr:twoCellAnchor>
    <xdr:from>
      <xdr:col>6</xdr:col>
      <xdr:colOff>191068</xdr:colOff>
      <xdr:row>206</xdr:row>
      <xdr:rowOff>36574</xdr:rowOff>
    </xdr:from>
    <xdr:to>
      <xdr:col>10</xdr:col>
      <xdr:colOff>203068</xdr:colOff>
      <xdr:row>207</xdr:row>
      <xdr:rowOff>98074</xdr:rowOff>
    </xdr:to>
    <xdr:sp macro="" textlink="">
      <xdr:nvSpPr>
        <xdr:cNvPr id="108" name="107 CuadroTexto"/>
        <xdr:cNvSpPr txBox="1"/>
      </xdr:nvSpPr>
      <xdr:spPr>
        <a:xfrm>
          <a:off x="5477443" y="43308649"/>
          <a:ext cx="3060000" cy="252000"/>
        </a:xfrm>
        <a:prstGeom prst="rect">
          <a:avLst/>
        </a:prstGeom>
        <a:solidFill>
          <a:schemeClr val="tx1">
            <a:lumMod val="65000"/>
            <a:lumOff val="3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200" b="1">
              <a:solidFill>
                <a:schemeClr val="bg1"/>
              </a:solidFill>
            </a:rPr>
            <a:t>Mermas entre preñez</a:t>
          </a:r>
          <a:r>
            <a:rPr lang="es-AR" sz="1200" b="1" baseline="0">
              <a:solidFill>
                <a:schemeClr val="bg1"/>
              </a:solidFill>
            </a:rPr>
            <a:t> y destete</a:t>
          </a:r>
          <a:endParaRPr lang="es-AR" sz="1200" b="1">
            <a:solidFill>
              <a:schemeClr val="bg1"/>
            </a:solidFill>
          </a:endParaRPr>
        </a:p>
      </xdr:txBody>
    </xdr:sp>
    <xdr:clientData/>
  </xdr:twoCellAnchor>
  <xdr:twoCellAnchor>
    <xdr:from>
      <xdr:col>10</xdr:col>
      <xdr:colOff>391093</xdr:colOff>
      <xdr:row>206</xdr:row>
      <xdr:rowOff>40844</xdr:rowOff>
    </xdr:from>
    <xdr:to>
      <xdr:col>14</xdr:col>
      <xdr:colOff>403093</xdr:colOff>
      <xdr:row>207</xdr:row>
      <xdr:rowOff>102344</xdr:rowOff>
    </xdr:to>
    <xdr:sp macro="" textlink="">
      <xdr:nvSpPr>
        <xdr:cNvPr id="109" name="108 CuadroTexto"/>
        <xdr:cNvSpPr txBox="1"/>
      </xdr:nvSpPr>
      <xdr:spPr>
        <a:xfrm>
          <a:off x="8725468" y="43312919"/>
          <a:ext cx="3060000" cy="252000"/>
        </a:xfrm>
        <a:prstGeom prst="rect">
          <a:avLst/>
        </a:prstGeom>
        <a:solidFill>
          <a:schemeClr val="tx1">
            <a:lumMod val="65000"/>
            <a:lumOff val="3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200" b="1">
              <a:solidFill>
                <a:schemeClr val="bg1"/>
              </a:solidFill>
            </a:rPr>
            <a:t>Peso medio</a:t>
          </a:r>
          <a:r>
            <a:rPr lang="es-AR" sz="1200" b="1" baseline="0">
              <a:solidFill>
                <a:schemeClr val="bg1"/>
              </a:solidFill>
            </a:rPr>
            <a:t> al destete</a:t>
          </a:r>
          <a:endParaRPr lang="es-AR" sz="1200" b="1">
            <a:solidFill>
              <a:schemeClr val="bg1"/>
            </a:solidFill>
          </a:endParaRPr>
        </a:p>
      </xdr:txBody>
    </xdr:sp>
    <xdr:clientData/>
  </xdr:twoCellAnchor>
  <xdr:twoCellAnchor>
    <xdr:from>
      <xdr:col>1</xdr:col>
      <xdr:colOff>533400</xdr:colOff>
      <xdr:row>241</xdr:row>
      <xdr:rowOff>180975</xdr:rowOff>
    </xdr:from>
    <xdr:to>
      <xdr:col>6</xdr:col>
      <xdr:colOff>119475</xdr:colOff>
      <xdr:row>243</xdr:row>
      <xdr:rowOff>51975</xdr:rowOff>
    </xdr:to>
    <xdr:sp macro="" textlink="">
      <xdr:nvSpPr>
        <xdr:cNvPr id="111" name="110 CuadroTexto"/>
        <xdr:cNvSpPr txBox="1"/>
      </xdr:nvSpPr>
      <xdr:spPr>
        <a:xfrm>
          <a:off x="790575" y="54130575"/>
          <a:ext cx="4320000" cy="252000"/>
        </a:xfrm>
        <a:prstGeom prst="rect">
          <a:avLst/>
        </a:prstGeom>
        <a:solidFill>
          <a:schemeClr val="tx1">
            <a:lumMod val="65000"/>
            <a:lumOff val="3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200" b="1">
              <a:solidFill>
                <a:schemeClr val="bg1"/>
              </a:solidFill>
            </a:rPr>
            <a:t>Servicio</a:t>
          </a:r>
          <a:r>
            <a:rPr lang="es-AR" sz="1200" b="1" baseline="0">
              <a:solidFill>
                <a:schemeClr val="bg1"/>
              </a:solidFill>
            </a:rPr>
            <a:t> principal: Mes de inicio y duración</a:t>
          </a:r>
          <a:endParaRPr lang="es-AR" sz="1200" b="1">
            <a:solidFill>
              <a:schemeClr val="bg1"/>
            </a:solidFill>
          </a:endParaRPr>
        </a:p>
      </xdr:txBody>
    </xdr:sp>
    <xdr:clientData/>
  </xdr:twoCellAnchor>
  <xdr:twoCellAnchor>
    <xdr:from>
      <xdr:col>7</xdr:col>
      <xdr:colOff>723900</xdr:colOff>
      <xdr:row>241</xdr:row>
      <xdr:rowOff>180975</xdr:rowOff>
    </xdr:from>
    <xdr:to>
      <xdr:col>13</xdr:col>
      <xdr:colOff>471900</xdr:colOff>
      <xdr:row>243</xdr:row>
      <xdr:rowOff>51975</xdr:rowOff>
    </xdr:to>
    <xdr:sp macro="" textlink="">
      <xdr:nvSpPr>
        <xdr:cNvPr id="112" name="111 CuadroTexto"/>
        <xdr:cNvSpPr txBox="1"/>
      </xdr:nvSpPr>
      <xdr:spPr>
        <a:xfrm>
          <a:off x="6477000" y="54130575"/>
          <a:ext cx="4320000" cy="252000"/>
        </a:xfrm>
        <a:prstGeom prst="rect">
          <a:avLst/>
        </a:prstGeom>
        <a:solidFill>
          <a:schemeClr val="tx1">
            <a:lumMod val="65000"/>
            <a:lumOff val="3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200" b="1">
              <a:solidFill>
                <a:schemeClr val="bg1"/>
              </a:solidFill>
            </a:rPr>
            <a:t>Servicio</a:t>
          </a:r>
          <a:r>
            <a:rPr lang="es-AR" sz="1200" b="1" baseline="0">
              <a:solidFill>
                <a:schemeClr val="bg1"/>
              </a:solidFill>
            </a:rPr>
            <a:t>  alternativo: Mes de inicio y duración</a:t>
          </a:r>
          <a:endParaRPr lang="es-AR" sz="1200" b="1">
            <a:solidFill>
              <a:schemeClr val="bg1"/>
            </a:solidFill>
          </a:endParaRPr>
        </a:p>
      </xdr:txBody>
    </xdr:sp>
    <xdr:clientData/>
  </xdr:twoCellAnchor>
  <xdr:twoCellAnchor>
    <xdr:from>
      <xdr:col>7</xdr:col>
      <xdr:colOff>552448</xdr:colOff>
      <xdr:row>267</xdr:row>
      <xdr:rowOff>171450</xdr:rowOff>
    </xdr:from>
    <xdr:to>
      <xdr:col>15</xdr:col>
      <xdr:colOff>432448</xdr:colOff>
      <xdr:row>269</xdr:row>
      <xdr:rowOff>78450</xdr:rowOff>
    </xdr:to>
    <xdr:sp macro="" textlink="">
      <xdr:nvSpPr>
        <xdr:cNvPr id="113" name="112 CuadroTexto"/>
        <xdr:cNvSpPr txBox="1"/>
      </xdr:nvSpPr>
      <xdr:spPr>
        <a:xfrm>
          <a:off x="6267448" y="58502550"/>
          <a:ext cx="5976000" cy="288000"/>
        </a:xfrm>
        <a:prstGeom prst="rect">
          <a:avLst/>
        </a:prstGeom>
        <a:solidFill>
          <a:schemeClr val="tx1">
            <a:lumMod val="65000"/>
            <a:lumOff val="3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200" b="1">
              <a:solidFill>
                <a:schemeClr val="bg1"/>
              </a:solidFill>
            </a:rPr>
            <a:t>Suplementación en</a:t>
          </a:r>
          <a:r>
            <a:rPr lang="es-AR" sz="1200" b="1" baseline="0">
              <a:solidFill>
                <a:schemeClr val="bg1"/>
              </a:solidFill>
            </a:rPr>
            <a:t> Cría - Insumos y proporción de la dieta suplementada.</a:t>
          </a:r>
          <a:endParaRPr lang="es-AR" sz="1200" b="1">
            <a:solidFill>
              <a:schemeClr val="bg1"/>
            </a:solidFill>
          </a:endParaRPr>
        </a:p>
      </xdr:txBody>
    </xdr:sp>
    <xdr:clientData/>
  </xdr:twoCellAnchor>
  <xdr:twoCellAnchor>
    <xdr:from>
      <xdr:col>7</xdr:col>
      <xdr:colOff>317654</xdr:colOff>
      <xdr:row>274</xdr:row>
      <xdr:rowOff>182427</xdr:rowOff>
    </xdr:from>
    <xdr:to>
      <xdr:col>9</xdr:col>
      <xdr:colOff>31904</xdr:colOff>
      <xdr:row>277</xdr:row>
      <xdr:rowOff>28575</xdr:rowOff>
    </xdr:to>
    <xdr:sp macro="" textlink="">
      <xdr:nvSpPr>
        <xdr:cNvPr id="21" name="20 CuadroTexto"/>
        <xdr:cNvSpPr txBox="1"/>
      </xdr:nvSpPr>
      <xdr:spPr>
        <a:xfrm>
          <a:off x="6070754" y="60056577"/>
          <a:ext cx="1238250" cy="42717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AR" sz="1050" b="1"/>
            <a:t>% de los casos que suplementan.</a:t>
          </a:r>
        </a:p>
      </xdr:txBody>
    </xdr:sp>
    <xdr:clientData/>
  </xdr:twoCellAnchor>
  <xdr:twoCellAnchor>
    <xdr:from>
      <xdr:col>7</xdr:col>
      <xdr:colOff>393854</xdr:colOff>
      <xdr:row>279</xdr:row>
      <xdr:rowOff>96702</xdr:rowOff>
    </xdr:from>
    <xdr:to>
      <xdr:col>9</xdr:col>
      <xdr:colOff>228600</xdr:colOff>
      <xdr:row>282</xdr:row>
      <xdr:rowOff>19050</xdr:rowOff>
    </xdr:to>
    <xdr:sp macro="" textlink="">
      <xdr:nvSpPr>
        <xdr:cNvPr id="115" name="114 CuadroTexto"/>
        <xdr:cNvSpPr txBox="1"/>
      </xdr:nvSpPr>
      <xdr:spPr>
        <a:xfrm>
          <a:off x="6108854" y="60723327"/>
          <a:ext cx="1358746" cy="49384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AR" sz="1050" b="1"/>
            <a:t>% de la dieta que suplementa (en MS)</a:t>
          </a:r>
        </a:p>
      </xdr:txBody>
    </xdr:sp>
    <xdr:clientData/>
  </xdr:twoCellAnchor>
  <xdr:twoCellAnchor>
    <xdr:from>
      <xdr:col>8</xdr:col>
      <xdr:colOff>0</xdr:colOff>
      <xdr:row>270</xdr:row>
      <xdr:rowOff>123825</xdr:rowOff>
    </xdr:from>
    <xdr:to>
      <xdr:col>8</xdr:col>
      <xdr:colOff>514350</xdr:colOff>
      <xdr:row>272</xdr:row>
      <xdr:rowOff>57300</xdr:rowOff>
    </xdr:to>
    <xdr:sp macro="" textlink="E271">
      <xdr:nvSpPr>
        <xdr:cNvPr id="5" name="4 Rectángulo redondeado"/>
        <xdr:cNvSpPr/>
      </xdr:nvSpPr>
      <xdr:spPr>
        <a:xfrm>
          <a:off x="6477000" y="58854975"/>
          <a:ext cx="514350" cy="324000"/>
        </a:xfrm>
        <a:prstGeom prst="roundRect">
          <a:avLst/>
        </a:prstGeom>
      </xdr:spPr>
      <xdr:style>
        <a:lnRef idx="1">
          <a:schemeClr val="accent6"/>
        </a:lnRef>
        <a:fillRef idx="3">
          <a:schemeClr val="accent6"/>
        </a:fillRef>
        <a:effectRef idx="2">
          <a:schemeClr val="accent6"/>
        </a:effectRef>
        <a:fontRef idx="minor">
          <a:schemeClr val="lt1"/>
        </a:fontRef>
      </xdr:style>
      <xdr:txBody>
        <a:bodyPr vertOverflow="clip" horzOverflow="clip" rtlCol="0" anchor="ctr"/>
        <a:lstStyle/>
        <a:p>
          <a:pPr algn="ctr"/>
          <a:fld id="{45069017-6F19-499F-B0E3-16CF908AC0DB}" type="TxLink">
            <a:rPr lang="en-US" sz="1200" b="1" i="0" u="none" strike="noStrike">
              <a:solidFill>
                <a:schemeClr val="bg1"/>
              </a:solidFill>
              <a:latin typeface="Calibri"/>
            </a:rPr>
            <a:pPr algn="ctr"/>
            <a:t>#¡DIV/0!</a:t>
          </a:fld>
          <a:endParaRPr lang="es-AR" sz="1200" b="1">
            <a:solidFill>
              <a:schemeClr val="bg1"/>
            </a:solidFill>
          </a:endParaRPr>
        </a:p>
      </xdr:txBody>
    </xdr:sp>
    <xdr:clientData/>
  </xdr:twoCellAnchor>
  <xdr:twoCellAnchor>
    <xdr:from>
      <xdr:col>8</xdr:col>
      <xdr:colOff>561974</xdr:colOff>
      <xdr:row>270</xdr:row>
      <xdr:rowOff>116907</xdr:rowOff>
    </xdr:from>
    <xdr:to>
      <xdr:col>13</xdr:col>
      <xdr:colOff>180975</xdr:colOff>
      <xdr:row>272</xdr:row>
      <xdr:rowOff>50382</xdr:rowOff>
    </xdr:to>
    <xdr:sp macro="" textlink="">
      <xdr:nvSpPr>
        <xdr:cNvPr id="8" name="7 Rectángulo redondeado"/>
        <xdr:cNvSpPr/>
      </xdr:nvSpPr>
      <xdr:spPr>
        <a:xfrm>
          <a:off x="7038974" y="58848057"/>
          <a:ext cx="3429001" cy="32400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s-AR" sz="1100"/>
            <a:t>De</a:t>
          </a:r>
          <a:r>
            <a:rPr lang="es-AR" sz="1100" baseline="0"/>
            <a:t> los establecimientos con cría, uilizan suplementación</a:t>
          </a:r>
          <a:endParaRPr lang="es-AR" sz="1100"/>
        </a:p>
      </xdr:txBody>
    </xdr:sp>
    <xdr:clientData/>
  </xdr:twoCellAnchor>
  <xdr:twoCellAnchor>
    <xdr:from>
      <xdr:col>14</xdr:col>
      <xdr:colOff>495299</xdr:colOff>
      <xdr:row>208</xdr:row>
      <xdr:rowOff>28575</xdr:rowOff>
    </xdr:from>
    <xdr:to>
      <xdr:col>15</xdr:col>
      <xdr:colOff>647699</xdr:colOff>
      <xdr:row>213</xdr:row>
      <xdr:rowOff>161925</xdr:rowOff>
    </xdr:to>
    <xdr:sp macro="" textlink="">
      <xdr:nvSpPr>
        <xdr:cNvPr id="119" name="118 CuadroTexto"/>
        <xdr:cNvSpPr txBox="1"/>
      </xdr:nvSpPr>
      <xdr:spPr>
        <a:xfrm>
          <a:off x="11544299" y="43110150"/>
          <a:ext cx="914400" cy="1085850"/>
        </a:xfrm>
        <a:prstGeom prst="round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wrap="square" lIns="36000" tIns="36000" rIns="36000" bIns="36000" rtlCol="0" anchor="t"/>
        <a:lstStyle/>
        <a:p>
          <a:pPr algn="ctr"/>
          <a:r>
            <a:rPr lang="es-AR" sz="1100" b="1">
              <a:solidFill>
                <a:sysClr val="windowText" lastClr="000000"/>
              </a:solidFill>
            </a:rPr>
            <a:t>Peso destete promedio (kg/cab)</a:t>
          </a:r>
        </a:p>
      </xdr:txBody>
    </xdr:sp>
    <xdr:clientData/>
  </xdr:twoCellAnchor>
  <xdr:oneCellAnchor>
    <xdr:from>
      <xdr:col>14</xdr:col>
      <xdr:colOff>470718</xdr:colOff>
      <xdr:row>211</xdr:row>
      <xdr:rowOff>56876</xdr:rowOff>
    </xdr:from>
    <xdr:ext cx="968824" cy="372021"/>
    <xdr:sp macro="" textlink="K197">
      <xdr:nvSpPr>
        <xdr:cNvPr id="120" name="119 Elipse"/>
        <xdr:cNvSpPr/>
      </xdr:nvSpPr>
      <xdr:spPr>
        <a:xfrm>
          <a:off x="11631777" y="40980758"/>
          <a:ext cx="968824" cy="372021"/>
        </a:xfrm>
        <a:prstGeom prst="ellipse">
          <a:avLst/>
        </a:prstGeom>
      </xdr:spPr>
      <xdr:style>
        <a:lnRef idx="1">
          <a:schemeClr val="accent6"/>
        </a:lnRef>
        <a:fillRef idx="3">
          <a:schemeClr val="accent6"/>
        </a:fillRef>
        <a:effectRef idx="2">
          <a:schemeClr val="accent6"/>
        </a:effectRef>
        <a:fontRef idx="minor">
          <a:schemeClr val="lt1"/>
        </a:fontRef>
      </xdr:style>
      <xdr:txBody>
        <a:bodyPr vertOverflow="clip" horzOverflow="clip" wrap="none" rtlCol="0" anchor="ctr">
          <a:spAutoFit/>
        </a:bodyPr>
        <a:lstStyle/>
        <a:p>
          <a:pPr algn="ctr"/>
          <a:fld id="{4073E346-D699-4046-96C1-D5DD049EBB67}" type="TxLink">
            <a:rPr lang="en-US" sz="1100" b="1" i="0" u="none" strike="noStrike">
              <a:solidFill>
                <a:schemeClr val="bg1"/>
              </a:solidFill>
              <a:latin typeface="Calibri"/>
            </a:rPr>
            <a:pPr algn="ctr"/>
            <a:t>#¡DIV/0!</a:t>
          </a:fld>
          <a:endParaRPr lang="es-AR" sz="1200" b="1">
            <a:solidFill>
              <a:schemeClr val="bg1"/>
            </a:solidFill>
          </a:endParaRPr>
        </a:p>
      </xdr:txBody>
    </xdr:sp>
    <xdr:clientData/>
  </xdr:oneCellAnchor>
  <xdr:twoCellAnchor>
    <xdr:from>
      <xdr:col>14</xdr:col>
      <xdr:colOff>495299</xdr:colOff>
      <xdr:row>214</xdr:row>
      <xdr:rowOff>28576</xdr:rowOff>
    </xdr:from>
    <xdr:to>
      <xdr:col>15</xdr:col>
      <xdr:colOff>647699</xdr:colOff>
      <xdr:row>219</xdr:row>
      <xdr:rowOff>161926</xdr:rowOff>
    </xdr:to>
    <xdr:sp macro="" textlink="">
      <xdr:nvSpPr>
        <xdr:cNvPr id="121" name="120 CuadroTexto"/>
        <xdr:cNvSpPr txBox="1"/>
      </xdr:nvSpPr>
      <xdr:spPr>
        <a:xfrm>
          <a:off x="11544299" y="44253151"/>
          <a:ext cx="914400" cy="1085850"/>
        </a:xfrm>
        <a:prstGeom prst="round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wrap="square" lIns="36000" tIns="36000" rIns="36000" bIns="36000" rtlCol="0" anchor="t"/>
        <a:lstStyle/>
        <a:p>
          <a:pPr algn="ctr"/>
          <a:r>
            <a:rPr lang="es-AR" sz="1100" b="1">
              <a:solidFill>
                <a:sysClr val="windowText" lastClr="000000"/>
              </a:solidFill>
            </a:rPr>
            <a:t>Terneros destetados</a:t>
          </a:r>
          <a:r>
            <a:rPr lang="es-AR" sz="1100" b="1" baseline="0">
              <a:solidFill>
                <a:sysClr val="windowText" lastClr="000000"/>
              </a:solidFill>
            </a:rPr>
            <a:t> (cab)</a:t>
          </a:r>
          <a:endParaRPr lang="es-AR" sz="1100" b="1">
            <a:solidFill>
              <a:sysClr val="windowText" lastClr="000000"/>
            </a:solidFill>
          </a:endParaRPr>
        </a:p>
      </xdr:txBody>
    </xdr:sp>
    <xdr:clientData/>
  </xdr:twoCellAnchor>
  <xdr:oneCellAnchor>
    <xdr:from>
      <xdr:col>15</xdr:col>
      <xdr:colOff>1706</xdr:colOff>
      <xdr:row>217</xdr:row>
      <xdr:rowOff>163209</xdr:rowOff>
    </xdr:from>
    <xdr:ext cx="382847" cy="292704"/>
    <xdr:sp macro="" textlink="K196">
      <xdr:nvSpPr>
        <xdr:cNvPr id="122" name="121 Rectángulo redondeado"/>
        <xdr:cNvSpPr/>
      </xdr:nvSpPr>
      <xdr:spPr>
        <a:xfrm>
          <a:off x="11924765" y="42230091"/>
          <a:ext cx="382847" cy="292704"/>
        </a:xfrm>
        <a:prstGeom prst="roundRect">
          <a:avLst/>
        </a:prstGeom>
      </xdr:spPr>
      <xdr:style>
        <a:lnRef idx="1">
          <a:schemeClr val="accent6"/>
        </a:lnRef>
        <a:fillRef idx="3">
          <a:schemeClr val="accent6"/>
        </a:fillRef>
        <a:effectRef idx="2">
          <a:schemeClr val="accent6"/>
        </a:effectRef>
        <a:fontRef idx="minor">
          <a:schemeClr val="lt1"/>
        </a:fontRef>
      </xdr:style>
      <xdr:txBody>
        <a:bodyPr vertOverflow="clip" horzOverflow="clip" wrap="none" rtlCol="0" anchor="ctr">
          <a:spAutoFit/>
        </a:bodyPr>
        <a:lstStyle/>
        <a:p>
          <a:pPr algn="ctr"/>
          <a:fld id="{FE17D6E8-3ABA-43D5-9617-50529E427860}" type="TxLink">
            <a:rPr lang="en-US" sz="1100" b="1" i="0" u="none" strike="noStrike">
              <a:solidFill>
                <a:schemeClr val="bg1"/>
              </a:solidFill>
              <a:latin typeface="Calibri"/>
            </a:rPr>
            <a:pPr algn="ctr"/>
            <a:t> -   </a:t>
          </a:fld>
          <a:endParaRPr lang="es-AR" sz="1400" b="1">
            <a:solidFill>
              <a:schemeClr val="bg1"/>
            </a:solidFill>
          </a:endParaRPr>
        </a:p>
      </xdr:txBody>
    </xdr:sp>
    <xdr:clientData/>
  </xdr:oneCellAnchor>
  <xdr:twoCellAnchor>
    <xdr:from>
      <xdr:col>14</xdr:col>
      <xdr:colOff>466725</xdr:colOff>
      <xdr:row>206</xdr:row>
      <xdr:rowOff>47625</xdr:rowOff>
    </xdr:from>
    <xdr:to>
      <xdr:col>15</xdr:col>
      <xdr:colOff>657225</xdr:colOff>
      <xdr:row>207</xdr:row>
      <xdr:rowOff>109125</xdr:rowOff>
    </xdr:to>
    <xdr:sp macro="" textlink="">
      <xdr:nvSpPr>
        <xdr:cNvPr id="124" name="123 CuadroTexto"/>
        <xdr:cNvSpPr txBox="1"/>
      </xdr:nvSpPr>
      <xdr:spPr>
        <a:xfrm>
          <a:off x="11515725" y="42748200"/>
          <a:ext cx="952500" cy="252000"/>
        </a:xfrm>
        <a:prstGeom prst="rect">
          <a:avLst/>
        </a:prstGeom>
        <a:solidFill>
          <a:schemeClr val="bg1">
            <a:lumMod val="6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AR" sz="1100" b="1">
              <a:solidFill>
                <a:schemeClr val="bg1"/>
              </a:solidFill>
            </a:rPr>
            <a:t>DATOS...</a:t>
          </a:r>
        </a:p>
      </xdr:txBody>
    </xdr:sp>
    <xdr:clientData/>
  </xdr:twoCellAnchor>
  <xdr:twoCellAnchor editAs="oneCell">
    <xdr:from>
      <xdr:col>0</xdr:col>
      <xdr:colOff>197224</xdr:colOff>
      <xdr:row>0</xdr:row>
      <xdr:rowOff>0</xdr:rowOff>
    </xdr:from>
    <xdr:to>
      <xdr:col>1</xdr:col>
      <xdr:colOff>954822</xdr:colOff>
      <xdr:row>2</xdr:row>
      <xdr:rowOff>227068</xdr:rowOff>
    </xdr:to>
    <xdr:pic>
      <xdr:nvPicPr>
        <xdr:cNvPr id="105" name="104 Imagen"/>
        <xdr:cNvPicPr>
          <a:picLocks noChangeAspect="1"/>
        </xdr:cNvPicPr>
      </xdr:nvPicPr>
      <xdr:blipFill>
        <a:blip xmlns:r="http://schemas.openxmlformats.org/officeDocument/2006/relationships" r:embed="rId33"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197224" y="0"/>
          <a:ext cx="981716" cy="708921"/>
        </a:xfrm>
        <a:prstGeom prst="rect">
          <a:avLst/>
        </a:prstGeom>
      </xdr:spPr>
    </xdr:pic>
    <xdr:clientData/>
  </xdr:twoCellAnchor>
  <xdr:twoCellAnchor>
    <xdr:from>
      <xdr:col>1</xdr:col>
      <xdr:colOff>163681</xdr:colOff>
      <xdr:row>313</xdr:row>
      <xdr:rowOff>37937</xdr:rowOff>
    </xdr:from>
    <xdr:to>
      <xdr:col>3</xdr:col>
      <xdr:colOff>571500</xdr:colOff>
      <xdr:row>325</xdr:row>
      <xdr:rowOff>9525</xdr:rowOff>
    </xdr:to>
    <xdr:graphicFrame macro="">
      <xdr:nvGraphicFramePr>
        <xdr:cNvPr id="114" name="113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4"/>
        </a:graphicData>
      </a:graphic>
    </xdr:graphicFrame>
    <xdr:clientData/>
  </xdr:twoCellAnchor>
  <xdr:twoCellAnchor>
    <xdr:from>
      <xdr:col>1</xdr:col>
      <xdr:colOff>48192</xdr:colOff>
      <xdr:row>311</xdr:row>
      <xdr:rowOff>43143</xdr:rowOff>
    </xdr:from>
    <xdr:to>
      <xdr:col>11</xdr:col>
      <xdr:colOff>619125</xdr:colOff>
      <xdr:row>312</xdr:row>
      <xdr:rowOff>104643</xdr:rowOff>
    </xdr:to>
    <xdr:sp macro="" textlink="">
      <xdr:nvSpPr>
        <xdr:cNvPr id="125" name="124 CuadroTexto"/>
        <xdr:cNvSpPr txBox="1"/>
      </xdr:nvSpPr>
      <xdr:spPr>
        <a:xfrm>
          <a:off x="1324542" y="63670143"/>
          <a:ext cx="9229158" cy="252000"/>
        </a:xfrm>
        <a:prstGeom prst="rect">
          <a:avLst/>
        </a:prstGeom>
        <a:solidFill>
          <a:schemeClr val="tx1">
            <a:lumMod val="65000"/>
            <a:lumOff val="3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200" b="1">
              <a:solidFill>
                <a:schemeClr val="bg1"/>
              </a:solidFill>
            </a:rPr>
            <a:t>Resultados productivos</a:t>
          </a:r>
          <a:r>
            <a:rPr lang="es-AR" sz="1200" b="1" baseline="0">
              <a:solidFill>
                <a:schemeClr val="bg1"/>
              </a:solidFill>
            </a:rPr>
            <a:t> de la invernada a pasto</a:t>
          </a:r>
          <a:endParaRPr lang="es-AR" sz="1200" b="1">
            <a:solidFill>
              <a:schemeClr val="bg1"/>
            </a:solidFill>
          </a:endParaRPr>
        </a:p>
      </xdr:txBody>
    </xdr:sp>
    <xdr:clientData/>
  </xdr:twoCellAnchor>
  <xdr:twoCellAnchor>
    <xdr:from>
      <xdr:col>4</xdr:col>
      <xdr:colOff>0</xdr:colOff>
      <xdr:row>313</xdr:row>
      <xdr:rowOff>0</xdr:rowOff>
    </xdr:from>
    <xdr:to>
      <xdr:col>7</xdr:col>
      <xdr:colOff>407819</xdr:colOff>
      <xdr:row>324</xdr:row>
      <xdr:rowOff>181138</xdr:rowOff>
    </xdr:to>
    <xdr:graphicFrame macro="">
      <xdr:nvGraphicFramePr>
        <xdr:cNvPr id="126" name="125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5"/>
        </a:graphicData>
      </a:graphic>
    </xdr:graphicFrame>
    <xdr:clientData/>
  </xdr:twoCellAnchor>
  <xdr:twoCellAnchor>
    <xdr:from>
      <xdr:col>8</xdr:col>
      <xdr:colOff>0</xdr:colOff>
      <xdr:row>313</xdr:row>
      <xdr:rowOff>0</xdr:rowOff>
    </xdr:from>
    <xdr:to>
      <xdr:col>11</xdr:col>
      <xdr:colOff>561975</xdr:colOff>
      <xdr:row>324</xdr:row>
      <xdr:rowOff>181138</xdr:rowOff>
    </xdr:to>
    <xdr:graphicFrame macro="">
      <xdr:nvGraphicFramePr>
        <xdr:cNvPr id="127" name="126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6"/>
        </a:graphicData>
      </a:graphic>
    </xdr:graphicFrame>
    <xdr:clientData/>
  </xdr:twoCellAnchor>
  <xdr:twoCellAnchor>
    <xdr:from>
      <xdr:col>1</xdr:col>
      <xdr:colOff>163681</xdr:colOff>
      <xdr:row>346</xdr:row>
      <xdr:rowOff>37937</xdr:rowOff>
    </xdr:from>
    <xdr:to>
      <xdr:col>3</xdr:col>
      <xdr:colOff>571500</xdr:colOff>
      <xdr:row>358</xdr:row>
      <xdr:rowOff>9525</xdr:rowOff>
    </xdr:to>
    <xdr:graphicFrame macro="">
      <xdr:nvGraphicFramePr>
        <xdr:cNvPr id="128" name="127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7"/>
        </a:graphicData>
      </a:graphic>
    </xdr:graphicFrame>
    <xdr:clientData/>
  </xdr:twoCellAnchor>
  <xdr:twoCellAnchor>
    <xdr:from>
      <xdr:col>1</xdr:col>
      <xdr:colOff>48192</xdr:colOff>
      <xdr:row>344</xdr:row>
      <xdr:rowOff>43143</xdr:rowOff>
    </xdr:from>
    <xdr:to>
      <xdr:col>11</xdr:col>
      <xdr:colOff>619125</xdr:colOff>
      <xdr:row>345</xdr:row>
      <xdr:rowOff>104643</xdr:rowOff>
    </xdr:to>
    <xdr:sp macro="" textlink="">
      <xdr:nvSpPr>
        <xdr:cNvPr id="129" name="128 CuadroTexto"/>
        <xdr:cNvSpPr txBox="1"/>
      </xdr:nvSpPr>
      <xdr:spPr>
        <a:xfrm>
          <a:off x="1324542" y="63670143"/>
          <a:ext cx="9229158" cy="252000"/>
        </a:xfrm>
        <a:prstGeom prst="rect">
          <a:avLst/>
        </a:prstGeom>
        <a:solidFill>
          <a:schemeClr val="tx1">
            <a:lumMod val="65000"/>
            <a:lumOff val="3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200" b="1">
              <a:solidFill>
                <a:schemeClr val="bg1"/>
              </a:solidFill>
            </a:rPr>
            <a:t>Resultados productivos</a:t>
          </a:r>
          <a:r>
            <a:rPr lang="es-AR" sz="1200" b="1" baseline="0">
              <a:solidFill>
                <a:schemeClr val="bg1"/>
              </a:solidFill>
            </a:rPr>
            <a:t> de la invernada a pasto</a:t>
          </a:r>
          <a:endParaRPr lang="es-AR" sz="1200" b="1">
            <a:solidFill>
              <a:schemeClr val="bg1"/>
            </a:solidFill>
          </a:endParaRPr>
        </a:p>
      </xdr:txBody>
    </xdr:sp>
    <xdr:clientData/>
  </xdr:twoCellAnchor>
  <xdr:twoCellAnchor>
    <xdr:from>
      <xdr:col>4</xdr:col>
      <xdr:colOff>0</xdr:colOff>
      <xdr:row>346</xdr:row>
      <xdr:rowOff>0</xdr:rowOff>
    </xdr:from>
    <xdr:to>
      <xdr:col>7</xdr:col>
      <xdr:colOff>574507</xdr:colOff>
      <xdr:row>357</xdr:row>
      <xdr:rowOff>185901</xdr:rowOff>
    </xdr:to>
    <xdr:graphicFrame macro="">
      <xdr:nvGraphicFramePr>
        <xdr:cNvPr id="132" name="131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8"/>
        </a:graphicData>
      </a:graphic>
    </xdr:graphicFrame>
    <xdr:clientData/>
  </xdr:twoCellAnchor>
  <xdr:twoCellAnchor>
    <xdr:from>
      <xdr:col>8</xdr:col>
      <xdr:colOff>0</xdr:colOff>
      <xdr:row>346</xdr:row>
      <xdr:rowOff>0</xdr:rowOff>
    </xdr:from>
    <xdr:to>
      <xdr:col>11</xdr:col>
      <xdr:colOff>574507</xdr:colOff>
      <xdr:row>357</xdr:row>
      <xdr:rowOff>185901</xdr:rowOff>
    </xdr:to>
    <xdr:graphicFrame macro="">
      <xdr:nvGraphicFramePr>
        <xdr:cNvPr id="133" name="132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9"/>
        </a:graphicData>
      </a:graphic>
    </xdr:graphicFrame>
    <xdr:clientData/>
  </xdr:twoCellAnchor>
  <xdr:twoCellAnchor>
    <xdr:from>
      <xdr:col>1</xdr:col>
      <xdr:colOff>163681</xdr:colOff>
      <xdr:row>379</xdr:row>
      <xdr:rowOff>37937</xdr:rowOff>
    </xdr:from>
    <xdr:to>
      <xdr:col>3</xdr:col>
      <xdr:colOff>571500</xdr:colOff>
      <xdr:row>391</xdr:row>
      <xdr:rowOff>9525</xdr:rowOff>
    </xdr:to>
    <xdr:graphicFrame macro="">
      <xdr:nvGraphicFramePr>
        <xdr:cNvPr id="139" name="138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0"/>
        </a:graphicData>
      </a:graphic>
    </xdr:graphicFrame>
    <xdr:clientData/>
  </xdr:twoCellAnchor>
  <xdr:twoCellAnchor>
    <xdr:from>
      <xdr:col>1</xdr:col>
      <xdr:colOff>123279</xdr:colOff>
      <xdr:row>377</xdr:row>
      <xdr:rowOff>43143</xdr:rowOff>
    </xdr:from>
    <xdr:to>
      <xdr:col>15</xdr:col>
      <xdr:colOff>698653</xdr:colOff>
      <xdr:row>378</xdr:row>
      <xdr:rowOff>104643</xdr:rowOff>
    </xdr:to>
    <xdr:sp macro="" textlink="">
      <xdr:nvSpPr>
        <xdr:cNvPr id="140" name="139 CuadroTexto"/>
        <xdr:cNvSpPr txBox="1"/>
      </xdr:nvSpPr>
      <xdr:spPr>
        <a:xfrm>
          <a:off x="1322308" y="73520114"/>
          <a:ext cx="12274316" cy="252000"/>
        </a:xfrm>
        <a:prstGeom prst="rect">
          <a:avLst/>
        </a:prstGeom>
        <a:solidFill>
          <a:schemeClr val="tx1">
            <a:lumMod val="65000"/>
            <a:lumOff val="3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200" b="1">
              <a:solidFill>
                <a:schemeClr val="bg1"/>
              </a:solidFill>
            </a:rPr>
            <a:t>Resultados productivos</a:t>
          </a:r>
          <a:r>
            <a:rPr lang="es-AR" sz="1200" b="1" baseline="0">
              <a:solidFill>
                <a:schemeClr val="bg1"/>
              </a:solidFill>
            </a:rPr>
            <a:t> de la recría a corral</a:t>
          </a:r>
          <a:endParaRPr lang="es-AR" sz="1200" b="1">
            <a:solidFill>
              <a:schemeClr val="bg1"/>
            </a:solidFill>
          </a:endParaRPr>
        </a:p>
      </xdr:txBody>
    </xdr:sp>
    <xdr:clientData/>
  </xdr:twoCellAnchor>
  <xdr:twoCellAnchor>
    <xdr:from>
      <xdr:col>4</xdr:col>
      <xdr:colOff>0</xdr:colOff>
      <xdr:row>379</xdr:row>
      <xdr:rowOff>0</xdr:rowOff>
    </xdr:from>
    <xdr:to>
      <xdr:col>7</xdr:col>
      <xdr:colOff>564702</xdr:colOff>
      <xdr:row>390</xdr:row>
      <xdr:rowOff>184500</xdr:rowOff>
    </xdr:to>
    <xdr:graphicFrame macro="">
      <xdr:nvGraphicFramePr>
        <xdr:cNvPr id="145" name="144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1"/>
        </a:graphicData>
      </a:graphic>
    </xdr:graphicFrame>
    <xdr:clientData/>
  </xdr:twoCellAnchor>
  <xdr:twoCellAnchor>
    <xdr:from>
      <xdr:col>8</xdr:col>
      <xdr:colOff>0</xdr:colOff>
      <xdr:row>379</xdr:row>
      <xdr:rowOff>0</xdr:rowOff>
    </xdr:from>
    <xdr:to>
      <xdr:col>11</xdr:col>
      <xdr:colOff>564702</xdr:colOff>
      <xdr:row>390</xdr:row>
      <xdr:rowOff>184500</xdr:rowOff>
    </xdr:to>
    <xdr:graphicFrame macro="">
      <xdr:nvGraphicFramePr>
        <xdr:cNvPr id="146" name="145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2"/>
        </a:graphicData>
      </a:graphic>
    </xdr:graphicFrame>
    <xdr:clientData/>
  </xdr:twoCellAnchor>
  <xdr:twoCellAnchor>
    <xdr:from>
      <xdr:col>1</xdr:col>
      <xdr:colOff>163681</xdr:colOff>
      <xdr:row>412</xdr:row>
      <xdr:rowOff>37937</xdr:rowOff>
    </xdr:from>
    <xdr:to>
      <xdr:col>3</xdr:col>
      <xdr:colOff>571500</xdr:colOff>
      <xdr:row>424</xdr:row>
      <xdr:rowOff>9525</xdr:rowOff>
    </xdr:to>
    <xdr:graphicFrame macro="">
      <xdr:nvGraphicFramePr>
        <xdr:cNvPr id="147" name="146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3"/>
        </a:graphicData>
      </a:graphic>
    </xdr:graphicFrame>
    <xdr:clientData/>
  </xdr:twoCellAnchor>
  <xdr:twoCellAnchor>
    <xdr:from>
      <xdr:col>1</xdr:col>
      <xdr:colOff>48192</xdr:colOff>
      <xdr:row>410</xdr:row>
      <xdr:rowOff>33617</xdr:rowOff>
    </xdr:from>
    <xdr:to>
      <xdr:col>16</xdr:col>
      <xdr:colOff>78441</xdr:colOff>
      <xdr:row>411</xdr:row>
      <xdr:rowOff>104643</xdr:rowOff>
    </xdr:to>
    <xdr:sp macro="" textlink="">
      <xdr:nvSpPr>
        <xdr:cNvPr id="148" name="147 CuadroTexto"/>
        <xdr:cNvSpPr txBox="1"/>
      </xdr:nvSpPr>
      <xdr:spPr>
        <a:xfrm>
          <a:off x="1247221" y="80077235"/>
          <a:ext cx="12491191" cy="261526"/>
        </a:xfrm>
        <a:prstGeom prst="rect">
          <a:avLst/>
        </a:prstGeom>
        <a:solidFill>
          <a:schemeClr val="tx1">
            <a:lumMod val="65000"/>
            <a:lumOff val="3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200" b="1">
              <a:solidFill>
                <a:schemeClr val="bg1"/>
              </a:solidFill>
            </a:rPr>
            <a:t>Resultados productivos</a:t>
          </a:r>
          <a:r>
            <a:rPr lang="es-AR" sz="1200" b="1" baseline="0">
              <a:solidFill>
                <a:schemeClr val="bg1"/>
              </a:solidFill>
            </a:rPr>
            <a:t> de la invernada a corral</a:t>
          </a:r>
          <a:endParaRPr lang="es-AR" sz="1200" b="1">
            <a:solidFill>
              <a:schemeClr val="bg1"/>
            </a:solidFill>
          </a:endParaRPr>
        </a:p>
      </xdr:txBody>
    </xdr:sp>
    <xdr:clientData/>
  </xdr:twoCellAnchor>
  <xdr:twoCellAnchor>
    <xdr:from>
      <xdr:col>11</xdr:col>
      <xdr:colOff>717177</xdr:colOff>
      <xdr:row>378</xdr:row>
      <xdr:rowOff>168089</xdr:rowOff>
    </xdr:from>
    <xdr:to>
      <xdr:col>15</xdr:col>
      <xdr:colOff>519879</xdr:colOff>
      <xdr:row>390</xdr:row>
      <xdr:rowOff>162089</xdr:rowOff>
    </xdr:to>
    <xdr:graphicFrame macro="">
      <xdr:nvGraphicFramePr>
        <xdr:cNvPr id="154" name="153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4"/>
        </a:graphicData>
      </a:graphic>
    </xdr:graphicFrame>
    <xdr:clientData/>
  </xdr:twoCellAnchor>
  <xdr:twoCellAnchor>
    <xdr:from>
      <xdr:col>4</xdr:col>
      <xdr:colOff>0</xdr:colOff>
      <xdr:row>412</xdr:row>
      <xdr:rowOff>0</xdr:rowOff>
    </xdr:from>
    <xdr:to>
      <xdr:col>7</xdr:col>
      <xdr:colOff>564702</xdr:colOff>
      <xdr:row>423</xdr:row>
      <xdr:rowOff>184500</xdr:rowOff>
    </xdr:to>
    <xdr:graphicFrame macro="">
      <xdr:nvGraphicFramePr>
        <xdr:cNvPr id="155" name="154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5"/>
        </a:graphicData>
      </a:graphic>
    </xdr:graphicFrame>
    <xdr:clientData/>
  </xdr:twoCellAnchor>
  <xdr:twoCellAnchor>
    <xdr:from>
      <xdr:col>8</xdr:col>
      <xdr:colOff>0</xdr:colOff>
      <xdr:row>412</xdr:row>
      <xdr:rowOff>0</xdr:rowOff>
    </xdr:from>
    <xdr:to>
      <xdr:col>11</xdr:col>
      <xdr:colOff>564702</xdr:colOff>
      <xdr:row>423</xdr:row>
      <xdr:rowOff>184500</xdr:rowOff>
    </xdr:to>
    <xdr:graphicFrame macro="">
      <xdr:nvGraphicFramePr>
        <xdr:cNvPr id="156" name="155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6"/>
        </a:graphicData>
      </a:graphic>
    </xdr:graphicFrame>
    <xdr:clientData/>
  </xdr:twoCellAnchor>
  <xdr:twoCellAnchor>
    <xdr:from>
      <xdr:col>12</xdr:col>
      <xdr:colOff>0</xdr:colOff>
      <xdr:row>412</xdr:row>
      <xdr:rowOff>0</xdr:rowOff>
    </xdr:from>
    <xdr:to>
      <xdr:col>15</xdr:col>
      <xdr:colOff>564702</xdr:colOff>
      <xdr:row>423</xdr:row>
      <xdr:rowOff>184500</xdr:rowOff>
    </xdr:to>
    <xdr:graphicFrame macro="">
      <xdr:nvGraphicFramePr>
        <xdr:cNvPr id="157" name="156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7"/>
        </a:graphicData>
      </a:graphic>
    </xdr:graphicFrame>
    <xdr:clientData/>
  </xdr:twoCellAnchor>
  <xdr:twoCellAnchor editAs="oneCell">
    <xdr:from>
      <xdr:col>14</xdr:col>
      <xdr:colOff>434610</xdr:colOff>
      <xdr:row>49</xdr:row>
      <xdr:rowOff>158530</xdr:rowOff>
    </xdr:from>
    <xdr:to>
      <xdr:col>15</xdr:col>
      <xdr:colOff>189482</xdr:colOff>
      <xdr:row>51</xdr:row>
      <xdr:rowOff>174878</xdr:rowOff>
    </xdr:to>
    <xdr:pic>
      <xdr:nvPicPr>
        <xdr:cNvPr id="158" name="4 Imagen" descr="reservas.gif"/>
        <xdr:cNvPicPr>
          <a:picLocks noChangeAspect="1"/>
        </xdr:cNvPicPr>
      </xdr:nvPicPr>
      <xdr:blipFill rotWithShape="1">
        <a:blip xmlns:r="http://schemas.openxmlformats.org/officeDocument/2006/relationships" r:embed="rId48" cstate="print">
          <a:extLst/>
        </a:blip>
        <a:srcRect l="5626" t="5001" r="6054" b="24494"/>
        <a:stretch/>
      </xdr:blipFill>
      <xdr:spPr>
        <a:xfrm>
          <a:off x="11763757" y="9974883"/>
          <a:ext cx="516872" cy="397348"/>
        </a:xfrm>
        <a:prstGeom prst="rect">
          <a:avLst/>
        </a:prstGeom>
      </xdr:spPr>
    </xdr:pic>
    <xdr:clientData/>
  </xdr:twoCellAnchor>
  <xdr:twoCellAnchor editAs="oneCell">
    <xdr:from>
      <xdr:col>15</xdr:col>
      <xdr:colOff>185913</xdr:colOff>
      <xdr:row>50</xdr:row>
      <xdr:rowOff>140724</xdr:rowOff>
    </xdr:from>
    <xdr:to>
      <xdr:col>15</xdr:col>
      <xdr:colOff>699869</xdr:colOff>
      <xdr:row>53</xdr:row>
      <xdr:rowOff>30471</xdr:rowOff>
    </xdr:to>
    <xdr:pic>
      <xdr:nvPicPr>
        <xdr:cNvPr id="159" name="12 Imagen" descr="balanceados.gif"/>
        <xdr:cNvPicPr>
          <a:picLocks noChangeAspect="1"/>
        </xdr:cNvPicPr>
      </xdr:nvPicPr>
      <xdr:blipFill rotWithShape="1">
        <a:blip xmlns:r="http://schemas.openxmlformats.org/officeDocument/2006/relationships" r:embed="rId49" cstate="print">
          <a:extLst/>
        </a:blip>
        <a:srcRect l="8025" t="5550" r="6868" b="25820"/>
        <a:stretch/>
      </xdr:blipFill>
      <xdr:spPr>
        <a:xfrm>
          <a:off x="12277060" y="10147577"/>
          <a:ext cx="513956" cy="461247"/>
        </a:xfrm>
        <a:prstGeom prst="rect">
          <a:avLst/>
        </a:prstGeom>
      </xdr:spPr>
    </xdr:pic>
    <xdr:clientData/>
  </xdr:twoCellAnchor>
  <xdr:twoCellAnchor editAs="oneCell">
    <xdr:from>
      <xdr:col>17</xdr:col>
      <xdr:colOff>556241</xdr:colOff>
      <xdr:row>30</xdr:row>
      <xdr:rowOff>134503</xdr:rowOff>
    </xdr:from>
    <xdr:to>
      <xdr:col>18</xdr:col>
      <xdr:colOff>347382</xdr:colOff>
      <xdr:row>34</xdr:row>
      <xdr:rowOff>22412</xdr:rowOff>
    </xdr:to>
    <xdr:pic>
      <xdr:nvPicPr>
        <xdr:cNvPr id="160" name="80 Imagen" descr="camioneta.gif"/>
        <xdr:cNvPicPr>
          <a:picLocks noChangeAspect="1"/>
        </xdr:cNvPicPr>
      </xdr:nvPicPr>
      <xdr:blipFill rotWithShape="1">
        <a:blip xmlns:r="http://schemas.openxmlformats.org/officeDocument/2006/relationships" r:embed="rId50" cstate="print">
          <a:clrChange>
            <a:clrFrom>
              <a:srgbClr val="FFFFFF"/>
            </a:clrFrom>
            <a:clrTo>
              <a:srgbClr val="FFFFFF">
                <a:alpha val="0"/>
              </a:srgbClr>
            </a:clrTo>
          </a:clrChange>
        </a:blip>
        <a:srcRect l="5571" t="11124" r="3780" b="24700"/>
        <a:stretch/>
      </xdr:blipFill>
      <xdr:spPr>
        <a:xfrm>
          <a:off x="13902447" y="6241709"/>
          <a:ext cx="553141" cy="649909"/>
        </a:xfrm>
        <a:prstGeom prst="rect">
          <a:avLst/>
        </a:prstGeom>
      </xdr:spPr>
    </xdr:pic>
    <xdr:clientData/>
  </xdr:twoCellAnchor>
  <xdr:twoCellAnchor editAs="oneCell">
    <xdr:from>
      <xdr:col>17</xdr:col>
      <xdr:colOff>163057</xdr:colOff>
      <xdr:row>26</xdr:row>
      <xdr:rowOff>137402</xdr:rowOff>
    </xdr:from>
    <xdr:to>
      <xdr:col>18</xdr:col>
      <xdr:colOff>51825</xdr:colOff>
      <xdr:row>31</xdr:row>
      <xdr:rowOff>150547</xdr:rowOff>
    </xdr:to>
    <xdr:pic>
      <xdr:nvPicPr>
        <xdr:cNvPr id="161" name="82 Imagen" descr="Windmill-icon.png"/>
        <xdr:cNvPicPr>
          <a:picLocks noChangeAspect="1"/>
        </xdr:cNvPicPr>
      </xdr:nvPicPr>
      <xdr:blipFill>
        <a:blip xmlns:r="http://schemas.openxmlformats.org/officeDocument/2006/relationships" r:embed="rId51" cstate="print"/>
        <a:stretch>
          <a:fillRect/>
        </a:stretch>
      </xdr:blipFill>
      <xdr:spPr>
        <a:xfrm>
          <a:off x="13509263" y="5482608"/>
          <a:ext cx="650768" cy="965645"/>
        </a:xfrm>
        <a:prstGeom prst="rect">
          <a:avLst/>
        </a:prstGeom>
      </xdr:spPr>
    </xdr:pic>
    <xdr:clientData/>
  </xdr:twoCellAnchor>
  <xdr:twoCellAnchor editAs="oneCell">
    <xdr:from>
      <xdr:col>16</xdr:col>
      <xdr:colOff>536855</xdr:colOff>
      <xdr:row>30</xdr:row>
      <xdr:rowOff>66694</xdr:rowOff>
    </xdr:from>
    <xdr:to>
      <xdr:col>17</xdr:col>
      <xdr:colOff>454826</xdr:colOff>
      <xdr:row>33</xdr:row>
      <xdr:rowOff>99540</xdr:rowOff>
    </xdr:to>
    <xdr:pic>
      <xdr:nvPicPr>
        <xdr:cNvPr id="162" name="83 Imagen" descr="casa.gif"/>
        <xdr:cNvPicPr>
          <a:picLocks noChangeAspect="1"/>
        </xdr:cNvPicPr>
      </xdr:nvPicPr>
      <xdr:blipFill rotWithShape="1">
        <a:blip xmlns:r="http://schemas.openxmlformats.org/officeDocument/2006/relationships" r:embed="rId52" cstate="email">
          <a:clrChange>
            <a:clrFrom>
              <a:srgbClr val="FFFFFF"/>
            </a:clrFrom>
            <a:clrTo>
              <a:srgbClr val="FFFFFF">
                <a:alpha val="0"/>
              </a:srgbClr>
            </a:clrTo>
          </a:clrChange>
        </a:blip>
        <a:srcRect l="9052" t="5980" r="4440" b="24933"/>
        <a:stretch/>
      </xdr:blipFill>
      <xdr:spPr>
        <a:xfrm>
          <a:off x="13121061" y="6173900"/>
          <a:ext cx="679971" cy="604346"/>
        </a:xfrm>
        <a:prstGeom prst="rect">
          <a:avLst/>
        </a:prstGeom>
      </xdr:spPr>
    </xdr:pic>
    <xdr:clientData/>
  </xdr:twoCellAnchor>
  <xdr:twoCellAnchor>
    <xdr:from>
      <xdr:col>16</xdr:col>
      <xdr:colOff>140884</xdr:colOff>
      <xdr:row>32</xdr:row>
      <xdr:rowOff>86053</xdr:rowOff>
    </xdr:from>
    <xdr:to>
      <xdr:col>18</xdr:col>
      <xdr:colOff>22974</xdr:colOff>
      <xdr:row>34</xdr:row>
      <xdr:rowOff>159147</xdr:rowOff>
    </xdr:to>
    <xdr:grpSp>
      <xdr:nvGrpSpPr>
        <xdr:cNvPr id="163" name="57 Grupo"/>
        <xdr:cNvGrpSpPr/>
      </xdr:nvGrpSpPr>
      <xdr:grpSpPr>
        <a:xfrm>
          <a:off x="13453472" y="6510759"/>
          <a:ext cx="1480796" cy="446623"/>
          <a:chOff x="6880686" y="3500438"/>
          <a:chExt cx="1406090" cy="604398"/>
        </a:xfrm>
      </xdr:grpSpPr>
      <xdr:pic>
        <xdr:nvPicPr>
          <xdr:cNvPr id="171" name="87 Imagen" descr="Peanuts_66.png"/>
          <xdr:cNvPicPr>
            <a:picLocks noChangeAspect="1"/>
          </xdr:cNvPicPr>
        </xdr:nvPicPr>
        <xdr:blipFill>
          <a:blip xmlns:r="http://schemas.openxmlformats.org/officeDocument/2006/relationships" r:embed="rId1" cstate="print"/>
          <a:stretch>
            <a:fillRect/>
          </a:stretch>
        </xdr:blipFill>
        <xdr:spPr>
          <a:xfrm>
            <a:off x="7535999" y="3500438"/>
            <a:ext cx="750777" cy="451998"/>
          </a:xfrm>
          <a:prstGeom prst="rect">
            <a:avLst/>
          </a:prstGeom>
        </xdr:spPr>
      </xdr:pic>
      <xdr:pic>
        <xdr:nvPicPr>
          <xdr:cNvPr id="172" name="88 Imagen" descr="Peanuts_66.png"/>
          <xdr:cNvPicPr>
            <a:picLocks noChangeAspect="1"/>
          </xdr:cNvPicPr>
        </xdr:nvPicPr>
        <xdr:blipFill>
          <a:blip xmlns:r="http://schemas.openxmlformats.org/officeDocument/2006/relationships" r:embed="rId1" cstate="print"/>
          <a:stretch>
            <a:fillRect/>
          </a:stretch>
        </xdr:blipFill>
        <xdr:spPr>
          <a:xfrm>
            <a:off x="6880686" y="3500438"/>
            <a:ext cx="750777" cy="451998"/>
          </a:xfrm>
          <a:prstGeom prst="rect">
            <a:avLst/>
          </a:prstGeom>
        </xdr:spPr>
      </xdr:pic>
      <xdr:pic>
        <xdr:nvPicPr>
          <xdr:cNvPr id="173" name="89 Imagen" descr="Peanuts_66.png"/>
          <xdr:cNvPicPr>
            <a:picLocks noChangeAspect="1"/>
          </xdr:cNvPicPr>
        </xdr:nvPicPr>
        <xdr:blipFill>
          <a:blip xmlns:r="http://schemas.openxmlformats.org/officeDocument/2006/relationships" r:embed="rId1" cstate="print"/>
          <a:stretch>
            <a:fillRect/>
          </a:stretch>
        </xdr:blipFill>
        <xdr:spPr>
          <a:xfrm>
            <a:off x="7215206" y="3652838"/>
            <a:ext cx="750777" cy="451998"/>
          </a:xfrm>
          <a:prstGeom prst="rect">
            <a:avLst/>
          </a:prstGeom>
        </xdr:spPr>
      </xdr:pic>
    </xdr:grpSp>
    <xdr:clientData/>
  </xdr:twoCellAnchor>
  <xdr:twoCellAnchor editAs="oneCell">
    <xdr:from>
      <xdr:col>17</xdr:col>
      <xdr:colOff>327201</xdr:colOff>
      <xdr:row>30</xdr:row>
      <xdr:rowOff>13168</xdr:rowOff>
    </xdr:from>
    <xdr:to>
      <xdr:col>18</xdr:col>
      <xdr:colOff>15338</xdr:colOff>
      <xdr:row>33</xdr:row>
      <xdr:rowOff>96122</xdr:rowOff>
    </xdr:to>
    <xdr:pic>
      <xdr:nvPicPr>
        <xdr:cNvPr id="164" name="84 Imagen" descr="productor03.gif"/>
        <xdr:cNvPicPr>
          <a:picLocks noChangeAspect="1"/>
        </xdr:cNvPicPr>
      </xdr:nvPicPr>
      <xdr:blipFill>
        <a:blip xmlns:r="http://schemas.openxmlformats.org/officeDocument/2006/relationships" r:embed="rId53" cstate="print"/>
        <a:stretch>
          <a:fillRect/>
        </a:stretch>
      </xdr:blipFill>
      <xdr:spPr>
        <a:xfrm>
          <a:off x="13673407" y="6120374"/>
          <a:ext cx="450137" cy="654454"/>
        </a:xfrm>
        <a:prstGeom prst="rect">
          <a:avLst/>
        </a:prstGeom>
      </xdr:spPr>
    </xdr:pic>
    <xdr:clientData/>
  </xdr:twoCellAnchor>
  <xdr:twoCellAnchor>
    <xdr:from>
      <xdr:col>15</xdr:col>
      <xdr:colOff>212917</xdr:colOff>
      <xdr:row>48</xdr:row>
      <xdr:rowOff>169895</xdr:rowOff>
    </xdr:from>
    <xdr:to>
      <xdr:col>16</xdr:col>
      <xdr:colOff>536215</xdr:colOff>
      <xdr:row>51</xdr:row>
      <xdr:rowOff>62531</xdr:rowOff>
    </xdr:to>
    <xdr:grpSp>
      <xdr:nvGrpSpPr>
        <xdr:cNvPr id="174" name="57 Grupo"/>
        <xdr:cNvGrpSpPr/>
      </xdr:nvGrpSpPr>
      <xdr:grpSpPr>
        <a:xfrm>
          <a:off x="12726152" y="9672483"/>
          <a:ext cx="1122651" cy="452930"/>
          <a:chOff x="6880686" y="3500438"/>
          <a:chExt cx="1406090" cy="604398"/>
        </a:xfrm>
      </xdr:grpSpPr>
      <xdr:pic>
        <xdr:nvPicPr>
          <xdr:cNvPr id="184" name="53 Imagen" descr="Peanuts_66.png"/>
          <xdr:cNvPicPr>
            <a:picLocks noChangeAspect="1"/>
          </xdr:cNvPicPr>
        </xdr:nvPicPr>
        <xdr:blipFill>
          <a:blip xmlns:r="http://schemas.openxmlformats.org/officeDocument/2006/relationships" r:embed="rId1" cstate="print"/>
          <a:stretch>
            <a:fillRect/>
          </a:stretch>
        </xdr:blipFill>
        <xdr:spPr>
          <a:xfrm>
            <a:off x="7535999" y="3500438"/>
            <a:ext cx="750777" cy="451998"/>
          </a:xfrm>
          <a:prstGeom prst="rect">
            <a:avLst/>
          </a:prstGeom>
        </xdr:spPr>
      </xdr:pic>
      <xdr:pic>
        <xdr:nvPicPr>
          <xdr:cNvPr id="185" name="54 Imagen" descr="Peanuts_66.png"/>
          <xdr:cNvPicPr>
            <a:picLocks noChangeAspect="1"/>
          </xdr:cNvPicPr>
        </xdr:nvPicPr>
        <xdr:blipFill>
          <a:blip xmlns:r="http://schemas.openxmlformats.org/officeDocument/2006/relationships" r:embed="rId1" cstate="print"/>
          <a:stretch>
            <a:fillRect/>
          </a:stretch>
        </xdr:blipFill>
        <xdr:spPr>
          <a:xfrm>
            <a:off x="6880686" y="3500438"/>
            <a:ext cx="750777" cy="451998"/>
          </a:xfrm>
          <a:prstGeom prst="rect">
            <a:avLst/>
          </a:prstGeom>
        </xdr:spPr>
      </xdr:pic>
      <xdr:pic>
        <xdr:nvPicPr>
          <xdr:cNvPr id="186" name="55 Imagen" descr="Peanuts_66.png"/>
          <xdr:cNvPicPr>
            <a:picLocks noChangeAspect="1"/>
          </xdr:cNvPicPr>
        </xdr:nvPicPr>
        <xdr:blipFill>
          <a:blip xmlns:r="http://schemas.openxmlformats.org/officeDocument/2006/relationships" r:embed="rId1" cstate="print"/>
          <a:stretch>
            <a:fillRect/>
          </a:stretch>
        </xdr:blipFill>
        <xdr:spPr>
          <a:xfrm>
            <a:off x="7215206" y="3652838"/>
            <a:ext cx="750777" cy="451998"/>
          </a:xfrm>
          <a:prstGeom prst="rect">
            <a:avLst/>
          </a:prstGeom>
        </xdr:spPr>
      </xdr:pic>
    </xdr:grpSp>
    <xdr:clientData/>
  </xdr:twoCellAnchor>
  <xdr:twoCellAnchor editAs="oneCell">
    <xdr:from>
      <xdr:col>15</xdr:col>
      <xdr:colOff>553461</xdr:colOff>
      <xdr:row>46</xdr:row>
      <xdr:rowOff>36415</xdr:rowOff>
    </xdr:from>
    <xdr:to>
      <xdr:col>16</xdr:col>
      <xdr:colOff>377445</xdr:colOff>
      <xdr:row>50</xdr:row>
      <xdr:rowOff>126991</xdr:rowOff>
    </xdr:to>
    <xdr:pic>
      <xdr:nvPicPr>
        <xdr:cNvPr id="175" name="50 Imagen" descr="Tamarind1-icon.png"/>
        <xdr:cNvPicPr>
          <a:picLocks noChangeAspect="1"/>
        </xdr:cNvPicPr>
      </xdr:nvPicPr>
      <xdr:blipFill>
        <a:blip xmlns:r="http://schemas.openxmlformats.org/officeDocument/2006/relationships" r:embed="rId54" cstate="print"/>
        <a:stretch>
          <a:fillRect/>
        </a:stretch>
      </xdr:blipFill>
      <xdr:spPr>
        <a:xfrm flipH="1">
          <a:off x="12644608" y="9281268"/>
          <a:ext cx="585984" cy="852576"/>
        </a:xfrm>
        <a:prstGeom prst="rect">
          <a:avLst/>
        </a:prstGeom>
      </xdr:spPr>
    </xdr:pic>
    <xdr:clientData/>
  </xdr:twoCellAnchor>
  <xdr:twoCellAnchor>
    <xdr:from>
      <xdr:col>15</xdr:col>
      <xdr:colOff>374560</xdr:colOff>
      <xdr:row>49</xdr:row>
      <xdr:rowOff>42944</xdr:rowOff>
    </xdr:from>
    <xdr:to>
      <xdr:col>16</xdr:col>
      <xdr:colOff>697858</xdr:colOff>
      <xdr:row>51</xdr:row>
      <xdr:rowOff>126080</xdr:rowOff>
    </xdr:to>
    <xdr:grpSp>
      <xdr:nvGrpSpPr>
        <xdr:cNvPr id="176" name="57 Grupo"/>
        <xdr:cNvGrpSpPr/>
      </xdr:nvGrpSpPr>
      <xdr:grpSpPr>
        <a:xfrm>
          <a:off x="12887795" y="9732297"/>
          <a:ext cx="1122651" cy="456665"/>
          <a:chOff x="6880686" y="3500438"/>
          <a:chExt cx="1406090" cy="604398"/>
        </a:xfrm>
      </xdr:grpSpPr>
      <xdr:pic>
        <xdr:nvPicPr>
          <xdr:cNvPr id="181" name="45 Imagen" descr="Peanuts_66.png"/>
          <xdr:cNvPicPr>
            <a:picLocks noChangeAspect="1"/>
          </xdr:cNvPicPr>
        </xdr:nvPicPr>
        <xdr:blipFill>
          <a:blip xmlns:r="http://schemas.openxmlformats.org/officeDocument/2006/relationships" r:embed="rId1" cstate="print"/>
          <a:stretch>
            <a:fillRect/>
          </a:stretch>
        </xdr:blipFill>
        <xdr:spPr>
          <a:xfrm>
            <a:off x="7535999" y="3500438"/>
            <a:ext cx="750777" cy="451998"/>
          </a:xfrm>
          <a:prstGeom prst="rect">
            <a:avLst/>
          </a:prstGeom>
        </xdr:spPr>
      </xdr:pic>
      <xdr:pic>
        <xdr:nvPicPr>
          <xdr:cNvPr id="182" name="46 Imagen" descr="Peanuts_66.png"/>
          <xdr:cNvPicPr>
            <a:picLocks noChangeAspect="1"/>
          </xdr:cNvPicPr>
        </xdr:nvPicPr>
        <xdr:blipFill>
          <a:blip xmlns:r="http://schemas.openxmlformats.org/officeDocument/2006/relationships" r:embed="rId1" cstate="print"/>
          <a:stretch>
            <a:fillRect/>
          </a:stretch>
        </xdr:blipFill>
        <xdr:spPr>
          <a:xfrm>
            <a:off x="6880686" y="3500438"/>
            <a:ext cx="750777" cy="451998"/>
          </a:xfrm>
          <a:prstGeom prst="rect">
            <a:avLst/>
          </a:prstGeom>
        </xdr:spPr>
      </xdr:pic>
      <xdr:pic>
        <xdr:nvPicPr>
          <xdr:cNvPr id="183" name="47 Imagen" descr="Peanuts_66.png"/>
          <xdr:cNvPicPr>
            <a:picLocks noChangeAspect="1"/>
          </xdr:cNvPicPr>
        </xdr:nvPicPr>
        <xdr:blipFill>
          <a:blip xmlns:r="http://schemas.openxmlformats.org/officeDocument/2006/relationships" r:embed="rId1" cstate="print"/>
          <a:stretch>
            <a:fillRect/>
          </a:stretch>
        </xdr:blipFill>
        <xdr:spPr>
          <a:xfrm>
            <a:off x="7215206" y="3652838"/>
            <a:ext cx="750777" cy="451998"/>
          </a:xfrm>
          <a:prstGeom prst="rect">
            <a:avLst/>
          </a:prstGeom>
        </xdr:spPr>
      </xdr:pic>
    </xdr:grpSp>
    <xdr:clientData/>
  </xdr:twoCellAnchor>
  <xdr:twoCellAnchor editAs="oneCell">
    <xdr:from>
      <xdr:col>16</xdr:col>
      <xdr:colOff>132407</xdr:colOff>
      <xdr:row>45</xdr:row>
      <xdr:rowOff>173124</xdr:rowOff>
    </xdr:from>
    <xdr:to>
      <xdr:col>16</xdr:col>
      <xdr:colOff>718391</xdr:colOff>
      <xdr:row>50</xdr:row>
      <xdr:rowOff>61994</xdr:rowOff>
    </xdr:to>
    <xdr:pic>
      <xdr:nvPicPr>
        <xdr:cNvPr id="177" name="48 Imagen" descr="Tamarind1-icon.png"/>
        <xdr:cNvPicPr>
          <a:picLocks noChangeAspect="1"/>
        </xdr:cNvPicPr>
      </xdr:nvPicPr>
      <xdr:blipFill>
        <a:blip xmlns:r="http://schemas.openxmlformats.org/officeDocument/2006/relationships" r:embed="rId54" cstate="print"/>
        <a:stretch>
          <a:fillRect/>
        </a:stretch>
      </xdr:blipFill>
      <xdr:spPr>
        <a:xfrm flipH="1">
          <a:off x="12985554" y="9216271"/>
          <a:ext cx="585984" cy="852576"/>
        </a:xfrm>
        <a:prstGeom prst="rect">
          <a:avLst/>
        </a:prstGeom>
      </xdr:spPr>
    </xdr:pic>
    <xdr:clientData/>
  </xdr:twoCellAnchor>
  <xdr:twoCellAnchor editAs="oneCell">
    <xdr:from>
      <xdr:col>15</xdr:col>
      <xdr:colOff>491373</xdr:colOff>
      <xdr:row>45</xdr:row>
      <xdr:rowOff>33617</xdr:rowOff>
    </xdr:from>
    <xdr:to>
      <xdr:col>16</xdr:col>
      <xdr:colOff>315357</xdr:colOff>
      <xdr:row>49</xdr:row>
      <xdr:rowOff>112987</xdr:rowOff>
    </xdr:to>
    <xdr:pic>
      <xdr:nvPicPr>
        <xdr:cNvPr id="178" name="56 Imagen" descr="Tamarind1-icon.png"/>
        <xdr:cNvPicPr>
          <a:picLocks noChangeAspect="1"/>
        </xdr:cNvPicPr>
      </xdr:nvPicPr>
      <xdr:blipFill>
        <a:blip xmlns:r="http://schemas.openxmlformats.org/officeDocument/2006/relationships" r:embed="rId54" cstate="print"/>
        <a:stretch>
          <a:fillRect/>
        </a:stretch>
      </xdr:blipFill>
      <xdr:spPr>
        <a:xfrm flipH="1">
          <a:off x="12582520" y="9076764"/>
          <a:ext cx="585984" cy="852576"/>
        </a:xfrm>
        <a:prstGeom prst="rect">
          <a:avLst/>
        </a:prstGeom>
      </xdr:spPr>
    </xdr:pic>
    <xdr:clientData/>
  </xdr:twoCellAnchor>
  <xdr:twoCellAnchor editAs="oneCell">
    <xdr:from>
      <xdr:col>15</xdr:col>
      <xdr:colOff>265429</xdr:colOff>
      <xdr:row>45</xdr:row>
      <xdr:rowOff>94105</xdr:rowOff>
    </xdr:from>
    <xdr:to>
      <xdr:col>16</xdr:col>
      <xdr:colOff>89413</xdr:colOff>
      <xdr:row>49</xdr:row>
      <xdr:rowOff>173475</xdr:rowOff>
    </xdr:to>
    <xdr:pic>
      <xdr:nvPicPr>
        <xdr:cNvPr id="179" name="51 Imagen" descr="Tamarind1-icon.png"/>
        <xdr:cNvPicPr>
          <a:picLocks noChangeAspect="1"/>
        </xdr:cNvPicPr>
      </xdr:nvPicPr>
      <xdr:blipFill>
        <a:blip xmlns:r="http://schemas.openxmlformats.org/officeDocument/2006/relationships" r:embed="rId54" cstate="print"/>
        <a:stretch>
          <a:fillRect/>
        </a:stretch>
      </xdr:blipFill>
      <xdr:spPr>
        <a:xfrm flipH="1">
          <a:off x="12356576" y="9137252"/>
          <a:ext cx="585984" cy="852576"/>
        </a:xfrm>
        <a:prstGeom prst="rect">
          <a:avLst/>
        </a:prstGeom>
      </xdr:spPr>
    </xdr:pic>
    <xdr:clientData/>
  </xdr:twoCellAnchor>
  <xdr:twoCellAnchor editAs="oneCell">
    <xdr:from>
      <xdr:col>15</xdr:col>
      <xdr:colOff>625469</xdr:colOff>
      <xdr:row>45</xdr:row>
      <xdr:rowOff>177633</xdr:rowOff>
    </xdr:from>
    <xdr:to>
      <xdr:col>16</xdr:col>
      <xdr:colOff>449453</xdr:colOff>
      <xdr:row>50</xdr:row>
      <xdr:rowOff>66503</xdr:rowOff>
    </xdr:to>
    <xdr:pic>
      <xdr:nvPicPr>
        <xdr:cNvPr id="180" name="49 Imagen" descr="Tamarind1-icon.png"/>
        <xdr:cNvPicPr>
          <a:picLocks noChangeAspect="1"/>
        </xdr:cNvPicPr>
      </xdr:nvPicPr>
      <xdr:blipFill>
        <a:blip xmlns:r="http://schemas.openxmlformats.org/officeDocument/2006/relationships" r:embed="rId54" cstate="print"/>
        <a:stretch>
          <a:fillRect/>
        </a:stretch>
      </xdr:blipFill>
      <xdr:spPr>
        <a:xfrm flipH="1">
          <a:off x="12716616" y="9220780"/>
          <a:ext cx="585984" cy="852576"/>
        </a:xfrm>
        <a:prstGeom prst="rect">
          <a:avLst/>
        </a:prstGeom>
      </xdr:spPr>
    </xdr:pic>
    <xdr:clientData/>
  </xdr:twoCellAnchor>
  <xdr:twoCellAnchor editAs="oneCell">
    <xdr:from>
      <xdr:col>14</xdr:col>
      <xdr:colOff>155223</xdr:colOff>
      <xdr:row>51</xdr:row>
      <xdr:rowOff>123264</xdr:rowOff>
    </xdr:from>
    <xdr:to>
      <xdr:col>15</xdr:col>
      <xdr:colOff>11432</xdr:colOff>
      <xdr:row>54</xdr:row>
      <xdr:rowOff>82013</xdr:rowOff>
    </xdr:to>
    <xdr:pic>
      <xdr:nvPicPr>
        <xdr:cNvPr id="187" name="85 Imagen" descr="verdeos.gif"/>
        <xdr:cNvPicPr>
          <a:picLocks noChangeAspect="1"/>
        </xdr:cNvPicPr>
      </xdr:nvPicPr>
      <xdr:blipFill rotWithShape="1">
        <a:blip xmlns:r="http://schemas.openxmlformats.org/officeDocument/2006/relationships" r:embed="rId55" cstate="print"/>
        <a:srcRect l="4363" t="4314" r="5850" b="23189"/>
        <a:stretch/>
      </xdr:blipFill>
      <xdr:spPr>
        <a:xfrm>
          <a:off x="11484370" y="10320617"/>
          <a:ext cx="618209" cy="530249"/>
        </a:xfrm>
        <a:prstGeom prst="rect">
          <a:avLst/>
        </a:prstGeom>
      </xdr:spPr>
    </xdr:pic>
    <xdr:clientData/>
  </xdr:twoCellAnchor>
  <xdr:twoCellAnchor editAs="oneCell">
    <xdr:from>
      <xdr:col>14</xdr:col>
      <xdr:colOff>299239</xdr:colOff>
      <xdr:row>52</xdr:row>
      <xdr:rowOff>4772</xdr:rowOff>
    </xdr:from>
    <xdr:to>
      <xdr:col>15</xdr:col>
      <xdr:colOff>155448</xdr:colOff>
      <xdr:row>54</xdr:row>
      <xdr:rowOff>154021</xdr:rowOff>
    </xdr:to>
    <xdr:pic>
      <xdr:nvPicPr>
        <xdr:cNvPr id="188" name="90 Imagen" descr="verdeos.gif"/>
        <xdr:cNvPicPr>
          <a:picLocks noChangeAspect="1"/>
        </xdr:cNvPicPr>
      </xdr:nvPicPr>
      <xdr:blipFill rotWithShape="1">
        <a:blip xmlns:r="http://schemas.openxmlformats.org/officeDocument/2006/relationships" r:embed="rId56" cstate="print">
          <a:extLst/>
        </a:blip>
        <a:srcRect l="4363" t="4314" r="5850" b="23189"/>
        <a:stretch/>
      </xdr:blipFill>
      <xdr:spPr>
        <a:xfrm>
          <a:off x="11628386" y="10392625"/>
          <a:ext cx="618209" cy="530249"/>
        </a:xfrm>
        <a:prstGeom prst="rect">
          <a:avLst/>
        </a:prstGeom>
      </xdr:spPr>
    </xdr:pic>
    <xdr:clientData/>
  </xdr:twoCellAnchor>
  <xdr:twoCellAnchor editAs="oneCell">
    <xdr:from>
      <xdr:col>14</xdr:col>
      <xdr:colOff>545126</xdr:colOff>
      <xdr:row>52</xdr:row>
      <xdr:rowOff>122595</xdr:rowOff>
    </xdr:from>
    <xdr:to>
      <xdr:col>15</xdr:col>
      <xdr:colOff>401335</xdr:colOff>
      <xdr:row>55</xdr:row>
      <xdr:rowOff>81344</xdr:rowOff>
    </xdr:to>
    <xdr:pic>
      <xdr:nvPicPr>
        <xdr:cNvPr id="189" name="91 Imagen" descr="verdeos.gif"/>
        <xdr:cNvPicPr>
          <a:picLocks noChangeAspect="1"/>
        </xdr:cNvPicPr>
      </xdr:nvPicPr>
      <xdr:blipFill rotWithShape="1">
        <a:blip xmlns:r="http://schemas.openxmlformats.org/officeDocument/2006/relationships" r:embed="rId56" cstate="print">
          <a:extLst/>
        </a:blip>
        <a:srcRect l="4363" t="4314" r="5850" b="23189"/>
        <a:stretch/>
      </xdr:blipFill>
      <xdr:spPr>
        <a:xfrm>
          <a:off x="11874273" y="10510448"/>
          <a:ext cx="618209" cy="530249"/>
        </a:xfrm>
        <a:prstGeom prst="rect">
          <a:avLst/>
        </a:prstGeom>
      </xdr:spPr>
    </xdr:pic>
    <xdr:clientData/>
  </xdr:twoCellAnchor>
  <xdr:twoCellAnchor editAs="oneCell">
    <xdr:from>
      <xdr:col>14</xdr:col>
      <xdr:colOff>11207</xdr:colOff>
      <xdr:row>52</xdr:row>
      <xdr:rowOff>76780</xdr:rowOff>
    </xdr:from>
    <xdr:to>
      <xdr:col>14</xdr:col>
      <xdr:colOff>629416</xdr:colOff>
      <xdr:row>55</xdr:row>
      <xdr:rowOff>35529</xdr:rowOff>
    </xdr:to>
    <xdr:pic>
      <xdr:nvPicPr>
        <xdr:cNvPr id="190" name="9 Imagen" descr="verdeos.gif"/>
        <xdr:cNvPicPr>
          <a:picLocks noChangeAspect="1"/>
        </xdr:cNvPicPr>
      </xdr:nvPicPr>
      <xdr:blipFill rotWithShape="1">
        <a:blip xmlns:r="http://schemas.openxmlformats.org/officeDocument/2006/relationships" r:embed="rId56" cstate="print">
          <a:extLst/>
        </a:blip>
        <a:srcRect l="4363" t="4314" r="5850" b="23189"/>
        <a:stretch/>
      </xdr:blipFill>
      <xdr:spPr>
        <a:xfrm>
          <a:off x="11340354" y="10464633"/>
          <a:ext cx="618209" cy="530249"/>
        </a:xfrm>
        <a:prstGeom prst="rect">
          <a:avLst/>
        </a:prstGeom>
      </xdr:spPr>
    </xdr:pic>
    <xdr:clientData/>
  </xdr:twoCellAnchor>
  <xdr:twoCellAnchor editAs="oneCell">
    <xdr:from>
      <xdr:col>14</xdr:col>
      <xdr:colOff>257094</xdr:colOff>
      <xdr:row>53</xdr:row>
      <xdr:rowOff>4103</xdr:rowOff>
    </xdr:from>
    <xdr:to>
      <xdr:col>15</xdr:col>
      <xdr:colOff>113303</xdr:colOff>
      <xdr:row>55</xdr:row>
      <xdr:rowOff>153352</xdr:rowOff>
    </xdr:to>
    <xdr:pic>
      <xdr:nvPicPr>
        <xdr:cNvPr id="191" name="10 Imagen" descr="verdeos.gif"/>
        <xdr:cNvPicPr>
          <a:picLocks noChangeAspect="1"/>
        </xdr:cNvPicPr>
      </xdr:nvPicPr>
      <xdr:blipFill rotWithShape="1">
        <a:blip xmlns:r="http://schemas.openxmlformats.org/officeDocument/2006/relationships" r:embed="rId56" cstate="print">
          <a:extLst/>
        </a:blip>
        <a:srcRect l="4363" t="4314" r="5850" b="23189"/>
        <a:stretch/>
      </xdr:blipFill>
      <xdr:spPr>
        <a:xfrm>
          <a:off x="11586241" y="10582456"/>
          <a:ext cx="618209" cy="530249"/>
        </a:xfrm>
        <a:prstGeom prst="rect">
          <a:avLst/>
        </a:prstGeom>
      </xdr:spPr>
    </xdr:pic>
    <xdr:clientData/>
  </xdr:twoCellAnchor>
  <xdr:twoCellAnchor editAs="oneCell">
    <xdr:from>
      <xdr:col>14</xdr:col>
      <xdr:colOff>734345</xdr:colOff>
      <xdr:row>82</xdr:row>
      <xdr:rowOff>156884</xdr:rowOff>
    </xdr:from>
    <xdr:to>
      <xdr:col>18</xdr:col>
      <xdr:colOff>481854</xdr:colOff>
      <xdr:row>93</xdr:row>
      <xdr:rowOff>22414</xdr:rowOff>
    </xdr:to>
    <xdr:pic>
      <xdr:nvPicPr>
        <xdr:cNvPr id="192" name="Picture 4" descr="Resultado de imagen para gráficos"/>
        <xdr:cNvPicPr>
          <a:picLocks noChangeAspect="1" noChangeArrowheads="1"/>
        </xdr:cNvPicPr>
      </xdr:nvPicPr>
      <xdr:blipFill>
        <a:blip xmlns:r="http://schemas.openxmlformats.org/officeDocument/2006/relationships" r:embed="rId57">
          <a:extLst>
            <a:ext uri="{28A0092B-C50C-407E-A947-70E740481C1C}">
              <a14:useLocalDpi xmlns:a14="http://schemas.microsoft.com/office/drawing/2010/main" val="0"/>
            </a:ext>
          </a:extLst>
        </a:blip>
        <a:srcRect/>
        <a:stretch>
          <a:fillRect/>
        </a:stretch>
      </xdr:blipFill>
      <xdr:spPr bwMode="auto">
        <a:xfrm>
          <a:off x="11794551" y="16371796"/>
          <a:ext cx="2795509" cy="19610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14</xdr:col>
      <xdr:colOff>627528</xdr:colOff>
      <xdr:row>78</xdr:row>
      <xdr:rowOff>66227</xdr:rowOff>
    </xdr:from>
    <xdr:to>
      <xdr:col>18</xdr:col>
      <xdr:colOff>549087</xdr:colOff>
      <xdr:row>82</xdr:row>
      <xdr:rowOff>90656</xdr:rowOff>
    </xdr:to>
    <xdr:sp macro="" textlink="">
      <xdr:nvSpPr>
        <xdr:cNvPr id="14" name="13 Rectángulo redondeado"/>
        <xdr:cNvSpPr/>
      </xdr:nvSpPr>
      <xdr:spPr>
        <a:xfrm>
          <a:off x="11687734" y="15519139"/>
          <a:ext cx="2969559" cy="78642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800"/>
            <a:t>Indicadores físicos generales del establecimiento</a:t>
          </a:r>
        </a:p>
      </xdr:txBody>
    </xdr:sp>
    <xdr:clientData/>
  </xdr:twoCellAnchor>
  <xdr:twoCellAnchor>
    <xdr:from>
      <xdr:col>15</xdr:col>
      <xdr:colOff>134471</xdr:colOff>
      <xdr:row>141</xdr:row>
      <xdr:rowOff>67239</xdr:rowOff>
    </xdr:from>
    <xdr:to>
      <xdr:col>17</xdr:col>
      <xdr:colOff>123265</xdr:colOff>
      <xdr:row>148</xdr:row>
      <xdr:rowOff>123266</xdr:rowOff>
    </xdr:to>
    <xdr:grpSp>
      <xdr:nvGrpSpPr>
        <xdr:cNvPr id="193" name="1 Grupo"/>
        <xdr:cNvGrpSpPr/>
      </xdr:nvGrpSpPr>
      <xdr:grpSpPr>
        <a:xfrm>
          <a:off x="12647706" y="27125710"/>
          <a:ext cx="1587500" cy="1378321"/>
          <a:chOff x="-2476400" y="3215569"/>
          <a:chExt cx="914285" cy="1085911"/>
        </a:xfrm>
      </xdr:grpSpPr>
      <xdr:grpSp>
        <xdr:nvGrpSpPr>
          <xdr:cNvPr id="194" name="57 Grupo"/>
          <xdr:cNvGrpSpPr/>
        </xdr:nvGrpSpPr>
        <xdr:grpSpPr>
          <a:xfrm>
            <a:off x="-2476400" y="3805639"/>
            <a:ext cx="822479" cy="495841"/>
            <a:chOff x="6880686" y="3500438"/>
            <a:chExt cx="1406090" cy="604398"/>
          </a:xfrm>
        </xdr:grpSpPr>
        <xdr:pic>
          <xdr:nvPicPr>
            <xdr:cNvPr id="197" name="101 Imagen" descr="Peanuts_66.png"/>
            <xdr:cNvPicPr>
              <a:picLocks noChangeAspect="1"/>
            </xdr:cNvPicPr>
          </xdr:nvPicPr>
          <xdr:blipFill>
            <a:blip xmlns:r="http://schemas.openxmlformats.org/officeDocument/2006/relationships" r:embed="rId1" cstate="print"/>
            <a:stretch>
              <a:fillRect/>
            </a:stretch>
          </xdr:blipFill>
          <xdr:spPr>
            <a:xfrm>
              <a:off x="7535999" y="3500438"/>
              <a:ext cx="750777" cy="451998"/>
            </a:xfrm>
            <a:prstGeom prst="rect">
              <a:avLst/>
            </a:prstGeom>
          </xdr:spPr>
        </xdr:pic>
        <xdr:pic>
          <xdr:nvPicPr>
            <xdr:cNvPr id="198" name="102 Imagen" descr="Peanuts_66.png"/>
            <xdr:cNvPicPr>
              <a:picLocks noChangeAspect="1"/>
            </xdr:cNvPicPr>
          </xdr:nvPicPr>
          <xdr:blipFill>
            <a:blip xmlns:r="http://schemas.openxmlformats.org/officeDocument/2006/relationships" r:embed="rId1" cstate="print"/>
            <a:stretch>
              <a:fillRect/>
            </a:stretch>
          </xdr:blipFill>
          <xdr:spPr>
            <a:xfrm>
              <a:off x="6880686" y="3500438"/>
              <a:ext cx="750777" cy="451998"/>
            </a:xfrm>
            <a:prstGeom prst="rect">
              <a:avLst/>
            </a:prstGeom>
          </xdr:spPr>
        </xdr:pic>
        <xdr:pic>
          <xdr:nvPicPr>
            <xdr:cNvPr id="199" name="103 Imagen" descr="Peanuts_66.png"/>
            <xdr:cNvPicPr>
              <a:picLocks noChangeAspect="1"/>
            </xdr:cNvPicPr>
          </xdr:nvPicPr>
          <xdr:blipFill>
            <a:blip xmlns:r="http://schemas.openxmlformats.org/officeDocument/2006/relationships" r:embed="rId1" cstate="print"/>
            <a:stretch>
              <a:fillRect/>
            </a:stretch>
          </xdr:blipFill>
          <xdr:spPr>
            <a:xfrm>
              <a:off x="7215206" y="3652838"/>
              <a:ext cx="750777" cy="451998"/>
            </a:xfrm>
            <a:prstGeom prst="rect">
              <a:avLst/>
            </a:prstGeom>
          </xdr:spPr>
        </xdr:pic>
      </xdr:grpSp>
      <xdr:pic>
        <xdr:nvPicPr>
          <xdr:cNvPr id="195" name="104 Imagen" descr="Hereford_Cow-icon.png"/>
          <xdr:cNvPicPr>
            <a:picLocks noChangeAspect="1"/>
          </xdr:cNvPicPr>
        </xdr:nvPicPr>
        <xdr:blipFill>
          <a:blip xmlns:r="http://schemas.openxmlformats.org/officeDocument/2006/relationships" r:embed="rId58" cstate="print"/>
          <a:stretch>
            <a:fillRect/>
          </a:stretch>
        </xdr:blipFill>
        <xdr:spPr>
          <a:xfrm>
            <a:off x="-2290043" y="3215569"/>
            <a:ext cx="727928" cy="737870"/>
          </a:xfrm>
          <a:prstGeom prst="rect">
            <a:avLst/>
          </a:prstGeom>
          <a:noFill/>
          <a:ln>
            <a:noFill/>
          </a:ln>
        </xdr:spPr>
      </xdr:pic>
      <xdr:pic>
        <xdr:nvPicPr>
          <xdr:cNvPr id="196" name="105 Imagen" descr="Hereford_Calf-icon.png"/>
          <xdr:cNvPicPr>
            <a:picLocks noChangeAspect="1"/>
          </xdr:cNvPicPr>
        </xdr:nvPicPr>
        <xdr:blipFill>
          <a:blip xmlns:r="http://schemas.openxmlformats.org/officeDocument/2006/relationships" r:embed="rId59" cstate="print"/>
          <a:stretch>
            <a:fillRect/>
          </a:stretch>
        </xdr:blipFill>
        <xdr:spPr>
          <a:xfrm>
            <a:off x="-2331229" y="3711978"/>
            <a:ext cx="437521" cy="443498"/>
          </a:xfrm>
          <a:prstGeom prst="rect">
            <a:avLst/>
          </a:prstGeom>
          <a:noFill/>
          <a:ln>
            <a:noFill/>
          </a:ln>
        </xdr:spPr>
      </xdr:pic>
    </xdr:grpSp>
    <xdr:clientData/>
  </xdr:twoCellAnchor>
  <xdr:twoCellAnchor editAs="oneCell">
    <xdr:from>
      <xdr:col>16</xdr:col>
      <xdr:colOff>200770</xdr:colOff>
      <xdr:row>210</xdr:row>
      <xdr:rowOff>33622</xdr:rowOff>
    </xdr:from>
    <xdr:to>
      <xdr:col>17</xdr:col>
      <xdr:colOff>422648</xdr:colOff>
      <xdr:row>215</xdr:row>
      <xdr:rowOff>78442</xdr:rowOff>
    </xdr:to>
    <xdr:pic>
      <xdr:nvPicPr>
        <xdr:cNvPr id="204" name="95 Imagen" descr="Hereford_Calf-icon.png"/>
        <xdr:cNvPicPr>
          <a:picLocks noChangeAspect="1"/>
        </xdr:cNvPicPr>
      </xdr:nvPicPr>
      <xdr:blipFill>
        <a:blip xmlns:r="http://schemas.openxmlformats.org/officeDocument/2006/relationships" r:embed="rId59" cstate="print"/>
        <a:stretch>
          <a:fillRect/>
        </a:stretch>
      </xdr:blipFill>
      <xdr:spPr>
        <a:xfrm>
          <a:off x="13053917" y="40767004"/>
          <a:ext cx="983878" cy="997320"/>
        </a:xfrm>
        <a:prstGeom prst="rect">
          <a:avLst/>
        </a:prstGeom>
        <a:noFill/>
        <a:ln>
          <a:noFill/>
        </a:ln>
      </xdr:spPr>
    </xdr:pic>
    <xdr:clientData/>
  </xdr:twoCellAnchor>
  <xdr:twoCellAnchor editAs="oneCell">
    <xdr:from>
      <xdr:col>15</xdr:col>
      <xdr:colOff>437031</xdr:colOff>
      <xdr:row>242</xdr:row>
      <xdr:rowOff>134469</xdr:rowOff>
    </xdr:from>
    <xdr:to>
      <xdr:col>17</xdr:col>
      <xdr:colOff>149444</xdr:colOff>
      <xdr:row>249</xdr:row>
      <xdr:rowOff>54274</xdr:rowOff>
    </xdr:to>
    <xdr:pic>
      <xdr:nvPicPr>
        <xdr:cNvPr id="206" name="65 Imagen" descr="Bull-icon.png"/>
        <xdr:cNvPicPr>
          <a:picLocks noChangeAspect="1"/>
        </xdr:cNvPicPr>
      </xdr:nvPicPr>
      <xdr:blipFill>
        <a:blip xmlns:r="http://schemas.openxmlformats.org/officeDocument/2006/relationships" r:embed="rId2" cstate="print"/>
        <a:stretch>
          <a:fillRect/>
        </a:stretch>
      </xdr:blipFill>
      <xdr:spPr>
        <a:xfrm>
          <a:off x="12528178" y="46975057"/>
          <a:ext cx="1236413" cy="1253305"/>
        </a:xfrm>
        <a:prstGeom prst="rect">
          <a:avLst/>
        </a:prstGeom>
        <a:noFill/>
        <a:ln>
          <a:noFill/>
        </a:ln>
      </xdr:spPr>
    </xdr:pic>
    <xdr:clientData/>
  </xdr:twoCellAnchor>
  <xdr:twoCellAnchor editAs="oneCell">
    <xdr:from>
      <xdr:col>15</xdr:col>
      <xdr:colOff>112059</xdr:colOff>
      <xdr:row>244</xdr:row>
      <xdr:rowOff>179295</xdr:rowOff>
    </xdr:from>
    <xdr:to>
      <xdr:col>16</xdr:col>
      <xdr:colOff>370515</xdr:colOff>
      <xdr:row>249</xdr:row>
      <xdr:rowOff>144542</xdr:rowOff>
    </xdr:to>
    <xdr:pic>
      <xdr:nvPicPr>
        <xdr:cNvPr id="205" name="104 Imagen" descr="Hereford_Cow-icon.png"/>
        <xdr:cNvPicPr>
          <a:picLocks noChangeAspect="1"/>
        </xdr:cNvPicPr>
      </xdr:nvPicPr>
      <xdr:blipFill>
        <a:blip xmlns:r="http://schemas.openxmlformats.org/officeDocument/2006/relationships" r:embed="rId58" cstate="print"/>
        <a:stretch>
          <a:fillRect/>
        </a:stretch>
      </xdr:blipFill>
      <xdr:spPr>
        <a:xfrm>
          <a:off x="12203206" y="47400883"/>
          <a:ext cx="1020456" cy="917747"/>
        </a:xfrm>
        <a:prstGeom prst="rect">
          <a:avLst/>
        </a:prstGeom>
        <a:noFill/>
        <a:ln>
          <a:noFill/>
        </a:ln>
      </xdr:spPr>
    </xdr:pic>
    <xdr:clientData/>
  </xdr:twoCellAnchor>
  <xdr:twoCellAnchor>
    <xdr:from>
      <xdr:col>14</xdr:col>
      <xdr:colOff>649942</xdr:colOff>
      <xdr:row>248</xdr:row>
      <xdr:rowOff>115457</xdr:rowOff>
    </xdr:from>
    <xdr:to>
      <xdr:col>16</xdr:col>
      <xdr:colOff>532032</xdr:colOff>
      <xdr:row>252</xdr:row>
      <xdr:rowOff>18295</xdr:rowOff>
    </xdr:to>
    <xdr:grpSp>
      <xdr:nvGrpSpPr>
        <xdr:cNvPr id="207" name="57 Grupo"/>
        <xdr:cNvGrpSpPr/>
      </xdr:nvGrpSpPr>
      <xdr:grpSpPr>
        <a:xfrm>
          <a:off x="12363824" y="47187633"/>
          <a:ext cx="1480796" cy="649897"/>
          <a:chOff x="6880686" y="3500438"/>
          <a:chExt cx="1406090" cy="604398"/>
        </a:xfrm>
      </xdr:grpSpPr>
      <xdr:pic>
        <xdr:nvPicPr>
          <xdr:cNvPr id="208" name="75 Imagen" descr="Peanuts_66.png"/>
          <xdr:cNvPicPr>
            <a:picLocks noChangeAspect="1"/>
          </xdr:cNvPicPr>
        </xdr:nvPicPr>
        <xdr:blipFill>
          <a:blip xmlns:r="http://schemas.openxmlformats.org/officeDocument/2006/relationships" r:embed="rId1" cstate="print"/>
          <a:stretch>
            <a:fillRect/>
          </a:stretch>
        </xdr:blipFill>
        <xdr:spPr>
          <a:xfrm>
            <a:off x="7535999" y="3500438"/>
            <a:ext cx="750777" cy="451998"/>
          </a:xfrm>
          <a:prstGeom prst="rect">
            <a:avLst/>
          </a:prstGeom>
        </xdr:spPr>
      </xdr:pic>
      <xdr:pic>
        <xdr:nvPicPr>
          <xdr:cNvPr id="209" name="76 Imagen" descr="Peanuts_66.png"/>
          <xdr:cNvPicPr>
            <a:picLocks noChangeAspect="1"/>
          </xdr:cNvPicPr>
        </xdr:nvPicPr>
        <xdr:blipFill>
          <a:blip xmlns:r="http://schemas.openxmlformats.org/officeDocument/2006/relationships" r:embed="rId1" cstate="print"/>
          <a:stretch>
            <a:fillRect/>
          </a:stretch>
        </xdr:blipFill>
        <xdr:spPr>
          <a:xfrm>
            <a:off x="6880686" y="3500438"/>
            <a:ext cx="750777" cy="451998"/>
          </a:xfrm>
          <a:prstGeom prst="rect">
            <a:avLst/>
          </a:prstGeom>
        </xdr:spPr>
      </xdr:pic>
      <xdr:pic>
        <xdr:nvPicPr>
          <xdr:cNvPr id="210" name="77 Imagen" descr="Peanuts_66.png"/>
          <xdr:cNvPicPr>
            <a:picLocks noChangeAspect="1"/>
          </xdr:cNvPicPr>
        </xdr:nvPicPr>
        <xdr:blipFill>
          <a:blip xmlns:r="http://schemas.openxmlformats.org/officeDocument/2006/relationships" r:embed="rId1" cstate="print"/>
          <a:stretch>
            <a:fillRect/>
          </a:stretch>
        </xdr:blipFill>
        <xdr:spPr>
          <a:xfrm>
            <a:off x="7215206" y="3652838"/>
            <a:ext cx="750777" cy="451998"/>
          </a:xfrm>
          <a:prstGeom prst="rect">
            <a:avLst/>
          </a:prstGeom>
        </xdr:spPr>
      </xdr:pic>
    </xdr:grpSp>
    <xdr:clientData/>
  </xdr:twoCellAnchor>
  <xdr:twoCellAnchor editAs="oneCell">
    <xdr:from>
      <xdr:col>17</xdr:col>
      <xdr:colOff>270627</xdr:colOff>
      <xdr:row>274</xdr:row>
      <xdr:rowOff>13524</xdr:rowOff>
    </xdr:from>
    <xdr:to>
      <xdr:col>18</xdr:col>
      <xdr:colOff>525980</xdr:colOff>
      <xdr:row>278</xdr:row>
      <xdr:rowOff>22412</xdr:rowOff>
    </xdr:to>
    <xdr:pic>
      <xdr:nvPicPr>
        <xdr:cNvPr id="215" name="4 Imagen" descr="reservas.gif"/>
        <xdr:cNvPicPr>
          <a:picLocks noChangeAspect="1"/>
        </xdr:cNvPicPr>
      </xdr:nvPicPr>
      <xdr:blipFill rotWithShape="1">
        <a:blip xmlns:r="http://schemas.openxmlformats.org/officeDocument/2006/relationships" r:embed="rId48" cstate="print">
          <a:extLst/>
        </a:blip>
        <a:srcRect l="5626" t="5001" r="6054" b="24494"/>
        <a:stretch/>
      </xdr:blipFill>
      <xdr:spPr>
        <a:xfrm>
          <a:off x="13885774" y="52950112"/>
          <a:ext cx="1017353" cy="782094"/>
        </a:xfrm>
        <a:prstGeom prst="rect">
          <a:avLst/>
        </a:prstGeom>
      </xdr:spPr>
    </xdr:pic>
    <xdr:clientData/>
  </xdr:twoCellAnchor>
  <xdr:twoCellAnchor editAs="oneCell">
    <xdr:from>
      <xdr:col>17</xdr:col>
      <xdr:colOff>526675</xdr:colOff>
      <xdr:row>269</xdr:row>
      <xdr:rowOff>108212</xdr:rowOff>
    </xdr:from>
    <xdr:to>
      <xdr:col>18</xdr:col>
      <xdr:colOff>540443</xdr:colOff>
      <xdr:row>273</xdr:row>
      <xdr:rowOff>42419</xdr:rowOff>
    </xdr:to>
    <xdr:pic>
      <xdr:nvPicPr>
        <xdr:cNvPr id="216" name="12 Imagen" descr="balanceados.gif"/>
        <xdr:cNvPicPr>
          <a:picLocks noChangeAspect="1"/>
        </xdr:cNvPicPr>
      </xdr:nvPicPr>
      <xdr:blipFill rotWithShape="1">
        <a:blip xmlns:r="http://schemas.openxmlformats.org/officeDocument/2006/relationships" r:embed="rId49" cstate="print">
          <a:extLst/>
        </a:blip>
        <a:srcRect l="8025" t="5550" r="6868" b="25820"/>
        <a:stretch/>
      </xdr:blipFill>
      <xdr:spPr>
        <a:xfrm>
          <a:off x="14141822" y="52092300"/>
          <a:ext cx="775768" cy="696207"/>
        </a:xfrm>
        <a:prstGeom prst="rect">
          <a:avLst/>
        </a:prstGeom>
      </xdr:spPr>
    </xdr:pic>
    <xdr:clientData/>
  </xdr:twoCellAnchor>
  <xdr:twoCellAnchor>
    <xdr:from>
      <xdr:col>16</xdr:col>
      <xdr:colOff>291175</xdr:colOff>
      <xdr:row>269</xdr:row>
      <xdr:rowOff>0</xdr:rowOff>
    </xdr:from>
    <xdr:to>
      <xdr:col>17</xdr:col>
      <xdr:colOff>549088</xdr:colOff>
      <xdr:row>274</xdr:row>
      <xdr:rowOff>145676</xdr:rowOff>
    </xdr:to>
    <xdr:grpSp>
      <xdr:nvGrpSpPr>
        <xdr:cNvPr id="217" name="1 Grupo"/>
        <xdr:cNvGrpSpPr/>
      </xdr:nvGrpSpPr>
      <xdr:grpSpPr>
        <a:xfrm>
          <a:off x="13603763" y="50994235"/>
          <a:ext cx="1057266" cy="1079500"/>
          <a:chOff x="-2476400" y="3215569"/>
          <a:chExt cx="914285" cy="1085911"/>
        </a:xfrm>
      </xdr:grpSpPr>
      <xdr:grpSp>
        <xdr:nvGrpSpPr>
          <xdr:cNvPr id="218" name="57 Grupo"/>
          <xdr:cNvGrpSpPr/>
        </xdr:nvGrpSpPr>
        <xdr:grpSpPr>
          <a:xfrm>
            <a:off x="-2476400" y="3805639"/>
            <a:ext cx="822479" cy="495841"/>
            <a:chOff x="6880686" y="3500438"/>
            <a:chExt cx="1406090" cy="604398"/>
          </a:xfrm>
        </xdr:grpSpPr>
        <xdr:pic>
          <xdr:nvPicPr>
            <xdr:cNvPr id="221" name="101 Imagen" descr="Peanuts_66.png"/>
            <xdr:cNvPicPr>
              <a:picLocks noChangeAspect="1"/>
            </xdr:cNvPicPr>
          </xdr:nvPicPr>
          <xdr:blipFill>
            <a:blip xmlns:r="http://schemas.openxmlformats.org/officeDocument/2006/relationships" r:embed="rId1" cstate="print"/>
            <a:stretch>
              <a:fillRect/>
            </a:stretch>
          </xdr:blipFill>
          <xdr:spPr>
            <a:xfrm>
              <a:off x="7535999" y="3500438"/>
              <a:ext cx="750777" cy="451998"/>
            </a:xfrm>
            <a:prstGeom prst="rect">
              <a:avLst/>
            </a:prstGeom>
          </xdr:spPr>
        </xdr:pic>
        <xdr:pic>
          <xdr:nvPicPr>
            <xdr:cNvPr id="222" name="102 Imagen" descr="Peanuts_66.png"/>
            <xdr:cNvPicPr>
              <a:picLocks noChangeAspect="1"/>
            </xdr:cNvPicPr>
          </xdr:nvPicPr>
          <xdr:blipFill>
            <a:blip xmlns:r="http://schemas.openxmlformats.org/officeDocument/2006/relationships" r:embed="rId1" cstate="print"/>
            <a:stretch>
              <a:fillRect/>
            </a:stretch>
          </xdr:blipFill>
          <xdr:spPr>
            <a:xfrm>
              <a:off x="6880686" y="3500438"/>
              <a:ext cx="750777" cy="451998"/>
            </a:xfrm>
            <a:prstGeom prst="rect">
              <a:avLst/>
            </a:prstGeom>
          </xdr:spPr>
        </xdr:pic>
        <xdr:pic>
          <xdr:nvPicPr>
            <xdr:cNvPr id="223" name="103 Imagen" descr="Peanuts_66.png"/>
            <xdr:cNvPicPr>
              <a:picLocks noChangeAspect="1"/>
            </xdr:cNvPicPr>
          </xdr:nvPicPr>
          <xdr:blipFill>
            <a:blip xmlns:r="http://schemas.openxmlformats.org/officeDocument/2006/relationships" r:embed="rId1" cstate="print"/>
            <a:stretch>
              <a:fillRect/>
            </a:stretch>
          </xdr:blipFill>
          <xdr:spPr>
            <a:xfrm>
              <a:off x="7215206" y="3652838"/>
              <a:ext cx="750777" cy="451998"/>
            </a:xfrm>
            <a:prstGeom prst="rect">
              <a:avLst/>
            </a:prstGeom>
          </xdr:spPr>
        </xdr:pic>
      </xdr:grpSp>
      <xdr:pic>
        <xdr:nvPicPr>
          <xdr:cNvPr id="219" name="104 Imagen" descr="Hereford_Cow-icon.png"/>
          <xdr:cNvPicPr>
            <a:picLocks noChangeAspect="1"/>
          </xdr:cNvPicPr>
        </xdr:nvPicPr>
        <xdr:blipFill>
          <a:blip xmlns:r="http://schemas.openxmlformats.org/officeDocument/2006/relationships" r:embed="rId58" cstate="print"/>
          <a:stretch>
            <a:fillRect/>
          </a:stretch>
        </xdr:blipFill>
        <xdr:spPr>
          <a:xfrm>
            <a:off x="-2290043" y="3215569"/>
            <a:ext cx="727928" cy="737870"/>
          </a:xfrm>
          <a:prstGeom prst="rect">
            <a:avLst/>
          </a:prstGeom>
          <a:noFill/>
          <a:ln>
            <a:noFill/>
          </a:ln>
        </xdr:spPr>
      </xdr:pic>
      <xdr:pic>
        <xdr:nvPicPr>
          <xdr:cNvPr id="220" name="105 Imagen" descr="Hereford_Calf-icon.png"/>
          <xdr:cNvPicPr>
            <a:picLocks noChangeAspect="1"/>
          </xdr:cNvPicPr>
        </xdr:nvPicPr>
        <xdr:blipFill>
          <a:blip xmlns:r="http://schemas.openxmlformats.org/officeDocument/2006/relationships" r:embed="rId59" cstate="print"/>
          <a:stretch>
            <a:fillRect/>
          </a:stretch>
        </xdr:blipFill>
        <xdr:spPr>
          <a:xfrm>
            <a:off x="-2331229" y="3711978"/>
            <a:ext cx="437521" cy="443498"/>
          </a:xfrm>
          <a:prstGeom prst="rect">
            <a:avLst/>
          </a:prstGeom>
          <a:noFill/>
          <a:ln>
            <a:noFill/>
          </a:ln>
        </xdr:spPr>
      </xdr:pic>
    </xdr:grpSp>
    <xdr:clientData/>
  </xdr:twoCellAnchor>
  <xdr:twoCellAnchor editAs="oneCell">
    <xdr:from>
      <xdr:col>16</xdr:col>
      <xdr:colOff>566044</xdr:colOff>
      <xdr:row>295</xdr:row>
      <xdr:rowOff>123264</xdr:rowOff>
    </xdr:from>
    <xdr:to>
      <xdr:col>18</xdr:col>
      <xdr:colOff>136595</xdr:colOff>
      <xdr:row>301</xdr:row>
      <xdr:rowOff>11327</xdr:rowOff>
    </xdr:to>
    <xdr:pic>
      <xdr:nvPicPr>
        <xdr:cNvPr id="224" name="3 Imagen" descr="Hereford_Vaq-icon.png"/>
        <xdr:cNvPicPr>
          <a:picLocks noChangeAspect="1"/>
        </xdr:cNvPicPr>
      </xdr:nvPicPr>
      <xdr:blipFill>
        <a:blip xmlns:r="http://schemas.openxmlformats.org/officeDocument/2006/relationships" r:embed="rId60" cstate="print"/>
        <a:stretch>
          <a:fillRect/>
        </a:stretch>
      </xdr:blipFill>
      <xdr:spPr>
        <a:xfrm>
          <a:off x="13419191" y="57149999"/>
          <a:ext cx="1094551" cy="1109504"/>
        </a:xfrm>
        <a:prstGeom prst="rect">
          <a:avLst/>
        </a:prstGeom>
        <a:noFill/>
        <a:ln>
          <a:noFill/>
        </a:ln>
      </xdr:spPr>
    </xdr:pic>
    <xdr:clientData/>
  </xdr:twoCellAnchor>
  <xdr:twoCellAnchor>
    <xdr:from>
      <xdr:col>16</xdr:col>
      <xdr:colOff>403412</xdr:colOff>
      <xdr:row>299</xdr:row>
      <xdr:rowOff>68941</xdr:rowOff>
    </xdr:from>
    <xdr:to>
      <xdr:col>18</xdr:col>
      <xdr:colOff>285502</xdr:colOff>
      <xdr:row>302</xdr:row>
      <xdr:rowOff>12192</xdr:rowOff>
    </xdr:to>
    <xdr:grpSp>
      <xdr:nvGrpSpPr>
        <xdr:cNvPr id="225" name="57 Grupo"/>
        <xdr:cNvGrpSpPr/>
      </xdr:nvGrpSpPr>
      <xdr:grpSpPr>
        <a:xfrm>
          <a:off x="13716000" y="56755765"/>
          <a:ext cx="1480796" cy="503545"/>
          <a:chOff x="6880686" y="3500438"/>
          <a:chExt cx="1406090" cy="604398"/>
        </a:xfrm>
      </xdr:grpSpPr>
      <xdr:pic>
        <xdr:nvPicPr>
          <xdr:cNvPr id="226" name="75 Imagen" descr="Peanuts_66.png"/>
          <xdr:cNvPicPr>
            <a:picLocks noChangeAspect="1"/>
          </xdr:cNvPicPr>
        </xdr:nvPicPr>
        <xdr:blipFill>
          <a:blip xmlns:r="http://schemas.openxmlformats.org/officeDocument/2006/relationships" r:embed="rId1" cstate="print"/>
          <a:stretch>
            <a:fillRect/>
          </a:stretch>
        </xdr:blipFill>
        <xdr:spPr>
          <a:xfrm>
            <a:off x="7535999" y="3500438"/>
            <a:ext cx="750777" cy="451998"/>
          </a:xfrm>
          <a:prstGeom prst="rect">
            <a:avLst/>
          </a:prstGeom>
        </xdr:spPr>
      </xdr:pic>
      <xdr:pic>
        <xdr:nvPicPr>
          <xdr:cNvPr id="227" name="76 Imagen" descr="Peanuts_66.png"/>
          <xdr:cNvPicPr>
            <a:picLocks noChangeAspect="1"/>
          </xdr:cNvPicPr>
        </xdr:nvPicPr>
        <xdr:blipFill>
          <a:blip xmlns:r="http://schemas.openxmlformats.org/officeDocument/2006/relationships" r:embed="rId1" cstate="print"/>
          <a:stretch>
            <a:fillRect/>
          </a:stretch>
        </xdr:blipFill>
        <xdr:spPr>
          <a:xfrm>
            <a:off x="6880686" y="3500438"/>
            <a:ext cx="750777" cy="451998"/>
          </a:xfrm>
          <a:prstGeom prst="rect">
            <a:avLst/>
          </a:prstGeom>
        </xdr:spPr>
      </xdr:pic>
      <xdr:pic>
        <xdr:nvPicPr>
          <xdr:cNvPr id="228" name="77 Imagen" descr="Peanuts_66.png"/>
          <xdr:cNvPicPr>
            <a:picLocks noChangeAspect="1"/>
          </xdr:cNvPicPr>
        </xdr:nvPicPr>
        <xdr:blipFill>
          <a:blip xmlns:r="http://schemas.openxmlformats.org/officeDocument/2006/relationships" r:embed="rId1" cstate="print"/>
          <a:stretch>
            <a:fillRect/>
          </a:stretch>
        </xdr:blipFill>
        <xdr:spPr>
          <a:xfrm>
            <a:off x="7215206" y="3652838"/>
            <a:ext cx="750777" cy="451998"/>
          </a:xfrm>
          <a:prstGeom prst="rect">
            <a:avLst/>
          </a:prstGeom>
        </xdr:spPr>
      </xdr:pic>
    </xdr:grpSp>
    <xdr:clientData/>
  </xdr:twoCellAnchor>
  <xdr:twoCellAnchor editAs="oneCell">
    <xdr:from>
      <xdr:col>16</xdr:col>
      <xdr:colOff>723971</xdr:colOff>
      <xdr:row>329</xdr:row>
      <xdr:rowOff>89647</xdr:rowOff>
    </xdr:from>
    <xdr:to>
      <xdr:col>18</xdr:col>
      <xdr:colOff>175270</xdr:colOff>
      <xdr:row>334</xdr:row>
      <xdr:rowOff>33617</xdr:rowOff>
    </xdr:to>
    <xdr:pic>
      <xdr:nvPicPr>
        <xdr:cNvPr id="229" name="68 Imagen" descr="invernada.gif"/>
        <xdr:cNvPicPr>
          <a:picLocks noChangeAspect="1"/>
        </xdr:cNvPicPr>
      </xdr:nvPicPr>
      <xdr:blipFill rotWithShape="1">
        <a:blip xmlns:r="http://schemas.openxmlformats.org/officeDocument/2006/relationships" r:embed="rId61" cstate="print"/>
        <a:srcRect l="4546" t="4668" r="14338" b="24148"/>
        <a:stretch/>
      </xdr:blipFill>
      <xdr:spPr>
        <a:xfrm>
          <a:off x="13409030" y="63951971"/>
          <a:ext cx="975299" cy="952500"/>
        </a:xfrm>
        <a:prstGeom prst="roundRect">
          <a:avLst/>
        </a:prstGeom>
      </xdr:spPr>
    </xdr:pic>
    <xdr:clientData/>
  </xdr:twoCellAnchor>
  <xdr:twoCellAnchor>
    <xdr:from>
      <xdr:col>16</xdr:col>
      <xdr:colOff>369795</xdr:colOff>
      <xdr:row>332</xdr:row>
      <xdr:rowOff>123263</xdr:rowOff>
    </xdr:from>
    <xdr:to>
      <xdr:col>18</xdr:col>
      <xdr:colOff>381001</xdr:colOff>
      <xdr:row>336</xdr:row>
      <xdr:rowOff>44102</xdr:rowOff>
    </xdr:to>
    <xdr:grpSp>
      <xdr:nvGrpSpPr>
        <xdr:cNvPr id="230" name="57 Grupo"/>
        <xdr:cNvGrpSpPr/>
      </xdr:nvGrpSpPr>
      <xdr:grpSpPr>
        <a:xfrm>
          <a:off x="13682383" y="63062969"/>
          <a:ext cx="1609912" cy="667898"/>
          <a:chOff x="6880686" y="3500438"/>
          <a:chExt cx="1406090" cy="604398"/>
        </a:xfrm>
      </xdr:grpSpPr>
      <xdr:pic>
        <xdr:nvPicPr>
          <xdr:cNvPr id="231" name="75 Imagen" descr="Peanuts_66.png"/>
          <xdr:cNvPicPr>
            <a:picLocks noChangeAspect="1"/>
          </xdr:cNvPicPr>
        </xdr:nvPicPr>
        <xdr:blipFill>
          <a:blip xmlns:r="http://schemas.openxmlformats.org/officeDocument/2006/relationships" r:embed="rId1" cstate="print"/>
          <a:stretch>
            <a:fillRect/>
          </a:stretch>
        </xdr:blipFill>
        <xdr:spPr>
          <a:xfrm>
            <a:off x="7535999" y="3500438"/>
            <a:ext cx="750777" cy="451998"/>
          </a:xfrm>
          <a:prstGeom prst="rect">
            <a:avLst/>
          </a:prstGeom>
        </xdr:spPr>
      </xdr:pic>
      <xdr:pic>
        <xdr:nvPicPr>
          <xdr:cNvPr id="232" name="76 Imagen" descr="Peanuts_66.png"/>
          <xdr:cNvPicPr>
            <a:picLocks noChangeAspect="1"/>
          </xdr:cNvPicPr>
        </xdr:nvPicPr>
        <xdr:blipFill>
          <a:blip xmlns:r="http://schemas.openxmlformats.org/officeDocument/2006/relationships" r:embed="rId1" cstate="print"/>
          <a:stretch>
            <a:fillRect/>
          </a:stretch>
        </xdr:blipFill>
        <xdr:spPr>
          <a:xfrm>
            <a:off x="6880686" y="3500438"/>
            <a:ext cx="750777" cy="451998"/>
          </a:xfrm>
          <a:prstGeom prst="rect">
            <a:avLst/>
          </a:prstGeom>
        </xdr:spPr>
      </xdr:pic>
      <xdr:pic>
        <xdr:nvPicPr>
          <xdr:cNvPr id="233" name="77 Imagen" descr="Peanuts_66.png"/>
          <xdr:cNvPicPr>
            <a:picLocks noChangeAspect="1"/>
          </xdr:cNvPicPr>
        </xdr:nvPicPr>
        <xdr:blipFill>
          <a:blip xmlns:r="http://schemas.openxmlformats.org/officeDocument/2006/relationships" r:embed="rId1" cstate="print"/>
          <a:stretch>
            <a:fillRect/>
          </a:stretch>
        </xdr:blipFill>
        <xdr:spPr>
          <a:xfrm>
            <a:off x="7215206" y="3652838"/>
            <a:ext cx="750777" cy="451998"/>
          </a:xfrm>
          <a:prstGeom prst="rect">
            <a:avLst/>
          </a:prstGeom>
        </xdr:spPr>
      </xdr:pic>
    </xdr:grpSp>
    <xdr:clientData/>
  </xdr:twoCellAnchor>
  <xdr:twoCellAnchor editAs="oneCell">
    <xdr:from>
      <xdr:col>16</xdr:col>
      <xdr:colOff>257735</xdr:colOff>
      <xdr:row>362</xdr:row>
      <xdr:rowOff>12033</xdr:rowOff>
    </xdr:from>
    <xdr:to>
      <xdr:col>17</xdr:col>
      <xdr:colOff>649480</xdr:colOff>
      <xdr:row>368</xdr:row>
      <xdr:rowOff>38540</xdr:rowOff>
    </xdr:to>
    <xdr:pic>
      <xdr:nvPicPr>
        <xdr:cNvPr id="234" name="19 Imagen" descr="Hereford_Vaq-icon.png"/>
        <xdr:cNvPicPr>
          <a:picLocks noChangeAspect="1"/>
        </xdr:cNvPicPr>
      </xdr:nvPicPr>
      <xdr:blipFill>
        <a:blip xmlns:r="http://schemas.openxmlformats.org/officeDocument/2006/relationships" r:embed="rId60" cstate="print"/>
        <a:stretch>
          <a:fillRect/>
        </a:stretch>
      </xdr:blipFill>
      <xdr:spPr>
        <a:xfrm>
          <a:off x="13110882" y="70508239"/>
          <a:ext cx="1153745" cy="1169507"/>
        </a:xfrm>
        <a:prstGeom prst="rect">
          <a:avLst/>
        </a:prstGeom>
        <a:noFill/>
        <a:ln>
          <a:noFill/>
        </a:ln>
      </xdr:spPr>
    </xdr:pic>
    <xdr:clientData/>
  </xdr:twoCellAnchor>
  <xdr:twoCellAnchor editAs="oneCell">
    <xdr:from>
      <xdr:col>16</xdr:col>
      <xdr:colOff>758990</xdr:colOff>
      <xdr:row>363</xdr:row>
      <xdr:rowOff>132812</xdr:rowOff>
    </xdr:from>
    <xdr:to>
      <xdr:col>18</xdr:col>
      <xdr:colOff>302559</xdr:colOff>
      <xdr:row>369</xdr:row>
      <xdr:rowOff>57381</xdr:rowOff>
    </xdr:to>
    <xdr:pic>
      <xdr:nvPicPr>
        <xdr:cNvPr id="235" name="35 Imagen" descr="Water_Trough-icon.png"/>
        <xdr:cNvPicPr>
          <a:picLocks noChangeAspect="1"/>
        </xdr:cNvPicPr>
      </xdr:nvPicPr>
      <xdr:blipFill>
        <a:blip xmlns:r="http://schemas.openxmlformats.org/officeDocument/2006/relationships" r:embed="rId62" cstate="print"/>
        <a:stretch>
          <a:fillRect/>
        </a:stretch>
      </xdr:blipFill>
      <xdr:spPr>
        <a:xfrm>
          <a:off x="13612137" y="70830724"/>
          <a:ext cx="1067569" cy="1067569"/>
        </a:xfrm>
        <a:prstGeom prst="rect">
          <a:avLst/>
        </a:prstGeom>
      </xdr:spPr>
    </xdr:pic>
    <xdr:clientData/>
  </xdr:twoCellAnchor>
  <xdr:twoCellAnchor editAs="oneCell">
    <xdr:from>
      <xdr:col>16</xdr:col>
      <xdr:colOff>392204</xdr:colOff>
      <xdr:row>393</xdr:row>
      <xdr:rowOff>156881</xdr:rowOff>
    </xdr:from>
    <xdr:to>
      <xdr:col>18</xdr:col>
      <xdr:colOff>171693</xdr:colOff>
      <xdr:row>400</xdr:row>
      <xdr:rowOff>22968</xdr:rowOff>
    </xdr:to>
    <xdr:pic>
      <xdr:nvPicPr>
        <xdr:cNvPr id="236" name="69 Imagen" descr="engorde_a_corral.gif"/>
        <xdr:cNvPicPr>
          <a:picLocks noChangeAspect="1"/>
        </xdr:cNvPicPr>
      </xdr:nvPicPr>
      <xdr:blipFill rotWithShape="1">
        <a:blip xmlns:r="http://schemas.openxmlformats.org/officeDocument/2006/relationships" r:embed="rId63" cstate="print"/>
        <a:srcRect l="3659" t="5479" r="12195" b="24938"/>
        <a:stretch/>
      </xdr:blipFill>
      <xdr:spPr>
        <a:xfrm>
          <a:off x="13245351" y="76849940"/>
          <a:ext cx="1303489" cy="1199587"/>
        </a:xfrm>
        <a:prstGeom prst="rect">
          <a:avLst/>
        </a:prstGeom>
      </xdr:spPr>
    </xdr:pic>
    <xdr:clientData/>
  </xdr:twoCellAnchor>
  <xdr:twoCellAnchor editAs="oneCell">
    <xdr:from>
      <xdr:col>17</xdr:col>
      <xdr:colOff>168087</xdr:colOff>
      <xdr:row>395</xdr:row>
      <xdr:rowOff>201703</xdr:rowOff>
    </xdr:from>
    <xdr:to>
      <xdr:col>18</xdr:col>
      <xdr:colOff>477657</xdr:colOff>
      <xdr:row>402</xdr:row>
      <xdr:rowOff>102531</xdr:rowOff>
    </xdr:to>
    <xdr:pic>
      <xdr:nvPicPr>
        <xdr:cNvPr id="237" name="35 Imagen" descr="Water_Trough-icon.png"/>
        <xdr:cNvPicPr>
          <a:picLocks noChangeAspect="1"/>
        </xdr:cNvPicPr>
      </xdr:nvPicPr>
      <xdr:blipFill>
        <a:blip xmlns:r="http://schemas.openxmlformats.org/officeDocument/2006/relationships" r:embed="rId62" cstate="print"/>
        <a:stretch>
          <a:fillRect/>
        </a:stretch>
      </xdr:blipFill>
      <xdr:spPr>
        <a:xfrm>
          <a:off x="13783234" y="77298174"/>
          <a:ext cx="1071570" cy="1243853"/>
        </a:xfrm>
        <a:prstGeom prst="rect">
          <a:avLst/>
        </a:prstGeom>
      </xdr:spPr>
    </xdr:pic>
    <xdr:clientData/>
  </xdr:twoCellAnchor>
  <xdr:twoCellAnchor>
    <xdr:from>
      <xdr:col>1</xdr:col>
      <xdr:colOff>33617</xdr:colOff>
      <xdr:row>296</xdr:row>
      <xdr:rowOff>112059</xdr:rowOff>
    </xdr:from>
    <xdr:to>
      <xdr:col>7</xdr:col>
      <xdr:colOff>79001</xdr:colOff>
      <xdr:row>300</xdr:row>
      <xdr:rowOff>133910</xdr:rowOff>
    </xdr:to>
    <xdr:sp macro="" textlink="">
      <xdr:nvSpPr>
        <xdr:cNvPr id="165" name="164 CuadroTexto"/>
        <xdr:cNvSpPr txBox="1"/>
      </xdr:nvSpPr>
      <xdr:spPr>
        <a:xfrm>
          <a:off x="257735" y="55233794"/>
          <a:ext cx="5648325" cy="7838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b="1" u="sng"/>
            <a:t>ATENCIÓN!</a:t>
          </a:r>
        </a:p>
        <a:p>
          <a:endParaRPr lang="es-AR" sz="1100" b="1" u="sng"/>
        </a:p>
        <a:p>
          <a:r>
            <a:rPr lang="es-AR" sz="1100" b="1" u="none"/>
            <a:t>Los</a:t>
          </a:r>
          <a:r>
            <a:rPr lang="es-AR" sz="1100" b="1" u="none" baseline="0"/>
            <a:t> datos corresponden a todas las recrías a pasto informadas, no segmenta por tipo de animal que se engorda ni que recurso utiliza.</a:t>
          </a:r>
          <a:endParaRPr lang="es-AR" sz="1100" b="1" u="none"/>
        </a:p>
      </xdr:txBody>
    </xdr:sp>
    <xdr:clientData/>
  </xdr:twoCellAnchor>
  <xdr:twoCellAnchor>
    <xdr:from>
      <xdr:col>1</xdr:col>
      <xdr:colOff>0</xdr:colOff>
      <xdr:row>328</xdr:row>
      <xdr:rowOff>0</xdr:rowOff>
    </xdr:from>
    <xdr:to>
      <xdr:col>7</xdr:col>
      <xdr:colOff>45384</xdr:colOff>
      <xdr:row>332</xdr:row>
      <xdr:rowOff>76200</xdr:rowOff>
    </xdr:to>
    <xdr:sp macro="" textlink="">
      <xdr:nvSpPr>
        <xdr:cNvPr id="166" name="165 CuadroTexto"/>
        <xdr:cNvSpPr txBox="1"/>
      </xdr:nvSpPr>
      <xdr:spPr>
        <a:xfrm>
          <a:off x="224118" y="61150500"/>
          <a:ext cx="5648325" cy="838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b="1" u="sng"/>
            <a:t>ATENCIÓN!</a:t>
          </a:r>
        </a:p>
        <a:p>
          <a:endParaRPr lang="es-AR" sz="1100" b="1" u="sng"/>
        </a:p>
        <a:p>
          <a:r>
            <a:rPr lang="es-AR" sz="1100" b="1" u="none"/>
            <a:t>Los</a:t>
          </a:r>
          <a:r>
            <a:rPr lang="es-AR" sz="1100" b="1" u="none" baseline="0"/>
            <a:t> datos corresponden a todas las invernadas informadas, no segmenta por tipo de animal que se engorda ni que recurso utiliza.</a:t>
          </a:r>
          <a:endParaRPr lang="es-AR" sz="1100" b="1" u="none"/>
        </a:p>
      </xdr:txBody>
    </xdr:sp>
    <xdr:clientData/>
  </xdr:twoCellAnchor>
  <xdr:twoCellAnchor>
    <xdr:from>
      <xdr:col>1</xdr:col>
      <xdr:colOff>152400</xdr:colOff>
      <xdr:row>328</xdr:row>
      <xdr:rowOff>152400</xdr:rowOff>
    </xdr:from>
    <xdr:to>
      <xdr:col>7</xdr:col>
      <xdr:colOff>197784</xdr:colOff>
      <xdr:row>333</xdr:row>
      <xdr:rowOff>38100</xdr:rowOff>
    </xdr:to>
    <xdr:sp macro="" textlink="">
      <xdr:nvSpPr>
        <xdr:cNvPr id="167" name="166 CuadroTexto"/>
        <xdr:cNvSpPr txBox="1"/>
      </xdr:nvSpPr>
      <xdr:spPr>
        <a:xfrm>
          <a:off x="376518" y="61302900"/>
          <a:ext cx="5648325" cy="838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b="1" u="sng"/>
            <a:t>ATENCIÓN!</a:t>
          </a:r>
        </a:p>
        <a:p>
          <a:endParaRPr lang="es-AR" sz="1100" b="1" u="sng"/>
        </a:p>
        <a:p>
          <a:r>
            <a:rPr lang="es-AR" sz="1100" b="1" u="none"/>
            <a:t>Los</a:t>
          </a:r>
          <a:r>
            <a:rPr lang="es-AR" sz="1100" b="1" u="none" baseline="0"/>
            <a:t> datos corresponden a todas las invernadas informadas, no segmenta por tipo de animal que se engorda ni que recurso utiliza.</a:t>
          </a:r>
          <a:endParaRPr lang="es-AR" sz="1100" b="1" u="none"/>
        </a:p>
      </xdr:txBody>
    </xdr:sp>
    <xdr:clientData/>
  </xdr:twoCellAnchor>
  <xdr:twoCellAnchor>
    <xdr:from>
      <xdr:col>1</xdr:col>
      <xdr:colOff>304800</xdr:colOff>
      <xdr:row>329</xdr:row>
      <xdr:rowOff>114300</xdr:rowOff>
    </xdr:from>
    <xdr:to>
      <xdr:col>7</xdr:col>
      <xdr:colOff>350184</xdr:colOff>
      <xdr:row>334</xdr:row>
      <xdr:rowOff>0</xdr:rowOff>
    </xdr:to>
    <xdr:sp macro="" textlink="">
      <xdr:nvSpPr>
        <xdr:cNvPr id="168" name="167 CuadroTexto"/>
        <xdr:cNvSpPr txBox="1"/>
      </xdr:nvSpPr>
      <xdr:spPr>
        <a:xfrm>
          <a:off x="528918" y="61455300"/>
          <a:ext cx="5648325" cy="838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b="1" u="sng"/>
            <a:t>ATENCIÓN!</a:t>
          </a:r>
        </a:p>
        <a:p>
          <a:endParaRPr lang="es-AR" sz="1100" b="1" u="sng"/>
        </a:p>
        <a:p>
          <a:r>
            <a:rPr lang="es-AR" sz="1100" b="1" u="none"/>
            <a:t>Los</a:t>
          </a:r>
          <a:r>
            <a:rPr lang="es-AR" sz="1100" b="1" u="none" baseline="0"/>
            <a:t> datos corresponden a todas las invernadas informadas, no segmenta por tipo de animal que se engorda ni que recurso utiliza.</a:t>
          </a:r>
          <a:endParaRPr lang="es-AR" sz="1100" b="1" u="none"/>
        </a:p>
      </xdr:txBody>
    </xdr:sp>
    <xdr:clientData/>
  </xdr:twoCellAnchor>
  <xdr:twoCellAnchor>
    <xdr:from>
      <xdr:col>0</xdr:col>
      <xdr:colOff>212912</xdr:colOff>
      <xdr:row>361</xdr:row>
      <xdr:rowOff>56030</xdr:rowOff>
    </xdr:from>
    <xdr:to>
      <xdr:col>7</xdr:col>
      <xdr:colOff>34178</xdr:colOff>
      <xdr:row>365</xdr:row>
      <xdr:rowOff>132230</xdr:rowOff>
    </xdr:to>
    <xdr:sp macro="" textlink="">
      <xdr:nvSpPr>
        <xdr:cNvPr id="169" name="168 CuadroTexto"/>
        <xdr:cNvSpPr txBox="1"/>
      </xdr:nvSpPr>
      <xdr:spPr>
        <a:xfrm>
          <a:off x="212912" y="67649912"/>
          <a:ext cx="5648325" cy="838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b="1" u="sng"/>
            <a:t>ATENCIÓN!</a:t>
          </a:r>
        </a:p>
        <a:p>
          <a:endParaRPr lang="es-AR" sz="1100" b="1" u="sng"/>
        </a:p>
        <a:p>
          <a:r>
            <a:rPr lang="es-AR" sz="1100" b="1" u="none"/>
            <a:t>Los</a:t>
          </a:r>
          <a:r>
            <a:rPr lang="es-AR" sz="1100" b="1" u="none" baseline="0"/>
            <a:t> datos corresponden a todos los corrales informados, no segmenta por tipo de corral </a:t>
          </a:r>
          <a:endParaRPr lang="es-AR" sz="1100" b="1" u="none"/>
        </a:p>
      </xdr:txBody>
    </xdr:sp>
    <xdr:clientData/>
  </xdr:twoCellAnchor>
  <xdr:twoCellAnchor>
    <xdr:from>
      <xdr:col>0</xdr:col>
      <xdr:colOff>224117</xdr:colOff>
      <xdr:row>394</xdr:row>
      <xdr:rowOff>100853</xdr:rowOff>
    </xdr:from>
    <xdr:to>
      <xdr:col>7</xdr:col>
      <xdr:colOff>45383</xdr:colOff>
      <xdr:row>398</xdr:row>
      <xdr:rowOff>177053</xdr:rowOff>
    </xdr:to>
    <xdr:sp macro="" textlink="">
      <xdr:nvSpPr>
        <xdr:cNvPr id="170" name="169 CuadroTexto"/>
        <xdr:cNvSpPr txBox="1"/>
      </xdr:nvSpPr>
      <xdr:spPr>
        <a:xfrm>
          <a:off x="224117" y="74194147"/>
          <a:ext cx="5648325" cy="838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b="1" u="sng"/>
            <a:t>ATENCIÓN!</a:t>
          </a:r>
        </a:p>
        <a:p>
          <a:endParaRPr lang="es-AR" sz="1100" b="1" u="sng"/>
        </a:p>
        <a:p>
          <a:r>
            <a:rPr lang="es-AR" sz="1100" b="1" u="none"/>
            <a:t>Los</a:t>
          </a:r>
          <a:r>
            <a:rPr lang="es-AR" sz="1100" b="1" u="none" baseline="0"/>
            <a:t> datos corresponden a todos los corrales informados, no segmenta por tipo de corral </a:t>
          </a:r>
          <a:endParaRPr lang="es-AR" sz="1100" b="1" u="none"/>
        </a:p>
      </xdr:txBody>
    </xdr:sp>
    <xdr:clientData/>
  </xdr:twoCellAnchor>
</xdr:wsDr>
</file>

<file path=xl/drawings/drawing18.xml><?xml version="1.0" encoding="utf-8"?>
<c:userShapes xmlns:c="http://schemas.openxmlformats.org/drawingml/2006/chart">
  <cdr:relSizeAnchor xmlns:cdr="http://schemas.openxmlformats.org/drawingml/2006/chartDrawing">
    <cdr:from>
      <cdr:x>0.15066</cdr:x>
      <cdr:y>0.02213</cdr:y>
    </cdr:from>
    <cdr:to>
      <cdr:x>0.29122</cdr:x>
      <cdr:y>0.24136</cdr:y>
    </cdr:to>
    <cdr:sp macro="" textlink="">
      <cdr:nvSpPr>
        <cdr:cNvPr id="2" name="41 CuadroTexto"/>
        <cdr:cNvSpPr txBox="1"/>
      </cdr:nvSpPr>
      <cdr:spPr>
        <a:xfrm xmlns:a="http://schemas.openxmlformats.org/drawingml/2006/main">
          <a:off x="984432" y="31308"/>
          <a:ext cx="918440" cy="310092"/>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s-AR" sz="1100"/>
            <a:t>Grano</a:t>
          </a:r>
        </a:p>
      </cdr:txBody>
    </cdr:sp>
  </cdr:relSizeAnchor>
  <cdr:relSizeAnchor xmlns:cdr="http://schemas.openxmlformats.org/drawingml/2006/chartDrawing">
    <cdr:from>
      <cdr:x>0.28653</cdr:x>
      <cdr:y>0.02104</cdr:y>
    </cdr:from>
    <cdr:to>
      <cdr:x>0.42709</cdr:x>
      <cdr:y>0.24027</cdr:y>
    </cdr:to>
    <cdr:sp macro="" textlink="">
      <cdr:nvSpPr>
        <cdr:cNvPr id="3" name="41 CuadroTexto"/>
        <cdr:cNvSpPr txBox="1"/>
      </cdr:nvSpPr>
      <cdr:spPr>
        <a:xfrm xmlns:a="http://schemas.openxmlformats.org/drawingml/2006/main">
          <a:off x="1872200" y="29757"/>
          <a:ext cx="918440" cy="310093"/>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s-AR" sz="1100"/>
            <a:t>Silo</a:t>
          </a:r>
        </a:p>
      </cdr:txBody>
    </cdr:sp>
  </cdr:relSizeAnchor>
  <cdr:relSizeAnchor xmlns:cdr="http://schemas.openxmlformats.org/drawingml/2006/chartDrawing">
    <cdr:from>
      <cdr:x>0.44736</cdr:x>
      <cdr:y>0.02777</cdr:y>
    </cdr:from>
    <cdr:to>
      <cdr:x>0.58792</cdr:x>
      <cdr:y>0.247</cdr:y>
    </cdr:to>
    <cdr:sp macro="" textlink="">
      <cdr:nvSpPr>
        <cdr:cNvPr id="4" name="41 CuadroTexto"/>
        <cdr:cNvSpPr txBox="1"/>
      </cdr:nvSpPr>
      <cdr:spPr>
        <a:xfrm xmlns:a="http://schemas.openxmlformats.org/drawingml/2006/main">
          <a:off x="2923096" y="39282"/>
          <a:ext cx="918440" cy="310093"/>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s-AR" sz="1100"/>
            <a:t>Heno</a:t>
          </a:r>
        </a:p>
      </cdr:txBody>
    </cdr:sp>
  </cdr:relSizeAnchor>
  <cdr:relSizeAnchor xmlns:cdr="http://schemas.openxmlformats.org/drawingml/2006/chartDrawing">
    <cdr:from>
      <cdr:x>0.58477</cdr:x>
      <cdr:y>0.04697</cdr:y>
    </cdr:from>
    <cdr:to>
      <cdr:x>0.77567</cdr:x>
      <cdr:y>0.26271</cdr:y>
    </cdr:to>
    <cdr:sp macro="" textlink="">
      <cdr:nvSpPr>
        <cdr:cNvPr id="5" name="41 CuadroTexto"/>
        <cdr:cNvSpPr txBox="1"/>
      </cdr:nvSpPr>
      <cdr:spPr>
        <a:xfrm xmlns:a="http://schemas.openxmlformats.org/drawingml/2006/main">
          <a:off x="3820950" y="66436"/>
          <a:ext cx="1247370" cy="305160"/>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s-AR" sz="1100"/>
            <a:t>Minerales</a:t>
          </a:r>
        </a:p>
      </cdr:txBody>
    </cdr:sp>
  </cdr:relSizeAnchor>
  <cdr:relSizeAnchor xmlns:cdr="http://schemas.openxmlformats.org/drawingml/2006/chartDrawing">
    <cdr:from>
      <cdr:x>0.75283</cdr:x>
      <cdr:y>0.03341</cdr:y>
    </cdr:from>
    <cdr:to>
      <cdr:x>0.94373</cdr:x>
      <cdr:y>0.25264</cdr:y>
    </cdr:to>
    <cdr:sp macro="" textlink="">
      <cdr:nvSpPr>
        <cdr:cNvPr id="6" name="41 CuadroTexto"/>
        <cdr:cNvSpPr txBox="1"/>
      </cdr:nvSpPr>
      <cdr:spPr>
        <a:xfrm xmlns:a="http://schemas.openxmlformats.org/drawingml/2006/main">
          <a:off x="4919097" y="47257"/>
          <a:ext cx="1247370" cy="310093"/>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s-AR" sz="1100"/>
            <a:t>Proteínas</a:t>
          </a:r>
        </a:p>
      </cdr:txBody>
    </cdr:sp>
  </cdr:relSizeAnchor>
</c:userShapes>
</file>

<file path=xl/drawings/drawing19.xml><?xml version="1.0" encoding="utf-8"?>
<xdr:wsDr xmlns:xdr="http://schemas.openxmlformats.org/drawingml/2006/spreadsheetDrawing" xmlns:a="http://schemas.openxmlformats.org/drawingml/2006/main">
  <xdr:twoCellAnchor editAs="oneCell">
    <xdr:from>
      <xdr:col>2</xdr:col>
      <xdr:colOff>857251</xdr:colOff>
      <xdr:row>29</xdr:row>
      <xdr:rowOff>28576</xdr:rowOff>
    </xdr:from>
    <xdr:to>
      <xdr:col>2</xdr:col>
      <xdr:colOff>3028951</xdr:colOff>
      <xdr:row>35</xdr:row>
      <xdr:rowOff>97688</xdr:rowOff>
    </xdr:to>
    <xdr:pic>
      <xdr:nvPicPr>
        <xdr:cNvPr id="2" name="1 Imagen"/>
        <xdr:cNvPicPr>
          <a:picLocks noChangeAspect="1"/>
        </xdr:cNvPicPr>
      </xdr:nvPicPr>
      <xdr:blipFill>
        <a:blip xmlns:r="http://schemas.openxmlformats.org/officeDocument/2006/relationships" r:embed="rId1"/>
        <a:stretch>
          <a:fillRect/>
        </a:stretch>
      </xdr:blipFill>
      <xdr:spPr>
        <a:xfrm>
          <a:off x="857251" y="5438776"/>
          <a:ext cx="2171700" cy="1212112"/>
        </a:xfrm>
        <a:prstGeom prst="rect">
          <a:avLst/>
        </a:prstGeom>
      </xdr:spPr>
    </xdr:pic>
    <xdr:clientData/>
  </xdr:twoCellAnchor>
  <xdr:twoCellAnchor editAs="oneCell">
    <xdr:from>
      <xdr:col>2</xdr:col>
      <xdr:colOff>9734550</xdr:colOff>
      <xdr:row>1</xdr:row>
      <xdr:rowOff>104775</xdr:rowOff>
    </xdr:from>
    <xdr:to>
      <xdr:col>3</xdr:col>
      <xdr:colOff>419741</xdr:colOff>
      <xdr:row>4</xdr:row>
      <xdr:rowOff>231275</xdr:rowOff>
    </xdr:to>
    <xdr:pic>
      <xdr:nvPicPr>
        <xdr:cNvPr id="3" name="2 Imagen"/>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10744200" y="295275"/>
          <a:ext cx="981716" cy="80277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mbodini@crea.org.ar" TargetMode="External"/><Relationship Id="rId1" Type="http://schemas.openxmlformats.org/officeDocument/2006/relationships/hyperlink" Target="mailto:msobredo@crea.org.ar"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
  <sheetViews>
    <sheetView showGridLines="0" topLeftCell="B1" zoomScaleNormal="100" workbookViewId="0">
      <selection activeCell="G25" sqref="G25"/>
    </sheetView>
  </sheetViews>
  <sheetFormatPr baseColWidth="10" defaultColWidth="0" defaultRowHeight="14.5" x14ac:dyDescent="0.35"/>
  <cols>
    <col min="1" max="1" width="9.1796875" style="178" customWidth="1"/>
    <col min="2" max="2" width="4.7265625" style="69" customWidth="1"/>
    <col min="3" max="3" width="5.7265625" style="69" customWidth="1"/>
    <col min="4" max="16" width="11.453125" style="69" customWidth="1"/>
    <col min="17" max="17" width="8" style="69" customWidth="1"/>
    <col min="18" max="18" width="8.453125" style="178" customWidth="1"/>
    <col min="19" max="16384" width="11.453125" style="69" hidden="1"/>
  </cols>
  <sheetData>
    <row r="1" spans="1:18" s="178" customFormat="1" x14ac:dyDescent="0.35"/>
    <row r="2" spans="1:18" ht="9.75" customHeight="1" x14ac:dyDescent="0.35"/>
    <row r="3" spans="1:18" s="280" customFormat="1" ht="23.5" x14ac:dyDescent="0.55000000000000004">
      <c r="A3" s="290"/>
      <c r="C3" s="281" t="s">
        <v>236</v>
      </c>
      <c r="R3" s="290"/>
    </row>
    <row r="4" spans="1:18" ht="10.5" customHeight="1" x14ac:dyDescent="0.45">
      <c r="C4" s="277"/>
    </row>
    <row r="5" spans="1:18" s="279" customFormat="1" ht="18.5" x14ac:dyDescent="0.45">
      <c r="A5" s="291"/>
      <c r="C5" s="278" t="s">
        <v>659</v>
      </c>
      <c r="R5" s="291"/>
    </row>
    <row r="7" spans="1:18" s="1" customFormat="1" ht="15.5" x14ac:dyDescent="0.35">
      <c r="A7" s="292"/>
      <c r="C7" s="2" t="s">
        <v>503</v>
      </c>
      <c r="E7" s="58"/>
      <c r="R7" s="292"/>
    </row>
    <row r="8" spans="1:18" ht="9" customHeight="1" x14ac:dyDescent="0.35">
      <c r="C8" s="1"/>
      <c r="D8" s="1"/>
      <c r="E8" s="1"/>
      <c r="F8" s="1"/>
      <c r="G8" s="1"/>
      <c r="H8" s="1"/>
      <c r="I8" s="1"/>
      <c r="J8" s="1"/>
      <c r="K8" s="1"/>
      <c r="L8" s="1"/>
      <c r="M8" s="1"/>
    </row>
    <row r="9" spans="1:18" ht="15.5" x14ac:dyDescent="0.35">
      <c r="C9" s="302"/>
      <c r="D9" s="1" t="s">
        <v>234</v>
      </c>
      <c r="E9" s="1"/>
      <c r="F9" s="1"/>
      <c r="G9" s="1"/>
      <c r="H9" s="1"/>
      <c r="I9" s="1"/>
      <c r="J9" s="1"/>
      <c r="K9" s="1"/>
      <c r="L9" s="1"/>
      <c r="M9" s="1"/>
    </row>
    <row r="10" spans="1:18" ht="15.5" x14ac:dyDescent="0.35">
      <c r="C10" s="303"/>
      <c r="D10" s="1" t="s">
        <v>235</v>
      </c>
      <c r="E10" s="1"/>
      <c r="F10" s="1"/>
      <c r="G10" s="1"/>
      <c r="H10" s="1"/>
      <c r="I10" s="1"/>
      <c r="J10" s="1"/>
      <c r="K10" s="1"/>
      <c r="L10" s="1"/>
      <c r="M10" s="1"/>
    </row>
    <row r="11" spans="1:18" ht="9" customHeight="1" x14ac:dyDescent="0.35">
      <c r="C11" s="1"/>
      <c r="D11" s="1"/>
      <c r="E11" s="1"/>
      <c r="F11" s="1"/>
      <c r="G11" s="1"/>
      <c r="H11" s="1"/>
      <c r="I11" s="1"/>
      <c r="J11" s="1"/>
      <c r="K11" s="1"/>
      <c r="L11" s="1"/>
      <c r="M11" s="1"/>
    </row>
    <row r="12" spans="1:18" ht="15.5" x14ac:dyDescent="0.35">
      <c r="C12" s="1"/>
      <c r="D12" s="1" t="s">
        <v>504</v>
      </c>
      <c r="E12" s="1"/>
      <c r="F12" s="1"/>
      <c r="G12" s="1"/>
      <c r="H12" s="1"/>
      <c r="I12" s="1"/>
      <c r="J12" s="1"/>
      <c r="K12" s="1"/>
      <c r="L12" s="1"/>
      <c r="M12" s="1"/>
    </row>
    <row r="13" spans="1:18" ht="9" customHeight="1" x14ac:dyDescent="0.35">
      <c r="C13" s="1"/>
      <c r="D13" s="1"/>
      <c r="E13" s="1"/>
      <c r="F13" s="1"/>
      <c r="G13" s="1"/>
      <c r="H13" s="1"/>
      <c r="I13" s="1"/>
      <c r="J13" s="1"/>
      <c r="K13" s="1"/>
      <c r="L13" s="1"/>
      <c r="M13" s="1"/>
    </row>
    <row r="14" spans="1:18" ht="33.75" customHeight="1" x14ac:dyDescent="0.35">
      <c r="C14" s="1"/>
      <c r="D14" s="399" t="s">
        <v>505</v>
      </c>
      <c r="E14" s="399"/>
      <c r="F14" s="399"/>
      <c r="G14" s="399"/>
      <c r="H14" s="399"/>
      <c r="I14" s="399"/>
      <c r="J14" s="399"/>
      <c r="K14" s="399"/>
      <c r="L14" s="399"/>
      <c r="M14" s="399"/>
      <c r="N14" s="399"/>
      <c r="O14" s="399"/>
      <c r="P14" s="399"/>
      <c r="Q14" s="284"/>
    </row>
    <row r="15" spans="1:18" ht="9" customHeight="1" x14ac:dyDescent="0.35">
      <c r="C15" s="1"/>
      <c r="D15" s="1"/>
      <c r="E15" s="1"/>
      <c r="F15" s="1"/>
      <c r="G15" s="1"/>
      <c r="H15" s="1"/>
      <c r="I15" s="1"/>
      <c r="J15" s="1"/>
      <c r="K15" s="1"/>
      <c r="L15" s="1"/>
      <c r="M15" s="1"/>
    </row>
    <row r="16" spans="1:18" ht="15.5" x14ac:dyDescent="0.35">
      <c r="C16" s="398" t="s">
        <v>506</v>
      </c>
      <c r="D16" s="398"/>
      <c r="E16" s="398"/>
      <c r="F16" s="398"/>
      <c r="G16" s="398"/>
      <c r="H16" s="398"/>
      <c r="I16" s="398"/>
      <c r="J16" s="398"/>
      <c r="K16" s="398"/>
      <c r="L16" s="398"/>
      <c r="M16" s="398"/>
      <c r="N16" s="285"/>
      <c r="O16" s="285"/>
      <c r="P16" s="285"/>
      <c r="Q16" s="285"/>
    </row>
    <row r="17" spans="1:18" ht="9" customHeight="1" x14ac:dyDescent="0.35">
      <c r="C17" s="1"/>
      <c r="D17" s="1"/>
      <c r="E17" s="1"/>
      <c r="F17" s="1"/>
      <c r="G17" s="1"/>
      <c r="H17" s="1"/>
      <c r="I17" s="1"/>
      <c r="J17" s="1"/>
      <c r="K17" s="1"/>
      <c r="L17" s="1"/>
      <c r="M17" s="1"/>
    </row>
    <row r="18" spans="1:18" ht="31.5" customHeight="1" x14ac:dyDescent="0.35">
      <c r="C18" s="1"/>
      <c r="D18" s="399" t="s">
        <v>467</v>
      </c>
      <c r="E18" s="399"/>
      <c r="F18" s="399"/>
      <c r="G18" s="399"/>
      <c r="H18" s="399"/>
      <c r="I18" s="399"/>
      <c r="J18" s="399"/>
      <c r="K18" s="399"/>
      <c r="L18" s="399"/>
      <c r="M18" s="399"/>
      <c r="N18" s="399"/>
      <c r="O18" s="399"/>
      <c r="P18" s="399"/>
      <c r="Q18" s="284"/>
      <c r="R18" s="294"/>
    </row>
    <row r="19" spans="1:18" ht="44.25" customHeight="1" x14ac:dyDescent="0.35">
      <c r="C19" s="1"/>
      <c r="D19" s="399" t="s">
        <v>507</v>
      </c>
      <c r="E19" s="399"/>
      <c r="F19" s="399"/>
      <c r="G19" s="399"/>
      <c r="H19" s="399"/>
      <c r="I19" s="399"/>
      <c r="J19" s="399"/>
      <c r="K19" s="399"/>
      <c r="L19" s="399"/>
      <c r="M19" s="399"/>
      <c r="N19" s="399"/>
      <c r="O19" s="399"/>
      <c r="P19" s="399"/>
      <c r="Q19" s="284"/>
      <c r="R19" s="295"/>
    </row>
    <row r="20" spans="1:18" s="251" customFormat="1" ht="15.5" x14ac:dyDescent="0.35">
      <c r="A20" s="293"/>
      <c r="C20" s="304"/>
      <c r="D20" s="400" t="s">
        <v>631</v>
      </c>
      <c r="E20" s="400"/>
      <c r="F20" s="400"/>
      <c r="G20" s="400"/>
      <c r="H20" s="400"/>
      <c r="I20" s="400"/>
      <c r="J20" s="400"/>
      <c r="K20" s="400"/>
      <c r="L20" s="400"/>
      <c r="M20" s="400"/>
      <c r="N20" s="400"/>
      <c r="O20" s="400"/>
      <c r="P20" s="400"/>
      <c r="Q20" s="284"/>
      <c r="R20" s="295"/>
    </row>
    <row r="21" spans="1:18" ht="9" customHeight="1" x14ac:dyDescent="0.35">
      <c r="C21" s="1"/>
      <c r="D21" s="1"/>
      <c r="E21" s="1"/>
      <c r="F21" s="1"/>
      <c r="G21" s="1"/>
      <c r="H21" s="1"/>
      <c r="I21" s="1"/>
      <c r="J21" s="1"/>
      <c r="K21" s="1"/>
      <c r="L21" s="1"/>
      <c r="M21" s="1"/>
    </row>
    <row r="22" spans="1:18" ht="15.5" x14ac:dyDescent="0.35">
      <c r="C22" s="399"/>
      <c r="D22" s="399"/>
      <c r="E22" s="399"/>
      <c r="F22" s="399"/>
      <c r="G22" s="399"/>
      <c r="H22" s="399"/>
      <c r="I22" s="399"/>
      <c r="J22" s="399"/>
      <c r="K22" s="399"/>
      <c r="L22" s="399"/>
      <c r="M22" s="399"/>
      <c r="N22" s="286"/>
      <c r="O22" s="286"/>
      <c r="P22" s="286"/>
      <c r="Q22" s="286"/>
    </row>
    <row r="23" spans="1:18" ht="9" customHeight="1" x14ac:dyDescent="0.35">
      <c r="C23" s="1"/>
      <c r="D23" s="1"/>
      <c r="E23" s="1"/>
      <c r="F23" s="1"/>
      <c r="G23" s="1"/>
      <c r="H23" s="1"/>
      <c r="I23" s="1"/>
      <c r="J23" s="1"/>
      <c r="K23" s="1"/>
      <c r="L23" s="1"/>
      <c r="M23" s="1"/>
    </row>
    <row r="24" spans="1:18" ht="15.5" x14ac:dyDescent="0.35">
      <c r="C24" s="1"/>
      <c r="D24" s="1"/>
      <c r="E24" s="1"/>
      <c r="F24" s="1"/>
      <c r="G24" s="1"/>
      <c r="H24" s="1"/>
      <c r="I24" s="1"/>
      <c r="J24" s="1"/>
      <c r="K24" s="1"/>
      <c r="L24" s="1"/>
      <c r="M24" s="1"/>
    </row>
    <row r="25" spans="1:18" ht="15.5" x14ac:dyDescent="0.35">
      <c r="C25" s="1"/>
      <c r="D25" s="1"/>
      <c r="E25" s="1"/>
      <c r="F25" s="1"/>
      <c r="G25" s="1"/>
      <c r="H25" s="1"/>
      <c r="I25" s="1"/>
      <c r="J25" s="1"/>
      <c r="K25" s="1"/>
      <c r="L25" s="1"/>
      <c r="M25" s="1"/>
    </row>
    <row r="26" spans="1:18" ht="15.5" x14ac:dyDescent="0.35">
      <c r="C26" s="1" t="s">
        <v>229</v>
      </c>
      <c r="D26" s="1"/>
      <c r="E26" s="1"/>
      <c r="F26" s="1"/>
      <c r="G26" s="1"/>
      <c r="H26" s="1"/>
      <c r="I26" s="1"/>
      <c r="J26" s="1"/>
      <c r="K26" s="1"/>
      <c r="L26" s="1"/>
      <c r="M26" s="1"/>
    </row>
    <row r="27" spans="1:18" ht="15.5" x14ac:dyDescent="0.35">
      <c r="C27" s="1"/>
      <c r="D27" s="1"/>
      <c r="E27" s="305" t="s">
        <v>230</v>
      </c>
      <c r="F27" s="1" t="s">
        <v>231</v>
      </c>
      <c r="G27" s="1"/>
      <c r="H27" s="1"/>
      <c r="I27" s="1"/>
      <c r="J27" s="1"/>
      <c r="K27" s="1"/>
      <c r="L27" s="1"/>
      <c r="M27" s="1"/>
    </row>
    <row r="28" spans="1:18" ht="15.5" x14ac:dyDescent="0.35">
      <c r="C28" s="1"/>
      <c r="D28" s="1"/>
      <c r="E28" s="305" t="s">
        <v>233</v>
      </c>
      <c r="F28" s="1" t="s">
        <v>232</v>
      </c>
      <c r="G28" s="1"/>
      <c r="H28" s="1"/>
      <c r="I28" s="1"/>
      <c r="J28" s="1"/>
      <c r="K28" s="1"/>
      <c r="L28" s="1"/>
      <c r="M28" s="1"/>
    </row>
  </sheetData>
  <mergeCells count="6">
    <mergeCell ref="C16:M16"/>
    <mergeCell ref="C22:M22"/>
    <mergeCell ref="D14:P14"/>
    <mergeCell ref="D18:P18"/>
    <mergeCell ref="D19:P19"/>
    <mergeCell ref="D20:P20"/>
  </mergeCells>
  <hyperlinks>
    <hyperlink ref="E27" r:id="rId1"/>
    <hyperlink ref="E28" r:id="rId2"/>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pageSetUpPr fitToPage="1"/>
  </sheetPr>
  <dimension ref="A1:XFB135"/>
  <sheetViews>
    <sheetView showGridLines="0" tabSelected="1" zoomScale="80" zoomScaleNormal="80" workbookViewId="0">
      <pane xSplit="1" ySplit="1" topLeftCell="B2" activePane="bottomRight" state="frozen"/>
      <selection activeCell="B21" sqref="B21"/>
      <selection pane="topRight" activeCell="B21" sqref="B21"/>
      <selection pane="bottomLeft" activeCell="B21" sqref="B21"/>
      <selection pane="bottomRight" activeCell="C6" sqref="C6"/>
    </sheetView>
  </sheetViews>
  <sheetFormatPr baseColWidth="10" defaultColWidth="0" defaultRowHeight="15.5" zeroHeight="1" outlineLevelRow="2" x14ac:dyDescent="0.35"/>
  <cols>
    <col min="1" max="1" width="5" style="330" customWidth="1"/>
    <col min="2" max="2" width="11.81640625" style="1" customWidth="1"/>
    <col min="3" max="3" width="16" style="1" customWidth="1"/>
    <col min="4" max="4" width="18.54296875" style="1" customWidth="1"/>
    <col min="5" max="6" width="14.54296875" style="1" customWidth="1"/>
    <col min="7" max="7" width="12.1796875" style="1" customWidth="1"/>
    <col min="8" max="8" width="16.26953125" style="1" customWidth="1"/>
    <col min="9" max="10" width="14.54296875" style="1" customWidth="1"/>
    <col min="11" max="12" width="13.453125" style="1" customWidth="1"/>
    <col min="13" max="13" width="14.54296875" style="1" customWidth="1"/>
    <col min="14" max="15" width="11.453125" style="69" customWidth="1"/>
    <col min="16" max="16" width="5.54296875" style="69" customWidth="1"/>
    <col min="17" max="17" width="11.453125" style="69" hidden="1"/>
    <col min="18" max="16382" width="0" style="69" hidden="1"/>
    <col min="16383" max="16384" width="11.453125" style="69" hidden="1"/>
  </cols>
  <sheetData>
    <row r="1" spans="1:17" s="333" customFormat="1" ht="14.5" x14ac:dyDescent="0.35">
      <c r="A1" s="333">
        <v>1</v>
      </c>
      <c r="B1" s="333">
        <f t="shared" ref="B1:P1" si="0">+A1+1</f>
        <v>2</v>
      </c>
      <c r="C1" s="333">
        <f t="shared" si="0"/>
        <v>3</v>
      </c>
      <c r="D1" s="333">
        <f t="shared" si="0"/>
        <v>4</v>
      </c>
      <c r="E1" s="333">
        <f t="shared" si="0"/>
        <v>5</v>
      </c>
      <c r="F1" s="333">
        <f t="shared" si="0"/>
        <v>6</v>
      </c>
      <c r="G1" s="333">
        <f t="shared" si="0"/>
        <v>7</v>
      </c>
      <c r="H1" s="333">
        <f t="shared" si="0"/>
        <v>8</v>
      </c>
      <c r="I1" s="333">
        <f t="shared" si="0"/>
        <v>9</v>
      </c>
      <c r="J1" s="333">
        <f t="shared" si="0"/>
        <v>10</v>
      </c>
      <c r="K1" s="333">
        <f t="shared" si="0"/>
        <v>11</v>
      </c>
      <c r="L1" s="333">
        <f t="shared" si="0"/>
        <v>12</v>
      </c>
      <c r="M1" s="333">
        <f t="shared" si="0"/>
        <v>13</v>
      </c>
      <c r="N1" s="333">
        <f t="shared" si="0"/>
        <v>14</v>
      </c>
      <c r="O1" s="333">
        <f t="shared" si="0"/>
        <v>15</v>
      </c>
      <c r="P1" s="333">
        <f t="shared" si="0"/>
        <v>16</v>
      </c>
    </row>
    <row r="2" spans="1:17" x14ac:dyDescent="0.35">
      <c r="A2" s="333">
        <f>+A1+1</f>
        <v>2</v>
      </c>
      <c r="P2" s="334"/>
      <c r="Q2" s="334"/>
    </row>
    <row r="3" spans="1:17" x14ac:dyDescent="0.35">
      <c r="A3" s="333">
        <f t="shared" ref="A3:A68" si="1">+A2+1</f>
        <v>3</v>
      </c>
      <c r="B3" s="335" t="s">
        <v>0</v>
      </c>
      <c r="C3" s="336"/>
      <c r="D3" s="58"/>
      <c r="E3" s="302"/>
      <c r="F3" s="337" t="s">
        <v>1</v>
      </c>
      <c r="G3" s="58"/>
      <c r="H3" s="303"/>
      <c r="I3" s="337" t="s">
        <v>2</v>
      </c>
      <c r="J3" s="58"/>
      <c r="K3" s="58"/>
      <c r="L3" s="336"/>
      <c r="M3" s="336"/>
      <c r="N3" s="338"/>
      <c r="O3" s="339"/>
      <c r="P3" s="334"/>
      <c r="Q3" s="334"/>
    </row>
    <row r="4" spans="1:17" x14ac:dyDescent="0.35">
      <c r="A4" s="333">
        <f t="shared" si="1"/>
        <v>4</v>
      </c>
      <c r="B4" s="340"/>
      <c r="C4" s="340"/>
      <c r="E4" s="336"/>
      <c r="F4" s="336"/>
      <c r="G4" s="336"/>
      <c r="H4" s="336"/>
      <c r="I4" s="336"/>
      <c r="J4" s="336"/>
      <c r="K4" s="336"/>
      <c r="L4" s="336"/>
      <c r="M4" s="336"/>
      <c r="N4" s="338"/>
      <c r="O4" s="338"/>
      <c r="P4" s="334"/>
      <c r="Q4" s="334"/>
    </row>
    <row r="5" spans="1:17" ht="29" x14ac:dyDescent="0.35">
      <c r="A5" s="333">
        <f t="shared" si="1"/>
        <v>5</v>
      </c>
      <c r="B5" s="341" t="s">
        <v>3</v>
      </c>
      <c r="C5" s="342" t="s">
        <v>4</v>
      </c>
      <c r="D5" s="341" t="s">
        <v>5</v>
      </c>
      <c r="E5" s="342" t="s">
        <v>6</v>
      </c>
      <c r="F5" s="342" t="s">
        <v>7</v>
      </c>
      <c r="G5" s="343" t="s">
        <v>8</v>
      </c>
      <c r="H5" s="344" t="s">
        <v>9</v>
      </c>
      <c r="I5" s="404" t="s">
        <v>10</v>
      </c>
      <c r="J5" s="405"/>
      <c r="N5" s="345"/>
      <c r="P5" s="334"/>
      <c r="Q5" s="334"/>
    </row>
    <row r="6" spans="1:17" x14ac:dyDescent="0.35">
      <c r="A6" s="333">
        <f t="shared" si="1"/>
        <v>6</v>
      </c>
      <c r="B6" s="310" t="s">
        <v>649</v>
      </c>
      <c r="C6" s="346"/>
      <c r="D6" s="346"/>
      <c r="E6" s="347"/>
      <c r="F6" s="346"/>
      <c r="G6" s="347"/>
      <c r="H6" s="347"/>
      <c r="I6" s="347"/>
      <c r="J6" s="347"/>
      <c r="N6" s="338"/>
      <c r="O6" s="338"/>
      <c r="P6" s="334"/>
      <c r="Q6" s="334"/>
    </row>
    <row r="7" spans="1:17" x14ac:dyDescent="0.35">
      <c r="A7" s="333">
        <f t="shared" si="1"/>
        <v>7</v>
      </c>
      <c r="P7" s="334"/>
      <c r="Q7" s="334"/>
    </row>
    <row r="8" spans="1:17" x14ac:dyDescent="0.35">
      <c r="A8" s="333">
        <f t="shared" si="1"/>
        <v>8</v>
      </c>
      <c r="B8" s="348" t="s">
        <v>13</v>
      </c>
      <c r="C8" s="348"/>
      <c r="D8" s="348"/>
      <c r="E8" s="348"/>
      <c r="F8" s="348"/>
      <c r="G8" s="348"/>
      <c r="H8" s="349"/>
      <c r="I8" s="349"/>
      <c r="J8" s="349"/>
      <c r="K8" s="349"/>
      <c r="L8" s="349"/>
      <c r="M8" s="349"/>
      <c r="N8" s="350"/>
      <c r="O8" s="350"/>
      <c r="P8" s="334"/>
      <c r="Q8" s="334"/>
    </row>
    <row r="9" spans="1:17" x14ac:dyDescent="0.35">
      <c r="A9" s="333">
        <f t="shared" si="1"/>
        <v>9</v>
      </c>
      <c r="P9" s="334"/>
      <c r="Q9" s="334"/>
    </row>
    <row r="10" spans="1:17" x14ac:dyDescent="0.35">
      <c r="A10" s="333">
        <f t="shared" si="1"/>
        <v>10</v>
      </c>
      <c r="C10" s="2"/>
      <c r="D10" s="2" t="s">
        <v>14</v>
      </c>
      <c r="G10" s="2"/>
      <c r="I10" s="56" t="s">
        <v>17</v>
      </c>
      <c r="J10" s="69"/>
      <c r="K10" s="69"/>
      <c r="L10" s="2" t="s">
        <v>18</v>
      </c>
      <c r="M10" s="4"/>
      <c r="P10" s="334"/>
      <c r="Q10" s="334"/>
    </row>
    <row r="11" spans="1:17" ht="18" customHeight="1" x14ac:dyDescent="0.35">
      <c r="A11" s="333">
        <f t="shared" si="1"/>
        <v>11</v>
      </c>
      <c r="D11" s="3" t="s">
        <v>15</v>
      </c>
      <c r="E11" s="28"/>
      <c r="F11" s="1" t="s">
        <v>16</v>
      </c>
      <c r="I11" s="3" t="s">
        <v>19</v>
      </c>
      <c r="J11" s="28"/>
      <c r="K11" s="1" t="s">
        <v>16</v>
      </c>
      <c r="L11" s="5" t="str">
        <f>IF(J11*J12/12=0,"",J11*J12/12)</f>
        <v/>
      </c>
      <c r="M11" s="406" t="s">
        <v>656</v>
      </c>
      <c r="N11" s="406"/>
      <c r="O11" s="406"/>
      <c r="P11" s="334"/>
      <c r="Q11" s="334"/>
    </row>
    <row r="12" spans="1:17" x14ac:dyDescent="0.35">
      <c r="A12" s="333">
        <f t="shared" si="1"/>
        <v>12</v>
      </c>
      <c r="D12" s="3" t="s">
        <v>514</v>
      </c>
      <c r="E12" s="28"/>
      <c r="F12" s="1" t="s">
        <v>16</v>
      </c>
      <c r="I12" s="3" t="str">
        <f>+IF(J11&gt;1,"Tiempo ocupado por verdeo de invierno","")</f>
        <v/>
      </c>
      <c r="J12" s="351"/>
      <c r="K12" s="6" t="str">
        <f>+IF($J$11&gt;1,"meses","")</f>
        <v/>
      </c>
      <c r="L12" s="69"/>
      <c r="M12" s="406"/>
      <c r="N12" s="406"/>
      <c r="O12" s="406"/>
      <c r="P12" s="334"/>
      <c r="Q12" s="334"/>
    </row>
    <row r="13" spans="1:17" ht="18" customHeight="1" x14ac:dyDescent="0.35">
      <c r="A13" s="333">
        <f t="shared" si="1"/>
        <v>13</v>
      </c>
      <c r="I13" s="3" t="s">
        <v>22</v>
      </c>
      <c r="J13" s="28"/>
      <c r="K13" s="1" t="s">
        <v>16</v>
      </c>
      <c r="L13" s="5" t="str">
        <f>IF(J13*J14/12=0,"",J13*J14/12)</f>
        <v/>
      </c>
      <c r="M13" s="406" t="s">
        <v>657</v>
      </c>
      <c r="N13" s="406"/>
      <c r="O13" s="406"/>
      <c r="P13" s="334"/>
      <c r="Q13" s="334"/>
    </row>
    <row r="14" spans="1:17" x14ac:dyDescent="0.35">
      <c r="A14" s="333">
        <f t="shared" si="1"/>
        <v>14</v>
      </c>
      <c r="C14" s="2"/>
      <c r="D14" s="2" t="s">
        <v>21</v>
      </c>
      <c r="I14" s="3" t="str">
        <f>+IF(J13&gt;1,"Tiempo ocupado por verdeo de verano y diferido","")</f>
        <v/>
      </c>
      <c r="J14" s="351"/>
      <c r="K14" s="6" t="str">
        <f>+IF($J$13&gt;1,"meses","")</f>
        <v/>
      </c>
      <c r="L14" s="69"/>
      <c r="M14" s="406"/>
      <c r="N14" s="406"/>
      <c r="O14" s="406"/>
      <c r="P14" s="334"/>
      <c r="Q14" s="334"/>
    </row>
    <row r="15" spans="1:17" ht="18" customHeight="1" x14ac:dyDescent="0.35">
      <c r="A15" s="333">
        <f t="shared" si="1"/>
        <v>15</v>
      </c>
      <c r="D15" s="3" t="s">
        <v>24</v>
      </c>
      <c r="E15" s="28"/>
      <c r="F15" s="1" t="s">
        <v>16</v>
      </c>
      <c r="I15" s="3" t="s">
        <v>26</v>
      </c>
      <c r="J15" s="28"/>
      <c r="K15" s="1" t="s">
        <v>16</v>
      </c>
      <c r="L15" s="5" t="str">
        <f>IF(J15*J16/12=0,"",J15*J16/12)</f>
        <v/>
      </c>
      <c r="M15" s="406" t="s">
        <v>658</v>
      </c>
      <c r="N15" s="406"/>
      <c r="O15" s="406"/>
      <c r="P15" s="334"/>
      <c r="Q15" s="334"/>
    </row>
    <row r="16" spans="1:17" x14ac:dyDescent="0.35">
      <c r="A16" s="333">
        <f t="shared" si="1"/>
        <v>16</v>
      </c>
      <c r="B16" s="8"/>
      <c r="D16" s="7" t="s">
        <v>25</v>
      </c>
      <c r="E16" s="28"/>
      <c r="F16" s="1" t="s">
        <v>16</v>
      </c>
      <c r="I16" s="3" t="str">
        <f>+IF(J15&gt;1,"Tiempo de ocupación de rastrojos y otros  ","")</f>
        <v/>
      </c>
      <c r="J16" s="351"/>
      <c r="K16" s="6" t="str">
        <f>+IF($J$15&gt;1,"meses","")</f>
        <v/>
      </c>
      <c r="L16" s="69"/>
      <c r="M16" s="406"/>
      <c r="N16" s="406"/>
      <c r="O16" s="406"/>
      <c r="P16" s="334"/>
      <c r="Q16" s="334"/>
    </row>
    <row r="17" spans="1:17" x14ac:dyDescent="0.35">
      <c r="A17" s="333">
        <f t="shared" si="1"/>
        <v>17</v>
      </c>
      <c r="D17" s="3" t="s">
        <v>28</v>
      </c>
      <c r="E17" s="28"/>
      <c r="F17" s="1" t="s">
        <v>16</v>
      </c>
      <c r="M17" s="332"/>
      <c r="N17" s="352"/>
      <c r="O17" s="352"/>
      <c r="P17" s="334"/>
      <c r="Q17" s="334"/>
    </row>
    <row r="18" spans="1:17" x14ac:dyDescent="0.35">
      <c r="A18" s="333">
        <f t="shared" si="1"/>
        <v>18</v>
      </c>
      <c r="D18" s="3" t="s">
        <v>29</v>
      </c>
      <c r="E18" s="28"/>
      <c r="F18" s="1" t="s">
        <v>16</v>
      </c>
      <c r="G18" s="10"/>
      <c r="H18" s="11"/>
      <c r="I18" s="57" t="s">
        <v>30</v>
      </c>
      <c r="J18" s="10"/>
      <c r="K18" s="10"/>
      <c r="P18" s="334"/>
      <c r="Q18" s="334"/>
    </row>
    <row r="19" spans="1:17" x14ac:dyDescent="0.35">
      <c r="A19" s="333">
        <f t="shared" si="1"/>
        <v>19</v>
      </c>
      <c r="C19" s="1" t="s">
        <v>9</v>
      </c>
      <c r="D19" s="329"/>
      <c r="E19" s="329"/>
      <c r="F19" s="1" t="s">
        <v>16</v>
      </c>
      <c r="G19" s="10"/>
      <c r="H19" s="10"/>
      <c r="I19" s="7" t="s">
        <v>31</v>
      </c>
      <c r="J19" s="12">
        <f>+SUM(E15:E20,L11,L13,L15)</f>
        <v>0</v>
      </c>
      <c r="K19" s="10" t="s">
        <v>16</v>
      </c>
      <c r="P19" s="334"/>
      <c r="Q19" s="334"/>
    </row>
    <row r="20" spans="1:17" x14ac:dyDescent="0.35">
      <c r="A20" s="333">
        <f t="shared" si="1"/>
        <v>20</v>
      </c>
      <c r="C20" s="1" t="s">
        <v>9</v>
      </c>
      <c r="D20" s="329"/>
      <c r="E20" s="329"/>
      <c r="F20" s="1" t="s">
        <v>16</v>
      </c>
      <c r="G20" s="10"/>
      <c r="H20" s="10"/>
      <c r="I20" s="3" t="s">
        <v>575</v>
      </c>
      <c r="J20" s="353"/>
      <c r="K20" s="3"/>
      <c r="L20" s="8"/>
      <c r="P20" s="334"/>
      <c r="Q20" s="334"/>
    </row>
    <row r="21" spans="1:17" x14ac:dyDescent="0.35">
      <c r="A21" s="333">
        <f t="shared" si="1"/>
        <v>21</v>
      </c>
      <c r="H21" s="311"/>
      <c r="I21" s="7" t="s">
        <v>517</v>
      </c>
      <c r="J21" s="28"/>
      <c r="K21" s="331" t="s">
        <v>515</v>
      </c>
      <c r="L21" s="8"/>
      <c r="P21" s="334"/>
      <c r="Q21" s="334"/>
    </row>
    <row r="22" spans="1:17" x14ac:dyDescent="0.35">
      <c r="A22" s="333">
        <f t="shared" si="1"/>
        <v>22</v>
      </c>
      <c r="G22" s="10"/>
      <c r="H22" s="10"/>
      <c r="I22" s="3"/>
      <c r="J22" s="3"/>
      <c r="K22" s="3"/>
      <c r="L22" s="8"/>
      <c r="P22" s="334"/>
      <c r="Q22" s="334"/>
    </row>
    <row r="23" spans="1:17" x14ac:dyDescent="0.35">
      <c r="A23" s="333">
        <f t="shared" si="1"/>
        <v>23</v>
      </c>
      <c r="G23" s="10"/>
      <c r="H23" s="10"/>
      <c r="I23" s="3"/>
      <c r="J23" s="3"/>
      <c r="K23" s="3"/>
      <c r="L23" s="8"/>
      <c r="P23" s="334"/>
      <c r="Q23" s="334"/>
    </row>
    <row r="24" spans="1:17" x14ac:dyDescent="0.35">
      <c r="A24" s="333">
        <f t="shared" si="1"/>
        <v>24</v>
      </c>
      <c r="B24" s="348" t="s">
        <v>32</v>
      </c>
      <c r="C24" s="348"/>
      <c r="D24" s="348"/>
      <c r="E24" s="348"/>
      <c r="F24" s="348"/>
      <c r="G24" s="348"/>
      <c r="H24" s="349"/>
      <c r="I24" s="349"/>
      <c r="J24" s="349"/>
      <c r="K24" s="349"/>
      <c r="L24" s="349"/>
      <c r="M24" s="349"/>
      <c r="N24" s="350"/>
      <c r="O24" s="350"/>
      <c r="P24" s="334"/>
      <c r="Q24" s="334"/>
    </row>
    <row r="25" spans="1:17" x14ac:dyDescent="0.35">
      <c r="A25" s="333">
        <f t="shared" si="1"/>
        <v>25</v>
      </c>
      <c r="O25" s="13"/>
      <c r="P25" s="334"/>
      <c r="Q25" s="334"/>
    </row>
    <row r="26" spans="1:17" x14ac:dyDescent="0.35">
      <c r="A26" s="333">
        <f t="shared" si="1"/>
        <v>26</v>
      </c>
      <c r="D26" s="3" t="s">
        <v>33</v>
      </c>
      <c r="E26" s="28"/>
      <c r="F26" s="1" t="s">
        <v>34</v>
      </c>
      <c r="J26" s="354" t="s">
        <v>35</v>
      </c>
      <c r="K26" s="69"/>
      <c r="P26" s="334"/>
      <c r="Q26" s="334"/>
    </row>
    <row r="27" spans="1:17" x14ac:dyDescent="0.35">
      <c r="A27" s="333">
        <f t="shared" si="1"/>
        <v>27</v>
      </c>
      <c r="D27" s="3" t="s">
        <v>36</v>
      </c>
      <c r="E27" s="28"/>
      <c r="F27" s="1" t="s">
        <v>34</v>
      </c>
      <c r="J27" s="67" t="str">
        <f>+IFERROR(E28/J19,"")</f>
        <v/>
      </c>
      <c r="K27" s="1" t="s">
        <v>187</v>
      </c>
      <c r="P27" s="334"/>
      <c r="Q27" s="334"/>
    </row>
    <row r="28" spans="1:17" x14ac:dyDescent="0.35">
      <c r="A28" s="333">
        <f t="shared" si="1"/>
        <v>28</v>
      </c>
      <c r="D28" s="3" t="s">
        <v>40</v>
      </c>
      <c r="E28" s="28"/>
      <c r="F28" s="1" t="s">
        <v>41</v>
      </c>
      <c r="J28" s="68" t="str">
        <f>+IFERROR(E28/(E31),"")</f>
        <v/>
      </c>
      <c r="K28" s="1" t="s">
        <v>516</v>
      </c>
      <c r="P28" s="334"/>
      <c r="Q28" s="334"/>
    </row>
    <row r="29" spans="1:17" x14ac:dyDescent="0.35">
      <c r="A29" s="333">
        <f t="shared" si="1"/>
        <v>29</v>
      </c>
      <c r="J29" s="68" t="str">
        <f>+IFERROR(E32/J19,"")</f>
        <v/>
      </c>
      <c r="K29" s="15" t="s">
        <v>186</v>
      </c>
      <c r="P29" s="334"/>
      <c r="Q29" s="334"/>
    </row>
    <row r="30" spans="1:17" x14ac:dyDescent="0.35">
      <c r="A30" s="333">
        <f t="shared" si="1"/>
        <v>30</v>
      </c>
      <c r="D30" s="3" t="s">
        <v>37</v>
      </c>
      <c r="E30" s="353"/>
      <c r="F30" s="1" t="s">
        <v>38</v>
      </c>
      <c r="J30" s="355" t="str">
        <f>+IFERROR(E28/E32,"")</f>
        <v/>
      </c>
      <c r="K30" s="6" t="s">
        <v>39</v>
      </c>
      <c r="P30" s="334"/>
      <c r="Q30" s="334"/>
    </row>
    <row r="31" spans="1:17" x14ac:dyDescent="0.35">
      <c r="A31" s="333">
        <f t="shared" si="1"/>
        <v>31</v>
      </c>
      <c r="D31" s="7" t="s">
        <v>43</v>
      </c>
      <c r="E31" s="28"/>
      <c r="F31" s="16" t="s">
        <v>518</v>
      </c>
      <c r="J31" s="356" t="str">
        <f>+IFERROR(E28/E33,"")</f>
        <v/>
      </c>
      <c r="K31" s="15" t="s">
        <v>42</v>
      </c>
      <c r="P31" s="334"/>
      <c r="Q31" s="334"/>
    </row>
    <row r="32" spans="1:17" x14ac:dyDescent="0.35">
      <c r="A32" s="333">
        <f t="shared" si="1"/>
        <v>32</v>
      </c>
      <c r="D32" s="3" t="s">
        <v>43</v>
      </c>
      <c r="E32" s="28"/>
      <c r="F32" s="1" t="s">
        <v>41</v>
      </c>
      <c r="M32" s="69"/>
      <c r="P32" s="334"/>
      <c r="Q32" s="334"/>
    </row>
    <row r="33" spans="1:17" ht="17.25" customHeight="1" x14ac:dyDescent="0.35">
      <c r="A33" s="333">
        <f t="shared" si="1"/>
        <v>33</v>
      </c>
      <c r="D33" s="14" t="s">
        <v>44</v>
      </c>
      <c r="E33" s="390"/>
      <c r="M33" s="69"/>
      <c r="P33" s="334"/>
      <c r="Q33" s="334"/>
    </row>
    <row r="34" spans="1:17" x14ac:dyDescent="0.35">
      <c r="A34" s="333">
        <f t="shared" si="1"/>
        <v>34</v>
      </c>
      <c r="P34" s="334"/>
      <c r="Q34" s="334"/>
    </row>
    <row r="35" spans="1:17" x14ac:dyDescent="0.35">
      <c r="A35" s="333">
        <f t="shared" si="1"/>
        <v>35</v>
      </c>
      <c r="B35" s="348" t="s">
        <v>45</v>
      </c>
      <c r="C35" s="348"/>
      <c r="D35" s="348"/>
      <c r="E35" s="348"/>
      <c r="F35" s="348"/>
      <c r="G35" s="348"/>
      <c r="H35" s="349"/>
      <c r="I35" s="349"/>
      <c r="J35" s="349"/>
      <c r="K35" s="349"/>
      <c r="L35" s="349"/>
      <c r="M35" s="349"/>
      <c r="N35" s="350"/>
      <c r="O35" s="350"/>
      <c r="P35" s="334"/>
      <c r="Q35" s="334"/>
    </row>
    <row r="36" spans="1:17" outlineLevel="1" x14ac:dyDescent="0.35">
      <c r="A36" s="333">
        <f t="shared" si="1"/>
        <v>36</v>
      </c>
      <c r="B36" s="8"/>
      <c r="C36" s="8"/>
      <c r="D36" s="17"/>
      <c r="E36" s="8"/>
      <c r="P36" s="334"/>
      <c r="Q36" s="334"/>
    </row>
    <row r="37" spans="1:17" outlineLevel="1" x14ac:dyDescent="0.35">
      <c r="A37" s="333">
        <f t="shared" si="1"/>
        <v>37</v>
      </c>
      <c r="G37" s="358">
        <v>2015</v>
      </c>
      <c r="H37" s="358">
        <f>+G37+1</f>
        <v>2016</v>
      </c>
      <c r="I37" s="358">
        <f>+H37+1</f>
        <v>2017</v>
      </c>
      <c r="P37" s="334"/>
      <c r="Q37" s="334"/>
    </row>
    <row r="38" spans="1:17" outlineLevel="1" x14ac:dyDescent="0.35">
      <c r="A38" s="333">
        <f t="shared" si="1"/>
        <v>38</v>
      </c>
      <c r="G38" s="359" t="s">
        <v>46</v>
      </c>
      <c r="H38" s="360" t="s">
        <v>47</v>
      </c>
      <c r="I38" s="361" t="s">
        <v>48</v>
      </c>
      <c r="P38" s="334"/>
      <c r="Q38" s="334"/>
    </row>
    <row r="39" spans="1:17" outlineLevel="1" x14ac:dyDescent="0.35">
      <c r="A39" s="333">
        <f t="shared" si="1"/>
        <v>39</v>
      </c>
      <c r="G39" s="362"/>
      <c r="H39" s="363" t="s">
        <v>46</v>
      </c>
      <c r="I39" s="364" t="s">
        <v>47</v>
      </c>
      <c r="M39" s="18"/>
      <c r="N39" s="79"/>
      <c r="P39" s="334"/>
      <c r="Q39" s="334"/>
    </row>
    <row r="40" spans="1:17" outlineLevel="1" x14ac:dyDescent="0.35">
      <c r="A40" s="333">
        <f t="shared" si="1"/>
        <v>40</v>
      </c>
      <c r="C40" s="19" t="s">
        <v>49</v>
      </c>
      <c r="D40" s="16"/>
      <c r="P40" s="334"/>
      <c r="Q40" s="334"/>
    </row>
    <row r="41" spans="1:17" outlineLevel="1" x14ac:dyDescent="0.35">
      <c r="A41" s="333">
        <f t="shared" si="1"/>
        <v>41</v>
      </c>
      <c r="C41" s="16"/>
      <c r="D41" s="7" t="s">
        <v>632</v>
      </c>
      <c r="E41" s="391"/>
      <c r="F41" s="1" t="s">
        <v>38</v>
      </c>
      <c r="N41" s="1"/>
      <c r="O41" s="1"/>
      <c r="P41" s="334"/>
      <c r="Q41" s="334"/>
    </row>
    <row r="42" spans="1:17" outlineLevel="1" x14ac:dyDescent="0.35">
      <c r="A42" s="333">
        <f t="shared" si="1"/>
        <v>42</v>
      </c>
      <c r="C42" s="16"/>
      <c r="D42" s="7" t="s">
        <v>633</v>
      </c>
      <c r="E42" s="28"/>
      <c r="F42" s="1" t="s">
        <v>34</v>
      </c>
      <c r="N42" s="1"/>
      <c r="O42" s="1"/>
      <c r="P42" s="334"/>
      <c r="Q42" s="334"/>
    </row>
    <row r="43" spans="1:17" outlineLevel="1" x14ac:dyDescent="0.35">
      <c r="A43" s="333">
        <f t="shared" si="1"/>
        <v>43</v>
      </c>
      <c r="C43" s="20"/>
      <c r="D43" s="20"/>
      <c r="E43" s="21"/>
      <c r="F43" s="21"/>
      <c r="G43" s="21"/>
      <c r="H43" s="21"/>
      <c r="I43" s="21"/>
      <c r="J43" s="21"/>
      <c r="K43" s="21"/>
      <c r="L43" s="21"/>
      <c r="M43" s="21"/>
      <c r="N43" s="21"/>
      <c r="O43" s="1"/>
      <c r="P43" s="334"/>
      <c r="Q43" s="334"/>
    </row>
    <row r="44" spans="1:17" outlineLevel="1" x14ac:dyDescent="0.35">
      <c r="A44" s="333">
        <f t="shared" si="1"/>
        <v>44</v>
      </c>
      <c r="C44" s="19" t="s">
        <v>50</v>
      </c>
      <c r="K44" s="22"/>
      <c r="N44" s="1"/>
      <c r="O44" s="1"/>
      <c r="P44" s="334"/>
      <c r="Q44" s="334"/>
    </row>
    <row r="45" spans="1:17" outlineLevel="1" x14ac:dyDescent="0.35">
      <c r="A45" s="333">
        <f t="shared" si="1"/>
        <v>45</v>
      </c>
      <c r="C45" s="19"/>
      <c r="D45" s="3" t="s">
        <v>634</v>
      </c>
      <c r="E45" s="391"/>
      <c r="F45" s="1" t="s">
        <v>38</v>
      </c>
      <c r="N45" s="1"/>
      <c r="O45" s="1"/>
      <c r="P45" s="334"/>
      <c r="Q45" s="334"/>
    </row>
    <row r="46" spans="1:17" outlineLevel="1" x14ac:dyDescent="0.35">
      <c r="A46" s="333">
        <f t="shared" si="1"/>
        <v>46</v>
      </c>
      <c r="D46" s="3" t="s">
        <v>635</v>
      </c>
      <c r="E46" s="28"/>
      <c r="F46" s="1" t="s">
        <v>34</v>
      </c>
      <c r="N46" s="1"/>
      <c r="O46" s="1"/>
      <c r="P46" s="334"/>
      <c r="Q46" s="334"/>
    </row>
    <row r="47" spans="1:17" outlineLevel="1" x14ac:dyDescent="0.35">
      <c r="A47" s="333">
        <f t="shared" si="1"/>
        <v>47</v>
      </c>
      <c r="C47" s="21"/>
      <c r="D47" s="23"/>
      <c r="E47" s="23"/>
      <c r="F47" s="23"/>
      <c r="G47" s="23"/>
      <c r="H47" s="23"/>
      <c r="I47" s="23"/>
      <c r="J47" s="21"/>
      <c r="K47" s="21"/>
      <c r="L47" s="21"/>
      <c r="M47" s="21"/>
      <c r="N47" s="21"/>
      <c r="O47" s="1"/>
      <c r="P47" s="334"/>
      <c r="Q47" s="334"/>
    </row>
    <row r="48" spans="1:17" outlineLevel="1" x14ac:dyDescent="0.35">
      <c r="A48" s="333">
        <f t="shared" si="1"/>
        <v>48</v>
      </c>
      <c r="C48" s="2" t="s">
        <v>636</v>
      </c>
      <c r="D48" s="3"/>
      <c r="E48" s="3"/>
      <c r="F48" s="3"/>
      <c r="G48" s="3"/>
      <c r="H48" s="3"/>
      <c r="I48" s="3"/>
      <c r="J48" s="3"/>
      <c r="K48" s="3"/>
      <c r="N48" s="1"/>
      <c r="O48" s="1"/>
      <c r="P48" s="334"/>
      <c r="Q48" s="334"/>
    </row>
    <row r="49" spans="1:17" outlineLevel="1" x14ac:dyDescent="0.35">
      <c r="A49" s="333">
        <f t="shared" si="1"/>
        <v>49</v>
      </c>
      <c r="C49" s="2"/>
      <c r="D49" s="7" t="s">
        <v>637</v>
      </c>
      <c r="E49" s="392" t="str">
        <f>IF(E41*E42=0,"",IF(E45*E46=0,"",(E41*(E42/(E42+E46)))+(E45*(E46/(E46+E42)))))</f>
        <v/>
      </c>
      <c r="F49" s="6"/>
      <c r="G49" s="3"/>
      <c r="H49" s="3"/>
      <c r="I49" s="3"/>
      <c r="J49" s="3"/>
      <c r="K49" s="3"/>
      <c r="P49" s="334"/>
      <c r="Q49" s="334"/>
    </row>
    <row r="50" spans="1:17" outlineLevel="1" x14ac:dyDescent="0.35">
      <c r="A50" s="333">
        <f t="shared" si="1"/>
        <v>50</v>
      </c>
      <c r="C50" s="2"/>
      <c r="D50" s="7"/>
      <c r="E50" s="7"/>
      <c r="F50" s="3"/>
      <c r="G50" s="3"/>
      <c r="H50" s="3"/>
      <c r="I50" s="3"/>
      <c r="J50" s="21"/>
      <c r="K50" s="21"/>
      <c r="L50" s="21"/>
      <c r="M50" s="21"/>
      <c r="N50" s="21"/>
      <c r="O50" s="3"/>
      <c r="P50" s="334"/>
      <c r="Q50" s="334"/>
    </row>
    <row r="51" spans="1:17" outlineLevel="1" x14ac:dyDescent="0.35">
      <c r="A51" s="333">
        <f t="shared" si="1"/>
        <v>51</v>
      </c>
      <c r="C51" s="24" t="s">
        <v>512</v>
      </c>
      <c r="D51" s="25"/>
      <c r="E51" s="25"/>
      <c r="F51" s="26"/>
      <c r="G51" s="26"/>
      <c r="H51" s="26"/>
      <c r="I51" s="26"/>
      <c r="J51" s="26"/>
      <c r="K51" s="26"/>
      <c r="P51" s="334"/>
      <c r="Q51" s="334"/>
    </row>
    <row r="52" spans="1:17" outlineLevel="1" x14ac:dyDescent="0.35">
      <c r="A52" s="333">
        <f t="shared" si="1"/>
        <v>52</v>
      </c>
      <c r="C52" s="2"/>
      <c r="D52" s="7" t="s">
        <v>639</v>
      </c>
      <c r="E52" s="391"/>
      <c r="F52" s="1" t="s">
        <v>38</v>
      </c>
      <c r="G52" s="3"/>
      <c r="I52" s="3" t="s">
        <v>638</v>
      </c>
      <c r="J52" s="353"/>
      <c r="K52" s="1" t="s">
        <v>38</v>
      </c>
      <c r="P52" s="334"/>
      <c r="Q52" s="334"/>
    </row>
    <row r="53" spans="1:17" outlineLevel="1" x14ac:dyDescent="0.35">
      <c r="A53" s="333">
        <f t="shared" si="1"/>
        <v>53</v>
      </c>
      <c r="C53" s="16"/>
      <c r="D53" s="7" t="s">
        <v>640</v>
      </c>
      <c r="E53" s="391"/>
      <c r="F53" s="1" t="s">
        <v>38</v>
      </c>
      <c r="G53" s="8" t="str">
        <f>+IF(E53="","",IF(E52&gt;E53,"ERROR! No puede ser el destete mayor a la preñez",""))</f>
        <v/>
      </c>
      <c r="I53" s="14" t="s">
        <v>51</v>
      </c>
      <c r="J53" s="365"/>
      <c r="K53" s="1" t="s">
        <v>52</v>
      </c>
      <c r="P53" s="334"/>
      <c r="Q53" s="334"/>
    </row>
    <row r="54" spans="1:17" outlineLevel="1" x14ac:dyDescent="0.35">
      <c r="A54" s="333">
        <f t="shared" si="1"/>
        <v>54</v>
      </c>
      <c r="C54" s="16"/>
      <c r="D54" s="7" t="s">
        <v>643</v>
      </c>
      <c r="E54" s="367"/>
      <c r="H54" s="3"/>
      <c r="I54" s="3" t="s">
        <v>642</v>
      </c>
      <c r="J54" s="353"/>
      <c r="K54" s="1" t="s">
        <v>38</v>
      </c>
      <c r="P54" s="334"/>
      <c r="Q54" s="334"/>
    </row>
    <row r="55" spans="1:17" outlineLevel="1" x14ac:dyDescent="0.35">
      <c r="A55" s="333">
        <f t="shared" si="1"/>
        <v>55</v>
      </c>
      <c r="C55" s="16"/>
      <c r="D55" s="7" t="s">
        <v>641</v>
      </c>
      <c r="E55" s="367"/>
      <c r="F55" s="1" t="s">
        <v>34</v>
      </c>
      <c r="H55" s="3"/>
      <c r="P55" s="334"/>
      <c r="Q55" s="334"/>
    </row>
    <row r="56" spans="1:17" outlineLevel="1" x14ac:dyDescent="0.35">
      <c r="A56" s="333">
        <f t="shared" si="1"/>
        <v>56</v>
      </c>
      <c r="I56" s="2" t="s">
        <v>645</v>
      </c>
      <c r="J56" s="2" t="s">
        <v>646</v>
      </c>
      <c r="P56" s="334"/>
      <c r="Q56" s="334"/>
    </row>
    <row r="57" spans="1:17" outlineLevel="1" x14ac:dyDescent="0.35">
      <c r="A57" s="333">
        <f t="shared" si="1"/>
        <v>57</v>
      </c>
      <c r="D57" s="3" t="s">
        <v>58</v>
      </c>
      <c r="E57" s="28"/>
      <c r="F57" s="1" t="s">
        <v>59</v>
      </c>
      <c r="H57" s="3" t="s">
        <v>647</v>
      </c>
      <c r="I57" s="389"/>
      <c r="J57" s="366"/>
      <c r="P57" s="334"/>
      <c r="Q57" s="334"/>
    </row>
    <row r="58" spans="1:17" outlineLevel="1" x14ac:dyDescent="0.35">
      <c r="A58" s="333">
        <f t="shared" si="1"/>
        <v>58</v>
      </c>
      <c r="D58" s="3" t="s">
        <v>644</v>
      </c>
      <c r="E58" s="28"/>
      <c r="H58" s="3" t="s">
        <v>648</v>
      </c>
      <c r="I58" s="389"/>
      <c r="J58" s="366"/>
      <c r="P58" s="334"/>
      <c r="Q58" s="334"/>
    </row>
    <row r="59" spans="1:17" outlineLevel="1" x14ac:dyDescent="0.35">
      <c r="A59" s="333">
        <f t="shared" si="1"/>
        <v>59</v>
      </c>
      <c r="F59" s="27"/>
      <c r="G59" s="27"/>
      <c r="P59" s="334"/>
      <c r="Q59" s="334"/>
    </row>
    <row r="60" spans="1:17" outlineLevel="1" x14ac:dyDescent="0.35">
      <c r="A60" s="333">
        <f t="shared" si="1"/>
        <v>60</v>
      </c>
      <c r="C60" s="59" t="s">
        <v>192</v>
      </c>
      <c r="D60" s="27"/>
      <c r="E60" s="18" t="s">
        <v>189</v>
      </c>
      <c r="F60" s="18" t="s">
        <v>190</v>
      </c>
      <c r="G60" s="18" t="s">
        <v>191</v>
      </c>
      <c r="H60" s="18" t="s">
        <v>113</v>
      </c>
      <c r="I60" s="18" t="s">
        <v>193</v>
      </c>
      <c r="P60" s="334"/>
      <c r="Q60" s="334"/>
    </row>
    <row r="61" spans="1:17" outlineLevel="1" x14ac:dyDescent="0.35">
      <c r="A61" s="333">
        <f t="shared" si="1"/>
        <v>61</v>
      </c>
      <c r="D61" s="3" t="s">
        <v>188</v>
      </c>
      <c r="E61" s="28"/>
      <c r="F61" s="28"/>
      <c r="G61" s="28"/>
      <c r="H61" s="28"/>
      <c r="I61" s="28"/>
      <c r="P61" s="334"/>
      <c r="Q61" s="334"/>
    </row>
    <row r="62" spans="1:17" x14ac:dyDescent="0.35">
      <c r="A62" s="333">
        <f t="shared" si="1"/>
        <v>62</v>
      </c>
      <c r="P62" s="334"/>
      <c r="Q62" s="334"/>
    </row>
    <row r="63" spans="1:17" x14ac:dyDescent="0.35">
      <c r="A63" s="333">
        <f t="shared" si="1"/>
        <v>63</v>
      </c>
      <c r="B63" s="348" t="s">
        <v>60</v>
      </c>
      <c r="C63" s="348"/>
      <c r="D63" s="348"/>
      <c r="E63" s="348"/>
      <c r="F63" s="348"/>
      <c r="G63" s="348"/>
      <c r="H63" s="349"/>
      <c r="I63" s="349"/>
      <c r="J63" s="349"/>
      <c r="K63" s="349"/>
      <c r="L63" s="349"/>
      <c r="M63" s="349"/>
      <c r="N63" s="350"/>
      <c r="O63" s="350"/>
      <c r="P63" s="334"/>
      <c r="Q63" s="334"/>
    </row>
    <row r="64" spans="1:17" outlineLevel="2" x14ac:dyDescent="0.35">
      <c r="A64" s="333">
        <f t="shared" si="1"/>
        <v>64</v>
      </c>
      <c r="B64" s="8"/>
      <c r="C64" s="354" t="s">
        <v>513</v>
      </c>
      <c r="D64" s="17"/>
      <c r="E64" s="8"/>
      <c r="L64" s="368"/>
      <c r="M64" s="368"/>
      <c r="N64" s="369"/>
      <c r="O64" s="369"/>
      <c r="P64" s="334"/>
      <c r="Q64" s="334"/>
    </row>
    <row r="65" spans="1:17" outlineLevel="2" x14ac:dyDescent="0.35">
      <c r="A65" s="333">
        <f t="shared" si="1"/>
        <v>65</v>
      </c>
      <c r="C65" s="370" t="s">
        <v>574</v>
      </c>
      <c r="N65" s="1"/>
      <c r="P65" s="334"/>
      <c r="Q65" s="334"/>
    </row>
    <row r="66" spans="1:17" outlineLevel="2" x14ac:dyDescent="0.35">
      <c r="A66" s="333">
        <f t="shared" si="1"/>
        <v>66</v>
      </c>
      <c r="N66" s="1"/>
      <c r="O66" s="1"/>
      <c r="P66" s="334"/>
      <c r="Q66" s="334"/>
    </row>
    <row r="67" spans="1:17" outlineLevel="2" x14ac:dyDescent="0.35">
      <c r="A67" s="333">
        <f t="shared" si="1"/>
        <v>67</v>
      </c>
      <c r="C67" s="60"/>
      <c r="D67" s="60" t="s">
        <v>61</v>
      </c>
      <c r="H67" s="29" t="s">
        <v>567</v>
      </c>
      <c r="I67" s="29"/>
      <c r="N67" s="1"/>
      <c r="O67" s="1"/>
      <c r="P67" s="334"/>
      <c r="Q67" s="334"/>
    </row>
    <row r="68" spans="1:17" outlineLevel="2" x14ac:dyDescent="0.35">
      <c r="A68" s="333">
        <f t="shared" si="1"/>
        <v>68</v>
      </c>
      <c r="D68" s="3" t="s">
        <v>40</v>
      </c>
      <c r="E68" s="28"/>
      <c r="F68" s="1" t="s">
        <v>41</v>
      </c>
      <c r="I68" s="3" t="s">
        <v>40</v>
      </c>
      <c r="J68" s="28"/>
      <c r="K68" s="1" t="s">
        <v>41</v>
      </c>
      <c r="O68" s="1"/>
      <c r="P68" s="334"/>
      <c r="Q68" s="334"/>
    </row>
    <row r="69" spans="1:17" outlineLevel="2" x14ac:dyDescent="0.35">
      <c r="A69" s="333">
        <f t="shared" ref="A69:A132" si="2">+A68+1</f>
        <v>69</v>
      </c>
      <c r="D69" s="3"/>
      <c r="I69" s="3"/>
      <c r="P69" s="334"/>
      <c r="Q69" s="334"/>
    </row>
    <row r="70" spans="1:17" outlineLevel="2" x14ac:dyDescent="0.35">
      <c r="A70" s="333">
        <f t="shared" si="2"/>
        <v>70</v>
      </c>
      <c r="D70" s="7" t="s">
        <v>43</v>
      </c>
      <c r="E70" s="28"/>
      <c r="F70" s="16" t="s">
        <v>518</v>
      </c>
      <c r="I70" s="7" t="s">
        <v>43</v>
      </c>
      <c r="J70" s="28"/>
      <c r="K70" s="16" t="s">
        <v>518</v>
      </c>
      <c r="P70" s="334"/>
      <c r="Q70" s="334"/>
    </row>
    <row r="71" spans="1:17" outlineLevel="2" x14ac:dyDescent="0.35">
      <c r="A71" s="333">
        <f t="shared" si="2"/>
        <v>71</v>
      </c>
      <c r="D71" s="3" t="s">
        <v>43</v>
      </c>
      <c r="E71" s="28"/>
      <c r="F71" s="1" t="s">
        <v>41</v>
      </c>
      <c r="I71" s="3" t="s">
        <v>43</v>
      </c>
      <c r="J71" s="28"/>
      <c r="K71" s="1" t="s">
        <v>41</v>
      </c>
      <c r="P71" s="334"/>
      <c r="Q71" s="334"/>
    </row>
    <row r="72" spans="1:17" outlineLevel="2" x14ac:dyDescent="0.35">
      <c r="A72" s="333">
        <f t="shared" si="2"/>
        <v>72</v>
      </c>
      <c r="D72" s="371" t="s">
        <v>194</v>
      </c>
      <c r="E72" s="357"/>
      <c r="F72" s="1" t="s">
        <v>62</v>
      </c>
      <c r="I72" s="371" t="s">
        <v>194</v>
      </c>
      <c r="J72" s="357"/>
      <c r="K72" s="1" t="s">
        <v>62</v>
      </c>
      <c r="P72" s="334"/>
      <c r="Q72" s="334"/>
    </row>
    <row r="73" spans="1:17" outlineLevel="2" x14ac:dyDescent="0.35">
      <c r="A73" s="333">
        <f t="shared" si="2"/>
        <v>73</v>
      </c>
      <c r="D73" s="372" t="s">
        <v>68</v>
      </c>
      <c r="E73" s="373" t="e">
        <f>+E68/E70/365</f>
        <v>#DIV/0!</v>
      </c>
      <c r="F73" s="1" t="s">
        <v>69</v>
      </c>
      <c r="I73" s="372" t="s">
        <v>68</v>
      </c>
      <c r="J73" s="373" t="e">
        <f>+J68/J70/365</f>
        <v>#DIV/0!</v>
      </c>
      <c r="K73" s="1" t="s">
        <v>69</v>
      </c>
      <c r="P73" s="334"/>
      <c r="Q73" s="334"/>
    </row>
    <row r="74" spans="1:17" outlineLevel="2" x14ac:dyDescent="0.35">
      <c r="A74" s="333">
        <f t="shared" si="2"/>
        <v>74</v>
      </c>
      <c r="D74" s="372" t="s">
        <v>39</v>
      </c>
      <c r="E74" s="373" t="e">
        <f>E68/E71</f>
        <v>#DIV/0!</v>
      </c>
      <c r="I74" s="372" t="s">
        <v>39</v>
      </c>
      <c r="J74" s="373" t="e">
        <f>+J68/J71</f>
        <v>#DIV/0!</v>
      </c>
      <c r="P74" s="334"/>
      <c r="Q74" s="334"/>
    </row>
    <row r="75" spans="1:17" outlineLevel="2" x14ac:dyDescent="0.35">
      <c r="A75" s="333">
        <f t="shared" si="2"/>
        <v>75</v>
      </c>
      <c r="D75" s="14" t="s">
        <v>519</v>
      </c>
      <c r="E75" s="374" t="e">
        <f>+E68/E70</f>
        <v>#DIV/0!</v>
      </c>
      <c r="I75" s="14" t="s">
        <v>519</v>
      </c>
      <c r="J75" s="374" t="e">
        <f>+J68/J70</f>
        <v>#DIV/0!</v>
      </c>
      <c r="P75" s="334"/>
      <c r="Q75" s="334"/>
    </row>
    <row r="76" spans="1:17" outlineLevel="2" x14ac:dyDescent="0.35">
      <c r="A76" s="333">
        <f t="shared" si="2"/>
        <v>76</v>
      </c>
      <c r="P76" s="334"/>
      <c r="Q76" s="334"/>
    </row>
    <row r="77" spans="1:17" outlineLevel="2" x14ac:dyDescent="0.35">
      <c r="A77" s="333">
        <f t="shared" si="2"/>
        <v>77</v>
      </c>
      <c r="C77" s="308" t="s">
        <v>573</v>
      </c>
      <c r="H77" s="308" t="s">
        <v>572</v>
      </c>
      <c r="P77" s="334"/>
      <c r="Q77" s="334"/>
    </row>
    <row r="78" spans="1:17" outlineLevel="2" x14ac:dyDescent="0.35">
      <c r="A78" s="333">
        <f t="shared" si="2"/>
        <v>78</v>
      </c>
      <c r="C78" s="309" t="s">
        <v>565</v>
      </c>
      <c r="H78" s="309" t="s">
        <v>565</v>
      </c>
      <c r="P78" s="334"/>
      <c r="Q78" s="334"/>
    </row>
    <row r="79" spans="1:17" outlineLevel="2" x14ac:dyDescent="0.35">
      <c r="A79" s="333">
        <f t="shared" si="2"/>
        <v>79</v>
      </c>
      <c r="D79" s="1" t="s">
        <v>522</v>
      </c>
      <c r="E79" s="375"/>
      <c r="I79" s="1" t="s">
        <v>522</v>
      </c>
      <c r="J79" s="375"/>
      <c r="P79" s="334"/>
      <c r="Q79" s="334"/>
    </row>
    <row r="80" spans="1:17" outlineLevel="2" x14ac:dyDescent="0.35">
      <c r="A80" s="333">
        <f t="shared" si="2"/>
        <v>80</v>
      </c>
      <c r="I80" s="14" t="s">
        <v>566</v>
      </c>
      <c r="J80" s="28"/>
      <c r="P80" s="334"/>
      <c r="Q80" s="334"/>
    </row>
    <row r="81" spans="1:17" outlineLevel="2" x14ac:dyDescent="0.35">
      <c r="A81" s="333">
        <f t="shared" si="2"/>
        <v>81</v>
      </c>
      <c r="D81" s="1" t="s">
        <v>520</v>
      </c>
      <c r="E81" s="28"/>
      <c r="F81" s="1" t="s">
        <v>59</v>
      </c>
      <c r="I81" s="1" t="s">
        <v>520</v>
      </c>
      <c r="J81" s="28"/>
      <c r="K81" s="1" t="s">
        <v>59</v>
      </c>
      <c r="P81" s="334"/>
      <c r="Q81" s="334"/>
    </row>
    <row r="82" spans="1:17" outlineLevel="2" x14ac:dyDescent="0.35">
      <c r="A82" s="333">
        <f t="shared" si="2"/>
        <v>82</v>
      </c>
      <c r="D82" s="1" t="s">
        <v>521</v>
      </c>
      <c r="E82" s="28"/>
      <c r="F82" s="1" t="s">
        <v>59</v>
      </c>
      <c r="I82" s="1" t="s">
        <v>521</v>
      </c>
      <c r="J82" s="28"/>
      <c r="K82" s="1" t="s">
        <v>59</v>
      </c>
      <c r="P82" s="334"/>
      <c r="Q82" s="334"/>
    </row>
    <row r="83" spans="1:17" outlineLevel="2" x14ac:dyDescent="0.35">
      <c r="A83" s="333">
        <f t="shared" si="2"/>
        <v>83</v>
      </c>
      <c r="D83" s="372" t="s">
        <v>523</v>
      </c>
      <c r="E83" s="376"/>
      <c r="I83" s="372" t="s">
        <v>523</v>
      </c>
      <c r="J83" s="376"/>
      <c r="P83" s="334"/>
      <c r="Q83" s="334"/>
    </row>
    <row r="84" spans="1:17" outlineLevel="2" x14ac:dyDescent="0.35">
      <c r="A84" s="333">
        <f t="shared" si="2"/>
        <v>84</v>
      </c>
      <c r="D84" s="372" t="s">
        <v>66</v>
      </c>
      <c r="E84" s="377"/>
      <c r="F84" s="1" t="s">
        <v>67</v>
      </c>
      <c r="I84" s="372" t="s">
        <v>66</v>
      </c>
      <c r="J84" s="377"/>
      <c r="K84" s="1" t="s">
        <v>67</v>
      </c>
      <c r="P84" s="334"/>
      <c r="Q84" s="334"/>
    </row>
    <row r="85" spans="1:17" outlineLevel="2" x14ac:dyDescent="0.35">
      <c r="A85" s="333">
        <f t="shared" si="2"/>
        <v>85</v>
      </c>
      <c r="D85" s="378"/>
      <c r="E85" s="3"/>
      <c r="F85" s="379"/>
      <c r="G85" s="16"/>
      <c r="H85" s="16"/>
      <c r="I85" s="16"/>
      <c r="J85" s="7"/>
      <c r="K85" s="379"/>
      <c r="P85" s="334"/>
      <c r="Q85" s="334"/>
    </row>
    <row r="86" spans="1:17" x14ac:dyDescent="0.35">
      <c r="A86" s="333">
        <f t="shared" si="2"/>
        <v>86</v>
      </c>
      <c r="B86" s="348" t="s">
        <v>70</v>
      </c>
      <c r="C86" s="348"/>
      <c r="D86" s="348"/>
      <c r="E86" s="348"/>
      <c r="F86" s="348"/>
      <c r="G86" s="348"/>
      <c r="H86" s="349"/>
      <c r="I86" s="349"/>
      <c r="J86" s="349"/>
      <c r="K86" s="349"/>
      <c r="L86" s="349"/>
      <c r="M86" s="349"/>
      <c r="N86" s="350"/>
      <c r="O86" s="350"/>
      <c r="P86" s="334"/>
      <c r="Q86" s="334"/>
    </row>
    <row r="87" spans="1:17" outlineLevel="1" x14ac:dyDescent="0.35">
      <c r="A87" s="333">
        <f t="shared" si="2"/>
        <v>87</v>
      </c>
      <c r="B87" s="8"/>
      <c r="C87" s="354" t="s">
        <v>71</v>
      </c>
      <c r="D87" s="17"/>
      <c r="E87" s="8"/>
      <c r="F87" s="380"/>
      <c r="G87" s="380"/>
      <c r="H87" s="368"/>
      <c r="I87" s="368"/>
      <c r="J87" s="368"/>
      <c r="K87" s="368"/>
      <c r="L87" s="368"/>
      <c r="M87" s="368"/>
      <c r="N87" s="369"/>
      <c r="O87" s="369"/>
      <c r="P87" s="334"/>
      <c r="Q87" s="334"/>
    </row>
    <row r="88" spans="1:17" outlineLevel="1" x14ac:dyDescent="0.35">
      <c r="A88" s="333">
        <f t="shared" si="2"/>
        <v>88</v>
      </c>
      <c r="B88" s="380"/>
      <c r="D88" s="380"/>
      <c r="E88" s="380"/>
      <c r="F88" s="380"/>
      <c r="G88" s="380"/>
      <c r="H88" s="368"/>
      <c r="I88" s="368"/>
      <c r="J88" s="368"/>
      <c r="K88" s="368"/>
      <c r="L88" s="368"/>
      <c r="M88" s="368"/>
      <c r="N88" s="369"/>
      <c r="O88" s="369"/>
      <c r="P88" s="334"/>
      <c r="Q88" s="334"/>
    </row>
    <row r="89" spans="1:17" outlineLevel="1" x14ac:dyDescent="0.35">
      <c r="A89" s="333">
        <f t="shared" si="2"/>
        <v>89</v>
      </c>
      <c r="B89" s="380"/>
      <c r="C89" s="354"/>
      <c r="D89" s="380"/>
      <c r="E89" s="380"/>
      <c r="F89" s="380"/>
      <c r="G89" s="381" t="s">
        <v>72</v>
      </c>
      <c r="H89" s="382"/>
      <c r="I89" s="368"/>
      <c r="J89" s="368"/>
      <c r="K89" s="368"/>
      <c r="L89" s="368"/>
      <c r="M89" s="368"/>
      <c r="N89" s="369"/>
      <c r="O89" s="369"/>
      <c r="P89" s="334"/>
    </row>
    <row r="90" spans="1:17" outlineLevel="1" x14ac:dyDescent="0.35">
      <c r="A90" s="333">
        <f t="shared" si="2"/>
        <v>90</v>
      </c>
      <c r="B90" s="380"/>
      <c r="C90" s="354" t="s">
        <v>661</v>
      </c>
      <c r="D90" s="380"/>
      <c r="E90" s="380"/>
      <c r="F90" s="380"/>
      <c r="G90" s="381" t="s">
        <v>73</v>
      </c>
      <c r="H90" s="383"/>
      <c r="I90" s="368"/>
      <c r="J90" s="368"/>
      <c r="K90" s="368"/>
      <c r="L90" s="368"/>
      <c r="M90" s="368"/>
      <c r="N90" s="369"/>
      <c r="O90" s="369"/>
      <c r="P90" s="334"/>
    </row>
    <row r="91" spans="1:17" outlineLevel="1" x14ac:dyDescent="0.35">
      <c r="A91" s="333">
        <f t="shared" si="2"/>
        <v>91</v>
      </c>
      <c r="P91" s="334"/>
    </row>
    <row r="92" spans="1:17" outlineLevel="1" x14ac:dyDescent="0.35">
      <c r="A92" s="333">
        <f t="shared" si="2"/>
        <v>92</v>
      </c>
      <c r="D92" s="29" t="s">
        <v>74</v>
      </c>
      <c r="G92" s="30"/>
      <c r="H92" s="31"/>
      <c r="I92" s="29" t="s">
        <v>75</v>
      </c>
      <c r="P92" s="334"/>
    </row>
    <row r="93" spans="1:17" outlineLevel="1" x14ac:dyDescent="0.35">
      <c r="A93" s="333">
        <f t="shared" si="2"/>
        <v>93</v>
      </c>
      <c r="D93" s="371"/>
      <c r="G93" s="30"/>
      <c r="H93" s="31"/>
      <c r="P93" s="334"/>
    </row>
    <row r="94" spans="1:17" outlineLevel="1" x14ac:dyDescent="0.35">
      <c r="A94" s="333">
        <f t="shared" si="2"/>
        <v>94</v>
      </c>
      <c r="D94" s="372" t="s">
        <v>63</v>
      </c>
      <c r="E94" s="28"/>
      <c r="F94" s="1" t="s">
        <v>64</v>
      </c>
      <c r="G94" s="30"/>
      <c r="I94" s="3" t="s">
        <v>40</v>
      </c>
      <c r="J94" s="28"/>
      <c r="K94" s="1" t="s">
        <v>41</v>
      </c>
      <c r="M94" s="10"/>
      <c r="P94" s="334"/>
    </row>
    <row r="95" spans="1:17" ht="18" customHeight="1" outlineLevel="1" x14ac:dyDescent="0.35">
      <c r="A95" s="333">
        <f t="shared" si="2"/>
        <v>95</v>
      </c>
      <c r="D95" s="3"/>
      <c r="E95" s="3"/>
      <c r="G95" s="30"/>
      <c r="I95" s="3"/>
      <c r="M95" s="10"/>
      <c r="P95" s="334"/>
    </row>
    <row r="96" spans="1:17" outlineLevel="1" x14ac:dyDescent="0.35">
      <c r="A96" s="333">
        <f t="shared" si="2"/>
        <v>96</v>
      </c>
      <c r="D96" s="14" t="s">
        <v>519</v>
      </c>
      <c r="E96" s="28"/>
      <c r="F96" s="1" t="s">
        <v>655</v>
      </c>
      <c r="G96" s="30"/>
      <c r="I96" s="14" t="s">
        <v>519</v>
      </c>
      <c r="J96" s="28"/>
      <c r="K96" s="16" t="s">
        <v>518</v>
      </c>
      <c r="M96" s="10"/>
      <c r="P96" s="334"/>
    </row>
    <row r="97" spans="1:17 16382:16382" outlineLevel="1" x14ac:dyDescent="0.35">
      <c r="A97" s="333">
        <f t="shared" si="2"/>
        <v>97</v>
      </c>
      <c r="D97" s="372" t="s">
        <v>660</v>
      </c>
      <c r="E97" s="397"/>
      <c r="F97" s="1" t="s">
        <v>69</v>
      </c>
      <c r="G97" s="30"/>
      <c r="I97" s="372" t="s">
        <v>660</v>
      </c>
      <c r="J97" s="397"/>
      <c r="K97" s="1" t="s">
        <v>41</v>
      </c>
      <c r="P97" s="334"/>
    </row>
    <row r="98" spans="1:17 16382:16382" outlineLevel="1" x14ac:dyDescent="0.35">
      <c r="A98" s="333">
        <f t="shared" si="2"/>
        <v>98</v>
      </c>
      <c r="D98" s="371" t="s">
        <v>194</v>
      </c>
      <c r="E98" s="357"/>
      <c r="F98" s="1" t="s">
        <v>62</v>
      </c>
      <c r="G98" s="30"/>
      <c r="I98" s="371" t="s">
        <v>194</v>
      </c>
      <c r="J98" s="357"/>
      <c r="K98" s="1" t="s">
        <v>62</v>
      </c>
      <c r="P98" s="334"/>
    </row>
    <row r="99" spans="1:17 16382:16382" outlineLevel="1" x14ac:dyDescent="0.35">
      <c r="A99" s="333">
        <f t="shared" si="2"/>
        <v>99</v>
      </c>
      <c r="D99" s="372" t="s">
        <v>76</v>
      </c>
      <c r="E99" s="357"/>
      <c r="F99" s="1" t="s">
        <v>77</v>
      </c>
      <c r="G99" s="30"/>
      <c r="I99" s="372" t="s">
        <v>76</v>
      </c>
      <c r="J99" s="357"/>
      <c r="K99" s="1" t="s">
        <v>77</v>
      </c>
      <c r="P99" s="334"/>
    </row>
    <row r="100" spans="1:17 16382:16382" outlineLevel="1" x14ac:dyDescent="0.35">
      <c r="A100" s="333">
        <f t="shared" si="2"/>
        <v>100</v>
      </c>
      <c r="D100" s="372"/>
      <c r="E100" s="372"/>
      <c r="F100" s="372"/>
      <c r="G100" s="30"/>
      <c r="P100" s="334"/>
    </row>
    <row r="101" spans="1:17 16382:16382" outlineLevel="1" x14ac:dyDescent="0.35">
      <c r="A101" s="333">
        <f t="shared" si="2"/>
        <v>101</v>
      </c>
      <c r="C101" s="10"/>
      <c r="D101" s="14" t="s">
        <v>551</v>
      </c>
      <c r="E101" s="393" t="e">
        <f>+E99/E94</f>
        <v>#DIV/0!</v>
      </c>
      <c r="F101" s="372"/>
      <c r="G101" s="30"/>
      <c r="I101" s="14" t="s">
        <v>551</v>
      </c>
      <c r="J101" s="393" t="e">
        <f>+J99/J94</f>
        <v>#DIV/0!</v>
      </c>
      <c r="P101" s="334"/>
    </row>
    <row r="102" spans="1:17 16382:16382" outlineLevel="1" x14ac:dyDescent="0.35">
      <c r="A102" s="333">
        <f t="shared" si="2"/>
        <v>102</v>
      </c>
      <c r="D102" s="372"/>
      <c r="G102" s="30"/>
      <c r="P102" s="334"/>
    </row>
    <row r="103" spans="1:17 16382:16382" outlineLevel="1" x14ac:dyDescent="0.35">
      <c r="A103" s="333">
        <f t="shared" si="2"/>
        <v>103</v>
      </c>
      <c r="G103" s="30"/>
      <c r="P103" s="334"/>
    </row>
    <row r="104" spans="1:17 16382:16382" outlineLevel="1" x14ac:dyDescent="0.35">
      <c r="A104" s="333">
        <f t="shared" si="2"/>
        <v>104</v>
      </c>
      <c r="D104" s="308" t="s">
        <v>563</v>
      </c>
      <c r="G104" s="30"/>
      <c r="P104" s="334"/>
    </row>
    <row r="105" spans="1:17 16382:16382" outlineLevel="1" x14ac:dyDescent="0.35">
      <c r="A105" s="333">
        <f t="shared" si="2"/>
        <v>105</v>
      </c>
      <c r="C105" s="309" t="s">
        <v>564</v>
      </c>
      <c r="D105" s="308"/>
      <c r="G105" s="30"/>
      <c r="I105" s="308" t="s">
        <v>568</v>
      </c>
      <c r="P105" s="334"/>
    </row>
    <row r="106" spans="1:17 16382:16382" outlineLevel="2" x14ac:dyDescent="0.35">
      <c r="A106" s="333">
        <f t="shared" si="2"/>
        <v>106</v>
      </c>
      <c r="B106" s="309"/>
      <c r="G106" s="30"/>
      <c r="H106" s="1" t="s">
        <v>564</v>
      </c>
      <c r="P106" s="334"/>
      <c r="Q106" s="334"/>
    </row>
    <row r="107" spans="1:17 16382:16382" outlineLevel="1" x14ac:dyDescent="0.35">
      <c r="A107" s="333">
        <f t="shared" si="2"/>
        <v>107</v>
      </c>
      <c r="D107" s="1" t="s">
        <v>522</v>
      </c>
      <c r="E107" s="375"/>
      <c r="G107" s="30"/>
      <c r="I107" s="1" t="s">
        <v>522</v>
      </c>
      <c r="J107" s="375"/>
      <c r="P107" s="334"/>
      <c r="XFB107" s="1"/>
    </row>
    <row r="108" spans="1:17 16382:16382" outlineLevel="1" x14ac:dyDescent="0.35">
      <c r="A108" s="333">
        <f t="shared" si="2"/>
        <v>108</v>
      </c>
      <c r="G108" s="30"/>
      <c r="I108" s="14" t="s">
        <v>566</v>
      </c>
      <c r="J108" s="28"/>
      <c r="P108" s="334"/>
      <c r="XFB108" s="1"/>
    </row>
    <row r="109" spans="1:17 16382:16382" outlineLevel="1" x14ac:dyDescent="0.35">
      <c r="A109" s="333">
        <f t="shared" si="2"/>
        <v>109</v>
      </c>
      <c r="D109" s="1" t="s">
        <v>520</v>
      </c>
      <c r="E109" s="28"/>
      <c r="F109" s="1" t="s">
        <v>59</v>
      </c>
      <c r="G109" s="30"/>
      <c r="I109" s="1" t="s">
        <v>520</v>
      </c>
      <c r="J109" s="28"/>
      <c r="K109" s="1" t="s">
        <v>59</v>
      </c>
      <c r="P109" s="334"/>
    </row>
    <row r="110" spans="1:17 16382:16382" outlineLevel="1" x14ac:dyDescent="0.35">
      <c r="A110" s="333">
        <f t="shared" si="2"/>
        <v>110</v>
      </c>
      <c r="D110" s="1" t="s">
        <v>521</v>
      </c>
      <c r="E110" s="28"/>
      <c r="F110" s="1" t="s">
        <v>59</v>
      </c>
      <c r="G110" s="30"/>
      <c r="I110" s="1" t="s">
        <v>521</v>
      </c>
      <c r="J110" s="28"/>
      <c r="K110" s="1" t="s">
        <v>59</v>
      </c>
      <c r="P110" s="334"/>
    </row>
    <row r="111" spans="1:17 16382:16382" ht="15" customHeight="1" outlineLevel="1" x14ac:dyDescent="0.35">
      <c r="A111" s="333">
        <f t="shared" si="2"/>
        <v>111</v>
      </c>
      <c r="G111" s="30"/>
      <c r="P111" s="334"/>
    </row>
    <row r="112" spans="1:17 16382:16382" ht="15" customHeight="1" outlineLevel="1" x14ac:dyDescent="0.35">
      <c r="A112" s="333">
        <f t="shared" si="2"/>
        <v>112</v>
      </c>
      <c r="C112" s="10"/>
      <c r="D112" s="384" t="s">
        <v>540</v>
      </c>
      <c r="E112" s="1" t="s">
        <v>67</v>
      </c>
      <c r="G112" s="30"/>
      <c r="I112" s="384" t="s">
        <v>540</v>
      </c>
      <c r="J112" s="1" t="s">
        <v>67</v>
      </c>
      <c r="P112" s="334"/>
    </row>
    <row r="113" spans="1:16" outlineLevel="1" x14ac:dyDescent="0.35">
      <c r="A113" s="333">
        <f t="shared" si="2"/>
        <v>113</v>
      </c>
      <c r="D113" s="372" t="s">
        <v>78</v>
      </c>
      <c r="E113" s="385"/>
      <c r="G113" s="30"/>
      <c r="I113" s="372" t="s">
        <v>78</v>
      </c>
      <c r="J113" s="385"/>
      <c r="P113" s="334"/>
    </row>
    <row r="114" spans="1:16" outlineLevel="1" x14ac:dyDescent="0.35">
      <c r="A114" s="333">
        <f t="shared" si="2"/>
        <v>114</v>
      </c>
      <c r="D114" s="14" t="s">
        <v>79</v>
      </c>
      <c r="E114" s="385"/>
      <c r="G114" s="30"/>
      <c r="I114" s="14" t="s">
        <v>79</v>
      </c>
      <c r="J114" s="385"/>
      <c r="P114" s="334"/>
    </row>
    <row r="115" spans="1:16" outlineLevel="1" x14ac:dyDescent="0.35">
      <c r="A115" s="333">
        <f t="shared" si="2"/>
        <v>115</v>
      </c>
      <c r="D115" s="14" t="s">
        <v>80</v>
      </c>
      <c r="E115" s="385"/>
      <c r="G115" s="30"/>
      <c r="I115" s="14" t="s">
        <v>80</v>
      </c>
      <c r="J115" s="385"/>
      <c r="P115" s="334"/>
    </row>
    <row r="116" spans="1:16" outlineLevel="1" x14ac:dyDescent="0.35">
      <c r="A116" s="333">
        <f t="shared" si="2"/>
        <v>116</v>
      </c>
      <c r="D116" s="14" t="s">
        <v>81</v>
      </c>
      <c r="E116" s="385"/>
      <c r="G116" s="30"/>
      <c r="I116" s="14" t="s">
        <v>81</v>
      </c>
      <c r="J116" s="385"/>
      <c r="P116" s="334"/>
    </row>
    <row r="117" spans="1:16" outlineLevel="1" x14ac:dyDescent="0.35">
      <c r="A117" s="333">
        <f t="shared" si="2"/>
        <v>117</v>
      </c>
      <c r="D117" s="14" t="s">
        <v>82</v>
      </c>
      <c r="E117" s="385"/>
      <c r="G117" s="30"/>
      <c r="I117" s="14" t="s">
        <v>82</v>
      </c>
      <c r="J117" s="385"/>
      <c r="P117" s="334"/>
    </row>
    <row r="118" spans="1:16" outlineLevel="1" x14ac:dyDescent="0.35">
      <c r="A118" s="333">
        <f t="shared" si="2"/>
        <v>118</v>
      </c>
      <c r="D118" s="14" t="s">
        <v>83</v>
      </c>
      <c r="E118" s="385"/>
      <c r="G118" s="30"/>
      <c r="H118" s="31"/>
      <c r="I118" s="14" t="s">
        <v>83</v>
      </c>
      <c r="J118" s="385"/>
      <c r="P118" s="334"/>
    </row>
    <row r="119" spans="1:16" outlineLevel="1" x14ac:dyDescent="0.35">
      <c r="A119" s="333">
        <f t="shared" si="2"/>
        <v>119</v>
      </c>
      <c r="G119" s="33"/>
      <c r="P119" s="334"/>
    </row>
    <row r="120" spans="1:16" outlineLevel="1" x14ac:dyDescent="0.35">
      <c r="A120" s="333">
        <f t="shared" si="2"/>
        <v>120</v>
      </c>
      <c r="C120" s="2"/>
      <c r="D120" s="386" t="s">
        <v>84</v>
      </c>
      <c r="E120" s="387" t="str">
        <f>IFERROR(E94/(E94+E68),"")</f>
        <v/>
      </c>
      <c r="G120" s="33"/>
      <c r="I120" s="386" t="s">
        <v>85</v>
      </c>
      <c r="J120" s="387" t="str">
        <f>IFERROR(J94/(J94+J68),"")</f>
        <v/>
      </c>
      <c r="M120" s="16"/>
      <c r="N120" s="1"/>
      <c r="P120" s="334"/>
    </row>
    <row r="121" spans="1:16" outlineLevel="1" x14ac:dyDescent="0.35">
      <c r="A121" s="333">
        <f t="shared" si="2"/>
        <v>121</v>
      </c>
      <c r="D121" s="386" t="s">
        <v>86</v>
      </c>
      <c r="E121" s="388" t="str">
        <f>IF(E120="","",1-E120)</f>
        <v/>
      </c>
      <c r="G121" s="33"/>
      <c r="I121" s="386" t="s">
        <v>87</v>
      </c>
      <c r="J121" s="388" t="str">
        <f>IF(J120="","",1-J120)</f>
        <v/>
      </c>
      <c r="M121" s="16"/>
      <c r="N121" s="1"/>
      <c r="P121" s="334"/>
    </row>
    <row r="122" spans="1:16" outlineLevel="1" x14ac:dyDescent="0.35">
      <c r="A122" s="333">
        <f t="shared" si="2"/>
        <v>122</v>
      </c>
      <c r="G122" s="33"/>
      <c r="M122" s="16"/>
      <c r="N122" s="1"/>
      <c r="P122" s="334"/>
    </row>
    <row r="123" spans="1:16" outlineLevel="1" x14ac:dyDescent="0.35">
      <c r="A123" s="333">
        <f t="shared" si="2"/>
        <v>123</v>
      </c>
      <c r="E123" s="378"/>
      <c r="F123" s="16"/>
      <c r="G123" s="16"/>
      <c r="J123" s="378"/>
      <c r="K123" s="16"/>
      <c r="L123" s="378"/>
      <c r="M123" s="16"/>
      <c r="N123" s="1"/>
      <c r="P123" s="334"/>
    </row>
    <row r="124" spans="1:16" x14ac:dyDescent="0.35">
      <c r="A124" s="333">
        <f t="shared" si="2"/>
        <v>124</v>
      </c>
      <c r="C124" s="403" t="s">
        <v>552</v>
      </c>
      <c r="D124" s="403"/>
      <c r="E124" s="403"/>
      <c r="F124" s="403"/>
      <c r="G124" s="403"/>
      <c r="H124" s="403"/>
      <c r="I124" s="403"/>
      <c r="J124" s="403"/>
      <c r="K124" s="403"/>
      <c r="L124" s="403"/>
      <c r="M124" s="403"/>
      <c r="N124" s="403"/>
      <c r="P124" s="334"/>
    </row>
    <row r="125" spans="1:16" x14ac:dyDescent="0.35">
      <c r="A125" s="333">
        <f t="shared" si="2"/>
        <v>125</v>
      </c>
      <c r="C125" s="401"/>
      <c r="D125" s="401"/>
      <c r="E125" s="401"/>
      <c r="F125" s="401"/>
      <c r="G125" s="401"/>
      <c r="H125" s="401"/>
      <c r="I125" s="401"/>
      <c r="J125" s="401"/>
      <c r="K125" s="401"/>
      <c r="L125" s="401"/>
      <c r="M125" s="401"/>
      <c r="N125" s="401"/>
      <c r="P125" s="334"/>
    </row>
    <row r="126" spans="1:16" x14ac:dyDescent="0.35">
      <c r="A126" s="333">
        <f t="shared" si="2"/>
        <v>126</v>
      </c>
      <c r="C126" s="402"/>
      <c r="D126" s="402"/>
      <c r="E126" s="402"/>
      <c r="F126" s="402"/>
      <c r="G126" s="402"/>
      <c r="H126" s="402"/>
      <c r="I126" s="402"/>
      <c r="J126" s="402"/>
      <c r="K126" s="402"/>
      <c r="L126" s="402"/>
      <c r="M126" s="402"/>
      <c r="N126" s="402"/>
      <c r="P126" s="334"/>
    </row>
    <row r="127" spans="1:16" x14ac:dyDescent="0.35">
      <c r="A127" s="333">
        <f t="shared" si="2"/>
        <v>127</v>
      </c>
      <c r="C127" s="402"/>
      <c r="D127" s="402"/>
      <c r="E127" s="402"/>
      <c r="F127" s="402"/>
      <c r="G127" s="402"/>
      <c r="H127" s="402"/>
      <c r="I127" s="402"/>
      <c r="J127" s="402"/>
      <c r="K127" s="402"/>
      <c r="L127" s="402"/>
      <c r="M127" s="402"/>
      <c r="N127" s="402"/>
      <c r="P127" s="334"/>
    </row>
    <row r="128" spans="1:16" x14ac:dyDescent="0.35">
      <c r="A128" s="333">
        <f t="shared" si="2"/>
        <v>128</v>
      </c>
      <c r="C128" s="402"/>
      <c r="D128" s="402"/>
      <c r="E128" s="402"/>
      <c r="F128" s="402"/>
      <c r="G128" s="402"/>
      <c r="H128" s="402"/>
      <c r="I128" s="402"/>
      <c r="J128" s="402"/>
      <c r="K128" s="402"/>
      <c r="L128" s="402"/>
      <c r="M128" s="402"/>
      <c r="N128" s="402"/>
      <c r="P128" s="334"/>
    </row>
    <row r="129" spans="1:16" x14ac:dyDescent="0.35">
      <c r="A129" s="333">
        <f t="shared" si="2"/>
        <v>129</v>
      </c>
      <c r="C129" s="402"/>
      <c r="D129" s="402"/>
      <c r="E129" s="402"/>
      <c r="F129" s="402"/>
      <c r="G129" s="402"/>
      <c r="H129" s="402"/>
      <c r="I129" s="402"/>
      <c r="J129" s="402"/>
      <c r="K129" s="402"/>
      <c r="L129" s="402"/>
      <c r="M129" s="402"/>
      <c r="N129" s="402"/>
      <c r="P129" s="334"/>
    </row>
    <row r="130" spans="1:16" x14ac:dyDescent="0.35">
      <c r="A130" s="333">
        <f t="shared" si="2"/>
        <v>130</v>
      </c>
      <c r="C130" s="402"/>
      <c r="D130" s="402"/>
      <c r="E130" s="402"/>
      <c r="F130" s="402"/>
      <c r="G130" s="402"/>
      <c r="H130" s="402"/>
      <c r="I130" s="402"/>
      <c r="J130" s="402"/>
      <c r="K130" s="402"/>
      <c r="L130" s="402"/>
      <c r="M130" s="402"/>
      <c r="N130" s="402"/>
      <c r="P130" s="334"/>
    </row>
    <row r="131" spans="1:16" x14ac:dyDescent="0.35">
      <c r="A131" s="333">
        <f t="shared" si="2"/>
        <v>131</v>
      </c>
      <c r="C131" s="402"/>
      <c r="D131" s="402"/>
      <c r="E131" s="402"/>
      <c r="F131" s="402"/>
      <c r="G131" s="402"/>
      <c r="H131" s="402"/>
      <c r="I131" s="402"/>
      <c r="J131" s="402"/>
      <c r="K131" s="402"/>
      <c r="L131" s="402"/>
      <c r="M131" s="402"/>
      <c r="N131" s="402"/>
      <c r="P131" s="334"/>
    </row>
    <row r="132" spans="1:16" x14ac:dyDescent="0.35">
      <c r="A132" s="333">
        <f t="shared" si="2"/>
        <v>132</v>
      </c>
      <c r="C132" s="402"/>
      <c r="D132" s="402"/>
      <c r="E132" s="402"/>
      <c r="F132" s="402"/>
      <c r="G132" s="402"/>
      <c r="H132" s="402"/>
      <c r="I132" s="402"/>
      <c r="J132" s="402"/>
      <c r="K132" s="402"/>
      <c r="L132" s="402"/>
      <c r="M132" s="402"/>
      <c r="N132" s="402"/>
      <c r="P132" s="334"/>
    </row>
    <row r="133" spans="1:16" x14ac:dyDescent="0.35">
      <c r="A133" s="333">
        <f t="shared" ref="A133:A135" si="3">+A132+1</f>
        <v>133</v>
      </c>
      <c r="P133" s="334"/>
    </row>
    <row r="134" spans="1:16" ht="14.5" x14ac:dyDescent="0.35">
      <c r="A134" s="333">
        <f t="shared" si="3"/>
        <v>134</v>
      </c>
      <c r="B134" s="333">
        <f t="shared" ref="B134:O135" si="4">+B133+1</f>
        <v>1</v>
      </c>
      <c r="C134" s="333">
        <f t="shared" si="4"/>
        <v>1</v>
      </c>
      <c r="D134" s="333">
        <f t="shared" si="4"/>
        <v>1</v>
      </c>
      <c r="E134" s="333">
        <f t="shared" si="4"/>
        <v>1</v>
      </c>
      <c r="F134" s="333">
        <f t="shared" si="4"/>
        <v>1</v>
      </c>
      <c r="G134" s="333">
        <f t="shared" si="4"/>
        <v>1</v>
      </c>
      <c r="H134" s="333">
        <f t="shared" si="4"/>
        <v>1</v>
      </c>
      <c r="I134" s="333">
        <f t="shared" si="4"/>
        <v>1</v>
      </c>
      <c r="J134" s="333">
        <f t="shared" si="4"/>
        <v>1</v>
      </c>
      <c r="K134" s="333">
        <f t="shared" si="4"/>
        <v>1</v>
      </c>
      <c r="L134" s="333">
        <f t="shared" si="4"/>
        <v>1</v>
      </c>
      <c r="M134" s="333">
        <f t="shared" si="4"/>
        <v>1</v>
      </c>
      <c r="N134" s="333">
        <f t="shared" si="4"/>
        <v>1</v>
      </c>
      <c r="O134" s="333">
        <f t="shared" si="4"/>
        <v>1</v>
      </c>
      <c r="P134" s="334"/>
    </row>
    <row r="135" spans="1:16" ht="14.5" x14ac:dyDescent="0.35">
      <c r="A135" s="333">
        <f t="shared" si="3"/>
        <v>135</v>
      </c>
      <c r="B135" s="333">
        <f t="shared" si="4"/>
        <v>2</v>
      </c>
      <c r="C135" s="333">
        <f t="shared" si="4"/>
        <v>2</v>
      </c>
      <c r="D135" s="333">
        <f t="shared" si="4"/>
        <v>2</v>
      </c>
      <c r="E135" s="333">
        <f t="shared" si="4"/>
        <v>2</v>
      </c>
      <c r="F135" s="333">
        <f t="shared" si="4"/>
        <v>2</v>
      </c>
      <c r="G135" s="333">
        <f t="shared" si="4"/>
        <v>2</v>
      </c>
      <c r="H135" s="333">
        <f t="shared" si="4"/>
        <v>2</v>
      </c>
      <c r="I135" s="333">
        <f t="shared" si="4"/>
        <v>2</v>
      </c>
      <c r="J135" s="333">
        <f t="shared" si="4"/>
        <v>2</v>
      </c>
      <c r="K135" s="333">
        <f t="shared" si="4"/>
        <v>2</v>
      </c>
      <c r="L135" s="333">
        <f t="shared" si="4"/>
        <v>2</v>
      </c>
      <c r="M135" s="333">
        <f t="shared" si="4"/>
        <v>2</v>
      </c>
      <c r="N135" s="333">
        <f t="shared" si="4"/>
        <v>2</v>
      </c>
      <c r="O135" s="333">
        <f t="shared" si="4"/>
        <v>2</v>
      </c>
      <c r="P135" s="334"/>
    </row>
  </sheetData>
  <sheetProtection sheet="1" objects="1" scenarios="1" selectLockedCells="1"/>
  <protectedRanges>
    <protectedRange sqref="G37" name="Rango1"/>
  </protectedRanges>
  <dataConsolidate/>
  <mergeCells count="6">
    <mergeCell ref="C125:N132"/>
    <mergeCell ref="C124:N124"/>
    <mergeCell ref="I5:J5"/>
    <mergeCell ref="M11:O12"/>
    <mergeCell ref="M13:O14"/>
    <mergeCell ref="M15:O16"/>
  </mergeCells>
  <conditionalFormatting sqref="J12">
    <cfRule type="expression" dxfId="44" priority="11">
      <formula>$J$11&gt;1</formula>
    </cfRule>
  </conditionalFormatting>
  <conditionalFormatting sqref="J14">
    <cfRule type="expression" dxfId="43" priority="10">
      <formula>$J$13&gt;1</formula>
    </cfRule>
  </conditionalFormatting>
  <conditionalFormatting sqref="J16">
    <cfRule type="expression" dxfId="42" priority="9">
      <formula>$J$15&gt;1</formula>
    </cfRule>
  </conditionalFormatting>
  <dataValidations xWindow="819" yWindow="697" count="62">
    <dataValidation type="list" allowBlank="1" showInputMessage="1" showErrorMessage="1" prompt="Servicio '15" sqref="J57:J58">
      <formula1>duracion</formula1>
    </dataValidation>
    <dataValidation type="list" allowBlank="1" showInputMessage="1" showErrorMessage="1" prompt="Servicio '15" sqref="I58">
      <formula1>fechaservicio</formula1>
    </dataValidation>
    <dataValidation allowBlank="1" showInputMessage="1" showErrorMessage="1" prompt="Tiempo desde la primer labor del verdeo/diferido hasta cambio de uso del lote (no sólo tiempo que fue pastoreado)." sqref="J14"/>
    <dataValidation allowBlank="1" showInputMessage="1" showErrorMessage="1" prompt="Tiempo desde la primer labor del verdeo hasta cambio de uso del lote (no sólo tiempo que fue pastoreado)." sqref="J12"/>
    <dataValidation type="list" allowBlank="1" showInputMessage="1" showErrorMessage="1" sqref="J83 E83">
      <formula1>RRFF</formula1>
    </dataValidation>
    <dataValidation allowBlank="1" showInputMessage="1" showErrorMessage="1" prompt="Vaquillonas de 1° servicio preñadas 17´/ vaquillonas de 1° s. entoradas en 16´" sqref="E45"/>
    <dataValidation allowBlank="1" showInputMessage="1" showErrorMessage="1" prompt="Vacas y vaquillonas preñadas sobre vientres entoradas en servicio 15´" sqref="E53"/>
    <dataValidation allowBlank="1" showInputMessage="1" showErrorMessage="1" prompt="Terneros destetados 17´sobre vientres entorados en servicio´15" sqref="E52"/>
    <dataValidation allowBlank="1" showErrorMessage="1" prompt="Superficie de monte productivos del establecimiento" sqref="J16"/>
    <dataValidation allowBlank="1" showErrorMessage="1" sqref="J19"/>
    <dataValidation allowBlank="1" showInputMessage="1" showErrorMessage="1" prompt="Superfice de rastrojos pastoreados. En la celda contigua se calculará las has asignadas a dicho recurso según las Normas CREA." sqref="J15"/>
    <dataValidation allowBlank="1" showInputMessage="1" showErrorMessage="1" prompt="Superfice sembrada (tal cual) con verdeos de verano para consumo fresco o diferido. En la celda contigua se calculará las has asignadas a dicho recurso según las Normas CREA." sqref="J13"/>
    <dataValidation allowBlank="1" showInputMessage="1" showErrorMessage="1" prompt="Superficie del establecimiento en producción." sqref="E11"/>
    <dataValidation allowBlank="1" showInputMessage="1" showErrorMessage="1" prompt="Superficie de suelo de la unidad de producción en agricultura, propias y alquiladas." sqref="E12"/>
    <dataValidation type="list" allowBlank="1" showInputMessage="1" showErrorMessage="1" sqref="G6">
      <formula1>MP</formula1>
    </dataValidation>
    <dataValidation allowBlank="1" showInputMessage="1" showErrorMessage="1" prompt="Praderas implantadas en la campaña en análisis." sqref="E18"/>
    <dataValidation allowBlank="1" showInputMessage="1" showErrorMessage="1" prompt="Stock bovino al 30 de junio 2017 (todo lo que está en el establecimiento)" sqref="E27"/>
    <dataValidation allowBlank="1" showInputMessage="1" showErrorMessage="1" prompt="Producción de carne (kg totales) = SALIDAS (kg vendidos,  traslados, consumo del eto.) - ENTRADAS (kg por compra o traslados de otras procedencias) + DIF. INVENTARIO (en Kg)" sqref="E28 J68 E68 E94 J94"/>
    <dataValidation allowBlank="1" showInputMessage="1" showErrorMessage="1" prompt="Cantidad de Vaquillonas de 1 en servicio en 2016" sqref="E46"/>
    <dataValidation allowBlank="1" showInputMessage="1" showErrorMessage="1" prompt="Nro de cabezas muertas/cabezas ingresadas" sqref="E30"/>
    <dataValidation allowBlank="1" showInputMessage="1" showErrorMessage="1" prompt="Superficie de campo natural de la unidad de producción" sqref="E15"/>
    <dataValidation allowBlank="1" showInputMessage="1" showErrorMessage="1" prompt="Superficie de praderas perennes ya implantadas" sqref="E17"/>
    <dataValidation allowBlank="1" showInputMessage="1" showErrorMessage="1" prompt="Superfice sembrada con verdeos de invierno tal cual. En la celda contigua se calculará las has asignadas a dicho recurso según las Normas CREA." sqref="J11"/>
    <dataValidation allowBlank="1" showInputMessage="1" showErrorMessage="1" prompt="Superficie de monte productivos de la unidad de producción" sqref="E16"/>
    <dataValidation allowBlank="1" showInputMessage="1" showErrorMessage="1" prompt="Stock bovino al 1 de julio 2016 (todo lo que está en el establecimiento)" sqref="E26"/>
    <dataValidation allowBlank="1" showInputMessage="1" showErrorMessage="1" prompt="Ponderar en función de la cantidad de tiempo que se le dedica a la ganadería. Se tiene en cuenta el personal de maquinaria que le presta un servicio a la ganadería." sqref="E33 H90"/>
    <dataValidation allowBlank="1" showInputMessage="1" showErrorMessage="1" prompt="Incluye vacas y vaquillonas" sqref="E54:E55"/>
    <dataValidation allowBlank="1" showInputMessage="1" showErrorMessage="1" prompt="Este indicador no debe ser tenido en cuenta en producciones a corral" sqref="J27 J29"/>
    <dataValidation allowBlank="1" showInputMessage="1" showErrorMessage="1" prompt="Vacas preñadas 17´sobre vacas entoradas servicio 16´" sqref="E41"/>
    <dataValidation type="list" allowBlank="1" showErrorMessage="1" sqref="E61:I61">
      <formula1>cruz</formula1>
    </dataValidation>
    <dataValidation type="list" allowBlank="1" showInputMessage="1" showErrorMessage="1" prompt="Región donde se encuentra el establecimiento, independientemente del CREA al que pertenezca el establecimiento." sqref="F6">
      <formula1>Crea</formula1>
    </dataValidation>
    <dataValidation type="list" allowBlank="1" showInputMessage="1" showErrorMessage="1" sqref="J53">
      <formula1>edadservicio</formula1>
    </dataValidation>
    <dataValidation allowBlank="1" showInputMessage="1" showErrorMessage="1" prompt="% de vaquillonas inseminadas en la campaña (Vaquillona Inseminadas/Vaquillonas en Servicio)" sqref="J54"/>
    <dataValidation allowBlank="1" showInputMessage="1" showErrorMessage="1" prompt="% de vacas inseminadas en la campaña vacas Inseminadas/Vacas en Servicio)" sqref="J52"/>
    <dataValidation allowBlank="1" showInputMessage="1" showErrorMessage="1" prompt="Peso medio de destete '17" sqref="E57"/>
    <dataValidation type="list" allowBlank="1" showInputMessage="1" showErrorMessage="1" prompt="Servicio '15_x000a_" sqref="I57">
      <formula1>fechaservicio</formula1>
    </dataValidation>
    <dataValidation allowBlank="1" showInputMessage="1" showErrorMessage="1" prompt="Capacidad máxima instantanea" sqref="H89"/>
    <dataValidation allowBlank="1" showInputMessage="1" showErrorMessage="1" prompt="Ingrese un valor estimativo promedio de venta de la hectárea donde está realizando la ganadería." sqref="J21"/>
    <dataValidation type="list" allowBlank="1" showInputMessage="1" showErrorMessage="1" sqref="E79 J79 J107 E107">
      <formula1>MH</formula1>
    </dataValidation>
    <dataValidation type="list" allowBlank="1" showInputMessage="1" showErrorMessage="1" sqref="J81 J109">
      <formula1>PET</formula1>
    </dataValidation>
    <dataValidation type="list" allowBlank="1" showInputMessage="1" showErrorMessage="1" sqref="J82 J110">
      <formula1>PST</formula1>
    </dataValidation>
    <dataValidation type="list" allowBlank="1" showInputMessage="1" showErrorMessage="1" sqref="E81 E109">
      <formula1>PER</formula1>
    </dataValidation>
    <dataValidation type="list" allowBlank="1" showInputMessage="1" showErrorMessage="1" sqref="E82 E110">
      <formula1>PSR</formula1>
    </dataValidation>
    <dataValidation allowBlank="1" showInputMessage="1" showErrorMessage="1" prompt="Stock medio en recría: promedio de los valores de stock mensual en cabezas para el ejercicio." sqref="E70"/>
    <dataValidation type="list" allowBlank="1" showInputMessage="1" showErrorMessage="1" sqref="E114 J114">
      <formula1>CC</formula1>
    </dataValidation>
    <dataValidation type="list" allowBlank="1" showInputMessage="1" showErrorMessage="1" sqref="E115:E118 E113 J115:J118 J113">
      <formula1>Dieta</formula1>
    </dataValidation>
    <dataValidation type="list" allowBlank="1" showInputMessage="1" showErrorMessage="1" sqref="J80 J108">
      <formula1>sino</formula1>
    </dataValidation>
    <dataValidation allowBlank="1" showInputMessage="1" showErrorMessage="1" prompt="Superficie en en ganadería con aptitud agrícola (clase I a IV) propias y alquiladas." sqref="J20"/>
    <dataValidation allowBlank="1" showInputMessage="1" showErrorMessage="1" prompt="Si la empresa tiene más de un establecimiento, llenar una planilla por cada campo." sqref="D6"/>
    <dataValidation allowBlank="1" showInputMessage="1" showErrorMessage="1" prompt="Tiempo promedio de la recría. Si hay distintos lotes/rodeos, poner la duración ponderada." sqref="E72 E98"/>
    <dataValidation allowBlank="1" showInputMessage="1" showErrorMessage="1" prompt="Tiempo promedio de la terminación. Si hay distintos lotes/rodeos, poner la duración ponderada." sqref="J72 J98"/>
    <dataValidation type="list" allowBlank="1" showInputMessage="1" showErrorMessage="1" prompt="% de la dieta en MS suplementada" sqref="E84 J84">
      <formula1>supl</formula1>
    </dataValidation>
    <dataValidation type="list" allowBlank="1" showInputMessage="1" showErrorMessage="1" prompt="Edad promedio al destete '17. Si hubo diferentes destetes, poner una edad promedio. Si merece aclaraciones, anotarlas en observaciones. " sqref="E58">
      <formula1>Destete</formula1>
    </dataValidation>
    <dataValidation allowBlank="1" showInputMessage="1" showErrorMessage="1" prompt="Kilos de materia seca ofrecidos en los corrales de recría" sqref="E99"/>
    <dataValidation allowBlank="1" showInputMessage="1" showErrorMessage="1" prompt="Kilos de materia seca ofrecidos en los corrales de terminación." sqref="J99"/>
    <dataValidation allowBlank="1" showInputMessage="1" showErrorMessage="1" prompt="Promedio de los valores de stock mensual en kg para el ejercicio (incluye corrales). Los terneros al pie de la madre se deben contabilizar como stock para el cálculo de carga." sqref="E32"/>
    <dataValidation allowBlank="1" showInputMessage="1" showErrorMessage="1" prompt="Promedio de los valores de stock mensual en cabezas para el ejercicio (incluye corrales). Los terneros al pie de la madre se deben contabilizar para el cálculo de carga." sqref="E31"/>
    <dataValidation allowBlank="1" showInputMessage="1" showErrorMessage="1" prompt="Stock medio en recría: promedio de los valores de stock mensual en kilos totales para el ejercicio." sqref="E71"/>
    <dataValidation allowBlank="1" showInputMessage="1" showErrorMessage="1" prompt="Stock medio en terminación: promedio de los valores de stock mensual en cabezas para el ejercicio." sqref="J70"/>
    <dataValidation allowBlank="1" showInputMessage="1" showErrorMessage="1" prompt="Stock medio en terminación: promedio de los valores de stock mensual en kilos totales para el ejercicio." sqref="J71"/>
    <dataValidation allowBlank="1" showErrorMessage="1" prompt="Kilos de materia seca ofrecidos en total" sqref="E96 J96"/>
    <dataValidation allowBlank="1" showInputMessage="1" showErrorMessage="1" prompt="Aumento diario de peso vivo promedio" sqref="J97 E97"/>
  </dataValidations>
  <hyperlinks>
    <hyperlink ref="G95" location="'1 (prop.sup)'!F115" display="Ir a cálculo desbaste"/>
    <hyperlink ref="G95:G96" location="'1'!D118" display="Ir a cálculo desbaste"/>
    <hyperlink ref="L95:L96" location="'1'!D118" display="Ir a cálculo desbaste"/>
    <hyperlink ref="L95" location="'1 (prop.sup)'!F115" display="Ir a cálculo desbaste"/>
  </hyperlinks>
  <pageMargins left="0.25" right="0.25" top="0.75" bottom="0.75" header="0.3" footer="0.3"/>
  <pageSetup paperSize="9" scale="48" fitToHeight="0" orientation="portrait" verticalDpi="599" r:id="rId1"/>
  <rowBreaks count="1" manualBreakCount="1">
    <brk id="60" min="1" max="12"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B135"/>
  <sheetViews>
    <sheetView showGridLines="0" zoomScale="90" zoomScaleNormal="90" workbookViewId="0">
      <pane xSplit="1" ySplit="1" topLeftCell="B2" activePane="bottomRight" state="frozen"/>
      <selection activeCell="B21" sqref="B21"/>
      <selection pane="topRight" activeCell="B21" sqref="B21"/>
      <selection pane="bottomLeft" activeCell="B21" sqref="B21"/>
      <selection pane="bottomRight" activeCell="C6" sqref="C6"/>
    </sheetView>
  </sheetViews>
  <sheetFormatPr baseColWidth="10" defaultColWidth="0" defaultRowHeight="15.5" customHeight="1" zeroHeight="1" outlineLevelRow="2" x14ac:dyDescent="0.35"/>
  <cols>
    <col min="1" max="1" width="5" style="330" customWidth="1"/>
    <col min="2" max="2" width="11.81640625" style="1" customWidth="1"/>
    <col min="3" max="3" width="16" style="1" customWidth="1"/>
    <col min="4" max="4" width="18.54296875" style="1" customWidth="1"/>
    <col min="5" max="6" width="14.54296875" style="1" customWidth="1"/>
    <col min="7" max="7" width="12.1796875" style="1" customWidth="1"/>
    <col min="8" max="8" width="16.26953125" style="1" customWidth="1"/>
    <col min="9" max="10" width="14.54296875" style="1" customWidth="1"/>
    <col min="11" max="12" width="13.453125" style="1" customWidth="1"/>
    <col min="13" max="13" width="14.54296875" style="1" customWidth="1"/>
    <col min="14" max="15" width="11.453125" style="69" customWidth="1"/>
    <col min="16" max="16" width="5.54296875" style="69" customWidth="1"/>
    <col min="17" max="17" width="11.453125" style="69" hidden="1"/>
    <col min="18" max="16382" width="0" style="69" hidden="1"/>
    <col min="16383" max="16384" width="11.453125" style="69" hidden="1"/>
  </cols>
  <sheetData>
    <row r="1" spans="1:17" s="333" customFormat="1" ht="14.5" x14ac:dyDescent="0.35">
      <c r="A1" s="333">
        <v>1</v>
      </c>
      <c r="B1" s="333">
        <f t="shared" ref="B1:P1" si="0">+A1+1</f>
        <v>2</v>
      </c>
      <c r="C1" s="333">
        <f t="shared" si="0"/>
        <v>3</v>
      </c>
      <c r="D1" s="333">
        <f t="shared" si="0"/>
        <v>4</v>
      </c>
      <c r="E1" s="333">
        <f t="shared" si="0"/>
        <v>5</v>
      </c>
      <c r="F1" s="333">
        <f t="shared" si="0"/>
        <v>6</v>
      </c>
      <c r="G1" s="333">
        <f t="shared" si="0"/>
        <v>7</v>
      </c>
      <c r="H1" s="333">
        <f t="shared" si="0"/>
        <v>8</v>
      </c>
      <c r="I1" s="333">
        <f t="shared" si="0"/>
        <v>9</v>
      </c>
      <c r="J1" s="333">
        <f t="shared" si="0"/>
        <v>10</v>
      </c>
      <c r="K1" s="333">
        <f t="shared" si="0"/>
        <v>11</v>
      </c>
      <c r="L1" s="333">
        <f t="shared" si="0"/>
        <v>12</v>
      </c>
      <c r="M1" s="333">
        <f t="shared" si="0"/>
        <v>13</v>
      </c>
      <c r="N1" s="333">
        <f t="shared" si="0"/>
        <v>14</v>
      </c>
      <c r="O1" s="333">
        <f t="shared" si="0"/>
        <v>15</v>
      </c>
      <c r="P1" s="333">
        <f t="shared" si="0"/>
        <v>16</v>
      </c>
    </row>
    <row r="2" spans="1:17" x14ac:dyDescent="0.35">
      <c r="A2" s="333">
        <f>+A1+1</f>
        <v>2</v>
      </c>
      <c r="P2" s="334"/>
      <c r="Q2" s="334"/>
    </row>
    <row r="3" spans="1:17" x14ac:dyDescent="0.35">
      <c r="A3" s="333">
        <f t="shared" ref="A3:A66" si="1">+A2+1</f>
        <v>3</v>
      </c>
      <c r="B3" s="335" t="s">
        <v>0</v>
      </c>
      <c r="C3" s="336"/>
      <c r="D3" s="58"/>
      <c r="E3" s="302"/>
      <c r="F3" s="337" t="s">
        <v>1</v>
      </c>
      <c r="G3" s="58"/>
      <c r="H3" s="303"/>
      <c r="I3" s="337" t="s">
        <v>2</v>
      </c>
      <c r="J3" s="58"/>
      <c r="K3" s="58"/>
      <c r="L3" s="336"/>
      <c r="M3" s="336"/>
      <c r="N3" s="338"/>
      <c r="O3" s="339"/>
      <c r="P3" s="334"/>
      <c r="Q3" s="334"/>
    </row>
    <row r="4" spans="1:17" x14ac:dyDescent="0.35">
      <c r="A4" s="333">
        <f t="shared" si="1"/>
        <v>4</v>
      </c>
      <c r="B4" s="340"/>
      <c r="C4" s="340"/>
      <c r="E4" s="336"/>
      <c r="F4" s="336"/>
      <c r="G4" s="336"/>
      <c r="H4" s="336"/>
      <c r="I4" s="336"/>
      <c r="J4" s="336"/>
      <c r="K4" s="336"/>
      <c r="L4" s="336"/>
      <c r="M4" s="336"/>
      <c r="N4" s="338"/>
      <c r="O4" s="338"/>
      <c r="P4" s="334"/>
      <c r="Q4" s="334"/>
    </row>
    <row r="5" spans="1:17" ht="29" x14ac:dyDescent="0.35">
      <c r="A5" s="333">
        <f t="shared" si="1"/>
        <v>5</v>
      </c>
      <c r="B5" s="341" t="s">
        <v>3</v>
      </c>
      <c r="C5" s="342" t="s">
        <v>4</v>
      </c>
      <c r="D5" s="341" t="s">
        <v>5</v>
      </c>
      <c r="E5" s="342" t="s">
        <v>6</v>
      </c>
      <c r="F5" s="342" t="s">
        <v>7</v>
      </c>
      <c r="G5" s="343" t="s">
        <v>8</v>
      </c>
      <c r="H5" s="344" t="s">
        <v>9</v>
      </c>
      <c r="I5" s="404" t="s">
        <v>10</v>
      </c>
      <c r="J5" s="405"/>
      <c r="N5" s="345"/>
      <c r="P5" s="334"/>
      <c r="Q5" s="334"/>
    </row>
    <row r="6" spans="1:17" x14ac:dyDescent="0.35">
      <c r="A6" s="333">
        <f t="shared" si="1"/>
        <v>6</v>
      </c>
      <c r="B6" s="310" t="s">
        <v>649</v>
      </c>
      <c r="C6" s="346"/>
      <c r="D6" s="346"/>
      <c r="E6" s="347"/>
      <c r="F6" s="346"/>
      <c r="G6" s="347"/>
      <c r="H6" s="347"/>
      <c r="I6" s="347"/>
      <c r="J6" s="347"/>
      <c r="N6" s="338"/>
      <c r="O6" s="338"/>
      <c r="P6" s="334"/>
      <c r="Q6" s="334"/>
    </row>
    <row r="7" spans="1:17" x14ac:dyDescent="0.35">
      <c r="A7" s="333">
        <f t="shared" si="1"/>
        <v>7</v>
      </c>
      <c r="P7" s="334"/>
      <c r="Q7" s="334"/>
    </row>
    <row r="8" spans="1:17" x14ac:dyDescent="0.35">
      <c r="A8" s="333">
        <f t="shared" si="1"/>
        <v>8</v>
      </c>
      <c r="B8" s="348" t="s">
        <v>13</v>
      </c>
      <c r="C8" s="348"/>
      <c r="D8" s="348"/>
      <c r="E8" s="348"/>
      <c r="F8" s="348"/>
      <c r="G8" s="348"/>
      <c r="H8" s="349"/>
      <c r="I8" s="349"/>
      <c r="J8" s="349"/>
      <c r="K8" s="349"/>
      <c r="L8" s="349"/>
      <c r="M8" s="349"/>
      <c r="N8" s="350"/>
      <c r="O8" s="350"/>
      <c r="P8" s="334"/>
      <c r="Q8" s="334"/>
    </row>
    <row r="9" spans="1:17" x14ac:dyDescent="0.35">
      <c r="A9" s="333">
        <f t="shared" si="1"/>
        <v>9</v>
      </c>
      <c r="P9" s="334"/>
      <c r="Q9" s="334"/>
    </row>
    <row r="10" spans="1:17" x14ac:dyDescent="0.35">
      <c r="A10" s="333">
        <f t="shared" si="1"/>
        <v>10</v>
      </c>
      <c r="C10" s="2"/>
      <c r="D10" s="2" t="s">
        <v>14</v>
      </c>
      <c r="G10" s="2"/>
      <c r="I10" s="56" t="s">
        <v>17</v>
      </c>
      <c r="J10" s="69"/>
      <c r="K10" s="69"/>
      <c r="L10" s="2" t="s">
        <v>18</v>
      </c>
      <c r="M10" s="4"/>
      <c r="P10" s="334"/>
      <c r="Q10" s="334"/>
    </row>
    <row r="11" spans="1:17" ht="18" customHeight="1" x14ac:dyDescent="0.35">
      <c r="A11" s="333">
        <f t="shared" si="1"/>
        <v>11</v>
      </c>
      <c r="D11" s="3" t="s">
        <v>15</v>
      </c>
      <c r="E11" s="28"/>
      <c r="F11" s="1" t="s">
        <v>16</v>
      </c>
      <c r="I11" s="3" t="s">
        <v>19</v>
      </c>
      <c r="J11" s="28"/>
      <c r="K11" s="1" t="s">
        <v>16</v>
      </c>
      <c r="L11" s="5" t="str">
        <f>IF(J11*J12/12=0,"",J11*J12/12)</f>
        <v/>
      </c>
      <c r="M11" s="406" t="s">
        <v>656</v>
      </c>
      <c r="N11" s="406"/>
      <c r="O11" s="406"/>
      <c r="P11" s="334"/>
      <c r="Q11" s="334"/>
    </row>
    <row r="12" spans="1:17" x14ac:dyDescent="0.35">
      <c r="A12" s="333">
        <f t="shared" si="1"/>
        <v>12</v>
      </c>
      <c r="D12" s="3" t="s">
        <v>514</v>
      </c>
      <c r="E12" s="28"/>
      <c r="F12" s="1" t="s">
        <v>16</v>
      </c>
      <c r="I12" s="3" t="str">
        <f>+IF(J11&gt;1,"Tiempo ocupado por verdeo de invierno","")</f>
        <v/>
      </c>
      <c r="J12" s="351"/>
      <c r="K12" s="6" t="str">
        <f>+IF($J$11&gt;1,"meses","")</f>
        <v/>
      </c>
      <c r="L12" s="69"/>
      <c r="M12" s="406"/>
      <c r="N12" s="406"/>
      <c r="O12" s="406"/>
      <c r="P12" s="334"/>
      <c r="Q12" s="334"/>
    </row>
    <row r="13" spans="1:17" ht="18" customHeight="1" x14ac:dyDescent="0.35">
      <c r="A13" s="333">
        <f t="shared" si="1"/>
        <v>13</v>
      </c>
      <c r="I13" s="3" t="s">
        <v>22</v>
      </c>
      <c r="J13" s="28"/>
      <c r="K13" s="1" t="s">
        <v>16</v>
      </c>
      <c r="L13" s="5" t="str">
        <f>IF(J13*J14/12=0,"",J13*J14/12)</f>
        <v/>
      </c>
      <c r="M13" s="406" t="s">
        <v>657</v>
      </c>
      <c r="N13" s="406"/>
      <c r="O13" s="406"/>
      <c r="P13" s="334"/>
      <c r="Q13" s="334"/>
    </row>
    <row r="14" spans="1:17" x14ac:dyDescent="0.35">
      <c r="A14" s="333">
        <f t="shared" si="1"/>
        <v>14</v>
      </c>
      <c r="C14" s="2"/>
      <c r="D14" s="2" t="s">
        <v>21</v>
      </c>
      <c r="I14" s="3" t="str">
        <f>+IF(J13&gt;1,"Tiempo ocupado por verdeo de verano y diferido","")</f>
        <v/>
      </c>
      <c r="J14" s="351"/>
      <c r="K14" s="6" t="str">
        <f>+IF($J$13&gt;1,"meses","")</f>
        <v/>
      </c>
      <c r="L14" s="69"/>
      <c r="M14" s="406"/>
      <c r="N14" s="406"/>
      <c r="O14" s="406"/>
      <c r="P14" s="334"/>
      <c r="Q14" s="334"/>
    </row>
    <row r="15" spans="1:17" ht="18" customHeight="1" x14ac:dyDescent="0.35">
      <c r="A15" s="333">
        <f t="shared" si="1"/>
        <v>15</v>
      </c>
      <c r="D15" s="3" t="s">
        <v>24</v>
      </c>
      <c r="E15" s="28"/>
      <c r="F15" s="1" t="s">
        <v>16</v>
      </c>
      <c r="I15" s="3" t="s">
        <v>26</v>
      </c>
      <c r="J15" s="28"/>
      <c r="K15" s="1" t="s">
        <v>16</v>
      </c>
      <c r="L15" s="5" t="str">
        <f>IF(J15*J16/12=0,"",J15*J16/12)</f>
        <v/>
      </c>
      <c r="M15" s="406" t="s">
        <v>658</v>
      </c>
      <c r="N15" s="406"/>
      <c r="O15" s="406"/>
      <c r="P15" s="334"/>
      <c r="Q15" s="334"/>
    </row>
    <row r="16" spans="1:17" x14ac:dyDescent="0.35">
      <c r="A16" s="333">
        <f t="shared" si="1"/>
        <v>16</v>
      </c>
      <c r="B16" s="8"/>
      <c r="D16" s="7" t="s">
        <v>25</v>
      </c>
      <c r="E16" s="28"/>
      <c r="F16" s="1" t="s">
        <v>16</v>
      </c>
      <c r="I16" s="3" t="str">
        <f>+IF(J15&gt;1,"Tiempo de ocupación de rastrojos y otros  ","")</f>
        <v/>
      </c>
      <c r="J16" s="351"/>
      <c r="K16" s="6" t="str">
        <f>+IF($J$15&gt;1,"meses","")</f>
        <v/>
      </c>
      <c r="L16" s="69"/>
      <c r="M16" s="406"/>
      <c r="N16" s="406"/>
      <c r="O16" s="406"/>
      <c r="P16" s="334"/>
      <c r="Q16" s="334"/>
    </row>
    <row r="17" spans="1:17" x14ac:dyDescent="0.35">
      <c r="A17" s="333">
        <f t="shared" si="1"/>
        <v>17</v>
      </c>
      <c r="D17" s="3" t="s">
        <v>28</v>
      </c>
      <c r="E17" s="28"/>
      <c r="F17" s="1" t="s">
        <v>16</v>
      </c>
      <c r="M17" s="396"/>
      <c r="N17" s="352"/>
      <c r="O17" s="352"/>
      <c r="P17" s="334"/>
      <c r="Q17" s="334"/>
    </row>
    <row r="18" spans="1:17" x14ac:dyDescent="0.35">
      <c r="A18" s="333">
        <f t="shared" si="1"/>
        <v>18</v>
      </c>
      <c r="D18" s="3" t="s">
        <v>29</v>
      </c>
      <c r="E18" s="28"/>
      <c r="F18" s="1" t="s">
        <v>16</v>
      </c>
      <c r="G18" s="10"/>
      <c r="H18" s="11"/>
      <c r="I18" s="57" t="s">
        <v>30</v>
      </c>
      <c r="J18" s="10"/>
      <c r="K18" s="10"/>
      <c r="P18" s="334"/>
      <c r="Q18" s="334"/>
    </row>
    <row r="19" spans="1:17" x14ac:dyDescent="0.35">
      <c r="A19" s="333">
        <f t="shared" si="1"/>
        <v>19</v>
      </c>
      <c r="C19" s="1" t="s">
        <v>9</v>
      </c>
      <c r="D19" s="329"/>
      <c r="E19" s="329"/>
      <c r="F19" s="1" t="s">
        <v>16</v>
      </c>
      <c r="G19" s="10"/>
      <c r="H19" s="10"/>
      <c r="I19" s="7" t="s">
        <v>31</v>
      </c>
      <c r="J19" s="12">
        <f>+SUM(E15:E20,L11,L13,L15)</f>
        <v>0</v>
      </c>
      <c r="K19" s="10" t="s">
        <v>16</v>
      </c>
      <c r="P19" s="334"/>
      <c r="Q19" s="334"/>
    </row>
    <row r="20" spans="1:17" x14ac:dyDescent="0.35">
      <c r="A20" s="333">
        <f t="shared" si="1"/>
        <v>20</v>
      </c>
      <c r="C20" s="1" t="s">
        <v>9</v>
      </c>
      <c r="D20" s="329"/>
      <c r="E20" s="329"/>
      <c r="F20" s="1" t="s">
        <v>16</v>
      </c>
      <c r="G20" s="10"/>
      <c r="H20" s="10"/>
      <c r="I20" s="3" t="s">
        <v>575</v>
      </c>
      <c r="J20" s="353"/>
      <c r="K20" s="3"/>
      <c r="L20" s="8"/>
      <c r="P20" s="334"/>
      <c r="Q20" s="334"/>
    </row>
    <row r="21" spans="1:17" x14ac:dyDescent="0.35">
      <c r="A21" s="333">
        <f t="shared" si="1"/>
        <v>21</v>
      </c>
      <c r="H21" s="311"/>
      <c r="I21" s="7" t="s">
        <v>517</v>
      </c>
      <c r="J21" s="28"/>
      <c r="K21" s="331" t="s">
        <v>515</v>
      </c>
      <c r="L21" s="8"/>
      <c r="P21" s="334"/>
      <c r="Q21" s="334"/>
    </row>
    <row r="22" spans="1:17" x14ac:dyDescent="0.35">
      <c r="A22" s="333">
        <f t="shared" si="1"/>
        <v>22</v>
      </c>
      <c r="G22" s="10"/>
      <c r="H22" s="10"/>
      <c r="I22" s="3"/>
      <c r="J22" s="3"/>
      <c r="K22" s="3"/>
      <c r="L22" s="8"/>
      <c r="P22" s="334"/>
      <c r="Q22" s="334"/>
    </row>
    <row r="23" spans="1:17" x14ac:dyDescent="0.35">
      <c r="A23" s="333">
        <f t="shared" si="1"/>
        <v>23</v>
      </c>
      <c r="G23" s="10"/>
      <c r="H23" s="10"/>
      <c r="I23" s="3"/>
      <c r="J23" s="3"/>
      <c r="K23" s="3"/>
      <c r="L23" s="8"/>
      <c r="P23" s="334"/>
      <c r="Q23" s="334"/>
    </row>
    <row r="24" spans="1:17" x14ac:dyDescent="0.35">
      <c r="A24" s="333">
        <f t="shared" si="1"/>
        <v>24</v>
      </c>
      <c r="B24" s="348" t="s">
        <v>32</v>
      </c>
      <c r="C24" s="348"/>
      <c r="D24" s="348"/>
      <c r="E24" s="348"/>
      <c r="F24" s="348"/>
      <c r="G24" s="348"/>
      <c r="H24" s="349"/>
      <c r="I24" s="349"/>
      <c r="J24" s="349"/>
      <c r="K24" s="349"/>
      <c r="L24" s="349"/>
      <c r="M24" s="349"/>
      <c r="N24" s="350"/>
      <c r="O24" s="350"/>
      <c r="P24" s="334"/>
      <c r="Q24" s="334"/>
    </row>
    <row r="25" spans="1:17" x14ac:dyDescent="0.35">
      <c r="A25" s="333">
        <f t="shared" si="1"/>
        <v>25</v>
      </c>
      <c r="O25" s="13"/>
      <c r="P25" s="334"/>
      <c r="Q25" s="334"/>
    </row>
    <row r="26" spans="1:17" x14ac:dyDescent="0.35">
      <c r="A26" s="333">
        <f t="shared" si="1"/>
        <v>26</v>
      </c>
      <c r="D26" s="3" t="s">
        <v>33</v>
      </c>
      <c r="E26" s="28"/>
      <c r="F26" s="1" t="s">
        <v>34</v>
      </c>
      <c r="J26" s="354" t="s">
        <v>35</v>
      </c>
      <c r="K26" s="69"/>
      <c r="P26" s="334"/>
      <c r="Q26" s="334"/>
    </row>
    <row r="27" spans="1:17" x14ac:dyDescent="0.35">
      <c r="A27" s="333">
        <f t="shared" si="1"/>
        <v>27</v>
      </c>
      <c r="D27" s="3" t="s">
        <v>36</v>
      </c>
      <c r="E27" s="28"/>
      <c r="F27" s="1" t="s">
        <v>34</v>
      </c>
      <c r="J27" s="67" t="str">
        <f>+IFERROR(E28/J19,"")</f>
        <v/>
      </c>
      <c r="K27" s="1" t="s">
        <v>187</v>
      </c>
      <c r="P27" s="334"/>
      <c r="Q27" s="334"/>
    </row>
    <row r="28" spans="1:17" x14ac:dyDescent="0.35">
      <c r="A28" s="333">
        <f t="shared" si="1"/>
        <v>28</v>
      </c>
      <c r="D28" s="3" t="s">
        <v>40</v>
      </c>
      <c r="E28" s="28"/>
      <c r="F28" s="1" t="s">
        <v>41</v>
      </c>
      <c r="J28" s="68" t="str">
        <f>+IFERROR(E28/(E31),"")</f>
        <v/>
      </c>
      <c r="K28" s="1" t="s">
        <v>516</v>
      </c>
      <c r="P28" s="334"/>
      <c r="Q28" s="334"/>
    </row>
    <row r="29" spans="1:17" x14ac:dyDescent="0.35">
      <c r="A29" s="333">
        <f t="shared" si="1"/>
        <v>29</v>
      </c>
      <c r="J29" s="68" t="str">
        <f>+IFERROR(E32/J19,"")</f>
        <v/>
      </c>
      <c r="K29" s="15" t="s">
        <v>186</v>
      </c>
      <c r="P29" s="334"/>
      <c r="Q29" s="334"/>
    </row>
    <row r="30" spans="1:17" x14ac:dyDescent="0.35">
      <c r="A30" s="333">
        <f t="shared" si="1"/>
        <v>30</v>
      </c>
      <c r="D30" s="3" t="s">
        <v>37</v>
      </c>
      <c r="E30" s="353"/>
      <c r="F30" s="1" t="s">
        <v>38</v>
      </c>
      <c r="J30" s="355" t="str">
        <f>+IFERROR(E28/E32,"")</f>
        <v/>
      </c>
      <c r="K30" s="6" t="s">
        <v>39</v>
      </c>
      <c r="P30" s="334"/>
      <c r="Q30" s="334"/>
    </row>
    <row r="31" spans="1:17" x14ac:dyDescent="0.35">
      <c r="A31" s="333">
        <f t="shared" si="1"/>
        <v>31</v>
      </c>
      <c r="D31" s="7" t="s">
        <v>43</v>
      </c>
      <c r="E31" s="28"/>
      <c r="F31" s="16" t="s">
        <v>518</v>
      </c>
      <c r="J31" s="356" t="str">
        <f>+IFERROR(E28/E33,"")</f>
        <v/>
      </c>
      <c r="K31" s="15" t="s">
        <v>42</v>
      </c>
      <c r="P31" s="334"/>
      <c r="Q31" s="334"/>
    </row>
    <row r="32" spans="1:17" x14ac:dyDescent="0.35">
      <c r="A32" s="333">
        <f t="shared" si="1"/>
        <v>32</v>
      </c>
      <c r="D32" s="3" t="s">
        <v>43</v>
      </c>
      <c r="E32" s="28"/>
      <c r="F32" s="1" t="s">
        <v>41</v>
      </c>
      <c r="M32" s="69"/>
      <c r="P32" s="334"/>
      <c r="Q32" s="334"/>
    </row>
    <row r="33" spans="1:17" ht="17.25" customHeight="1" x14ac:dyDescent="0.35">
      <c r="A33" s="333">
        <f t="shared" si="1"/>
        <v>33</v>
      </c>
      <c r="D33" s="14" t="s">
        <v>44</v>
      </c>
      <c r="E33" s="390"/>
      <c r="M33" s="69"/>
      <c r="P33" s="334"/>
      <c r="Q33" s="334"/>
    </row>
    <row r="34" spans="1:17" x14ac:dyDescent="0.35">
      <c r="A34" s="333">
        <f t="shared" si="1"/>
        <v>34</v>
      </c>
      <c r="P34" s="334"/>
      <c r="Q34" s="334"/>
    </row>
    <row r="35" spans="1:17" x14ac:dyDescent="0.35">
      <c r="A35" s="333">
        <f t="shared" si="1"/>
        <v>35</v>
      </c>
      <c r="B35" s="348" t="s">
        <v>45</v>
      </c>
      <c r="C35" s="348"/>
      <c r="D35" s="348"/>
      <c r="E35" s="348"/>
      <c r="F35" s="348"/>
      <c r="G35" s="348"/>
      <c r="H35" s="349"/>
      <c r="I35" s="349"/>
      <c r="J35" s="349"/>
      <c r="K35" s="349"/>
      <c r="L35" s="349"/>
      <c r="M35" s="349"/>
      <c r="N35" s="350"/>
      <c r="O35" s="350"/>
      <c r="P35" s="334"/>
      <c r="Q35" s="334"/>
    </row>
    <row r="36" spans="1:17" outlineLevel="1" x14ac:dyDescent="0.35">
      <c r="A36" s="333">
        <f t="shared" si="1"/>
        <v>36</v>
      </c>
      <c r="B36" s="8"/>
      <c r="C36" s="8"/>
      <c r="D36" s="17"/>
      <c r="E36" s="8"/>
      <c r="P36" s="334"/>
      <c r="Q36" s="334"/>
    </row>
    <row r="37" spans="1:17" outlineLevel="1" x14ac:dyDescent="0.35">
      <c r="A37" s="333">
        <f t="shared" si="1"/>
        <v>37</v>
      </c>
      <c r="G37" s="358">
        <v>2015</v>
      </c>
      <c r="H37" s="358">
        <f>+G37+1</f>
        <v>2016</v>
      </c>
      <c r="I37" s="358">
        <f>+H37+1</f>
        <v>2017</v>
      </c>
      <c r="P37" s="334"/>
      <c r="Q37" s="334"/>
    </row>
    <row r="38" spans="1:17" outlineLevel="1" x14ac:dyDescent="0.35">
      <c r="A38" s="333">
        <f t="shared" si="1"/>
        <v>38</v>
      </c>
      <c r="G38" s="359" t="s">
        <v>46</v>
      </c>
      <c r="H38" s="360" t="s">
        <v>47</v>
      </c>
      <c r="I38" s="361" t="s">
        <v>48</v>
      </c>
      <c r="P38" s="334"/>
      <c r="Q38" s="334"/>
    </row>
    <row r="39" spans="1:17" outlineLevel="1" x14ac:dyDescent="0.35">
      <c r="A39" s="333">
        <f t="shared" si="1"/>
        <v>39</v>
      </c>
      <c r="G39" s="362"/>
      <c r="H39" s="363" t="s">
        <v>46</v>
      </c>
      <c r="I39" s="364" t="s">
        <v>47</v>
      </c>
      <c r="M39" s="18"/>
      <c r="N39" s="79"/>
      <c r="P39" s="334"/>
      <c r="Q39" s="334"/>
    </row>
    <row r="40" spans="1:17" outlineLevel="1" x14ac:dyDescent="0.35">
      <c r="A40" s="333">
        <f t="shared" si="1"/>
        <v>40</v>
      </c>
      <c r="C40" s="19" t="s">
        <v>49</v>
      </c>
      <c r="D40" s="16"/>
      <c r="P40" s="334"/>
      <c r="Q40" s="334"/>
    </row>
    <row r="41" spans="1:17" outlineLevel="1" x14ac:dyDescent="0.35">
      <c r="A41" s="333">
        <f t="shared" si="1"/>
        <v>41</v>
      </c>
      <c r="C41" s="16"/>
      <c r="D41" s="7" t="s">
        <v>632</v>
      </c>
      <c r="E41" s="391"/>
      <c r="F41" s="1" t="s">
        <v>38</v>
      </c>
      <c r="N41" s="1"/>
      <c r="O41" s="1"/>
      <c r="P41" s="334"/>
      <c r="Q41" s="334"/>
    </row>
    <row r="42" spans="1:17" outlineLevel="1" x14ac:dyDescent="0.35">
      <c r="A42" s="333">
        <f t="shared" si="1"/>
        <v>42</v>
      </c>
      <c r="C42" s="16"/>
      <c r="D42" s="7" t="s">
        <v>633</v>
      </c>
      <c r="E42" s="28"/>
      <c r="F42" s="1" t="s">
        <v>34</v>
      </c>
      <c r="N42" s="1"/>
      <c r="O42" s="1"/>
      <c r="P42" s="334"/>
      <c r="Q42" s="334"/>
    </row>
    <row r="43" spans="1:17" outlineLevel="1" x14ac:dyDescent="0.35">
      <c r="A43" s="333">
        <f t="shared" si="1"/>
        <v>43</v>
      </c>
      <c r="C43" s="20"/>
      <c r="D43" s="20"/>
      <c r="E43" s="21"/>
      <c r="F43" s="21"/>
      <c r="G43" s="21"/>
      <c r="H43" s="21"/>
      <c r="I43" s="21"/>
      <c r="J43" s="21"/>
      <c r="K43" s="21"/>
      <c r="L43" s="21"/>
      <c r="M43" s="21"/>
      <c r="N43" s="21"/>
      <c r="O43" s="1"/>
      <c r="P43" s="334"/>
      <c r="Q43" s="334"/>
    </row>
    <row r="44" spans="1:17" outlineLevel="1" x14ac:dyDescent="0.35">
      <c r="A44" s="333">
        <f t="shared" si="1"/>
        <v>44</v>
      </c>
      <c r="C44" s="19" t="s">
        <v>50</v>
      </c>
      <c r="K44" s="22"/>
      <c r="N44" s="1"/>
      <c r="O44" s="1"/>
      <c r="P44" s="334"/>
      <c r="Q44" s="334"/>
    </row>
    <row r="45" spans="1:17" outlineLevel="1" x14ac:dyDescent="0.35">
      <c r="A45" s="333">
        <f t="shared" si="1"/>
        <v>45</v>
      </c>
      <c r="C45" s="19"/>
      <c r="D45" s="3" t="s">
        <v>634</v>
      </c>
      <c r="E45" s="391"/>
      <c r="F45" s="1" t="s">
        <v>38</v>
      </c>
      <c r="N45" s="1"/>
      <c r="O45" s="1"/>
      <c r="P45" s="334"/>
      <c r="Q45" s="334"/>
    </row>
    <row r="46" spans="1:17" outlineLevel="1" x14ac:dyDescent="0.35">
      <c r="A46" s="333">
        <f t="shared" si="1"/>
        <v>46</v>
      </c>
      <c r="D46" s="3" t="s">
        <v>635</v>
      </c>
      <c r="E46" s="28"/>
      <c r="F46" s="1" t="s">
        <v>34</v>
      </c>
      <c r="N46" s="1"/>
      <c r="O46" s="1"/>
      <c r="P46" s="334"/>
      <c r="Q46" s="334"/>
    </row>
    <row r="47" spans="1:17" outlineLevel="1" x14ac:dyDescent="0.35">
      <c r="A47" s="333">
        <f t="shared" si="1"/>
        <v>47</v>
      </c>
      <c r="C47" s="21"/>
      <c r="D47" s="23"/>
      <c r="E47" s="23"/>
      <c r="F47" s="23"/>
      <c r="G47" s="23"/>
      <c r="H47" s="23"/>
      <c r="I47" s="23"/>
      <c r="J47" s="21"/>
      <c r="K47" s="21"/>
      <c r="L47" s="21"/>
      <c r="M47" s="21"/>
      <c r="N47" s="21"/>
      <c r="O47" s="1"/>
      <c r="P47" s="334"/>
      <c r="Q47" s="334"/>
    </row>
    <row r="48" spans="1:17" outlineLevel="1" x14ac:dyDescent="0.35">
      <c r="A48" s="333">
        <f t="shared" si="1"/>
        <v>48</v>
      </c>
      <c r="C48" s="2" t="s">
        <v>636</v>
      </c>
      <c r="D48" s="3"/>
      <c r="E48" s="3"/>
      <c r="F48" s="3"/>
      <c r="G48" s="3"/>
      <c r="H48" s="3"/>
      <c r="I48" s="3"/>
      <c r="J48" s="3"/>
      <c r="K48" s="3"/>
      <c r="N48" s="1"/>
      <c r="O48" s="1"/>
      <c r="P48" s="334"/>
      <c r="Q48" s="334"/>
    </row>
    <row r="49" spans="1:17" outlineLevel="1" x14ac:dyDescent="0.35">
      <c r="A49" s="333">
        <f t="shared" si="1"/>
        <v>49</v>
      </c>
      <c r="C49" s="2"/>
      <c r="D49" s="7" t="s">
        <v>637</v>
      </c>
      <c r="E49" s="392" t="str">
        <f>IF(E41*E42=0,"",IF(E45*E46=0,"",(E41*(E42/(E42+E46)))+(E45*(E46/(E46+E42)))))</f>
        <v/>
      </c>
      <c r="F49" s="6"/>
      <c r="G49" s="3"/>
      <c r="H49" s="3"/>
      <c r="I49" s="3"/>
      <c r="J49" s="3"/>
      <c r="K49" s="3"/>
      <c r="P49" s="334"/>
      <c r="Q49" s="334"/>
    </row>
    <row r="50" spans="1:17" outlineLevel="1" x14ac:dyDescent="0.35">
      <c r="A50" s="333">
        <f t="shared" si="1"/>
        <v>50</v>
      </c>
      <c r="C50" s="2"/>
      <c r="D50" s="7"/>
      <c r="E50" s="7"/>
      <c r="F50" s="3"/>
      <c r="G50" s="3"/>
      <c r="H50" s="3"/>
      <c r="I50" s="3"/>
      <c r="J50" s="21"/>
      <c r="K50" s="21"/>
      <c r="L50" s="21"/>
      <c r="M50" s="21"/>
      <c r="N50" s="21"/>
      <c r="O50" s="3"/>
      <c r="P50" s="334"/>
      <c r="Q50" s="334"/>
    </row>
    <row r="51" spans="1:17" outlineLevel="1" x14ac:dyDescent="0.35">
      <c r="A51" s="333">
        <f t="shared" si="1"/>
        <v>51</v>
      </c>
      <c r="C51" s="24" t="s">
        <v>512</v>
      </c>
      <c r="D51" s="25"/>
      <c r="E51" s="25"/>
      <c r="F51" s="26"/>
      <c r="G51" s="26"/>
      <c r="H51" s="26"/>
      <c r="I51" s="26"/>
      <c r="J51" s="26"/>
      <c r="K51" s="26"/>
      <c r="P51" s="334"/>
      <c r="Q51" s="334"/>
    </row>
    <row r="52" spans="1:17" outlineLevel="1" x14ac:dyDescent="0.35">
      <c r="A52" s="333">
        <f t="shared" si="1"/>
        <v>52</v>
      </c>
      <c r="C52" s="2"/>
      <c r="D52" s="7" t="s">
        <v>639</v>
      </c>
      <c r="E52" s="391"/>
      <c r="F52" s="1" t="s">
        <v>38</v>
      </c>
      <c r="G52" s="3"/>
      <c r="I52" s="3" t="s">
        <v>638</v>
      </c>
      <c r="J52" s="353"/>
      <c r="K52" s="1" t="s">
        <v>38</v>
      </c>
      <c r="P52" s="334"/>
      <c r="Q52" s="334"/>
    </row>
    <row r="53" spans="1:17" outlineLevel="1" x14ac:dyDescent="0.35">
      <c r="A53" s="333">
        <f t="shared" si="1"/>
        <v>53</v>
      </c>
      <c r="C53" s="16"/>
      <c r="D53" s="7" t="s">
        <v>640</v>
      </c>
      <c r="E53" s="391"/>
      <c r="F53" s="1" t="s">
        <v>38</v>
      </c>
      <c r="G53" s="8" t="str">
        <f>+IF(E53="","",IF(E52&gt;E53,"ERROR! No puede ser el destete mayor a la preñez",""))</f>
        <v/>
      </c>
      <c r="I53" s="14" t="s">
        <v>51</v>
      </c>
      <c r="J53" s="365"/>
      <c r="K53" s="1" t="s">
        <v>52</v>
      </c>
      <c r="P53" s="334"/>
      <c r="Q53" s="334"/>
    </row>
    <row r="54" spans="1:17" outlineLevel="1" x14ac:dyDescent="0.35">
      <c r="A54" s="333">
        <f t="shared" si="1"/>
        <v>54</v>
      </c>
      <c r="C54" s="16"/>
      <c r="D54" s="7" t="s">
        <v>643</v>
      </c>
      <c r="E54" s="367"/>
      <c r="H54" s="3"/>
      <c r="I54" s="3" t="s">
        <v>642</v>
      </c>
      <c r="J54" s="353"/>
      <c r="K54" s="1" t="s">
        <v>38</v>
      </c>
      <c r="P54" s="334"/>
      <c r="Q54" s="334"/>
    </row>
    <row r="55" spans="1:17" outlineLevel="1" x14ac:dyDescent="0.35">
      <c r="A55" s="333">
        <f t="shared" si="1"/>
        <v>55</v>
      </c>
      <c r="C55" s="16"/>
      <c r="D55" s="7" t="s">
        <v>641</v>
      </c>
      <c r="E55" s="367"/>
      <c r="F55" s="1" t="s">
        <v>34</v>
      </c>
      <c r="H55" s="3"/>
      <c r="P55" s="334"/>
      <c r="Q55" s="334"/>
    </row>
    <row r="56" spans="1:17" outlineLevel="1" x14ac:dyDescent="0.35">
      <c r="A56" s="333">
        <f t="shared" si="1"/>
        <v>56</v>
      </c>
      <c r="I56" s="2" t="s">
        <v>645</v>
      </c>
      <c r="J56" s="2" t="s">
        <v>646</v>
      </c>
      <c r="P56" s="334"/>
      <c r="Q56" s="334"/>
    </row>
    <row r="57" spans="1:17" outlineLevel="1" x14ac:dyDescent="0.35">
      <c r="A57" s="333">
        <f t="shared" si="1"/>
        <v>57</v>
      </c>
      <c r="D57" s="3" t="s">
        <v>58</v>
      </c>
      <c r="E57" s="28"/>
      <c r="F57" s="1" t="s">
        <v>59</v>
      </c>
      <c r="H57" s="3" t="s">
        <v>647</v>
      </c>
      <c r="I57" s="389"/>
      <c r="J57" s="366"/>
      <c r="P57" s="334"/>
      <c r="Q57" s="334"/>
    </row>
    <row r="58" spans="1:17" outlineLevel="1" x14ac:dyDescent="0.35">
      <c r="A58" s="333">
        <f t="shared" si="1"/>
        <v>58</v>
      </c>
      <c r="D58" s="3" t="s">
        <v>644</v>
      </c>
      <c r="E58" s="28"/>
      <c r="H58" s="3" t="s">
        <v>648</v>
      </c>
      <c r="I58" s="389"/>
      <c r="J58" s="366"/>
      <c r="P58" s="334"/>
      <c r="Q58" s="334"/>
    </row>
    <row r="59" spans="1:17" outlineLevel="1" x14ac:dyDescent="0.35">
      <c r="A59" s="333">
        <f t="shared" si="1"/>
        <v>59</v>
      </c>
      <c r="F59" s="27"/>
      <c r="G59" s="27"/>
      <c r="P59" s="334"/>
      <c r="Q59" s="334"/>
    </row>
    <row r="60" spans="1:17" outlineLevel="1" x14ac:dyDescent="0.35">
      <c r="A60" s="333">
        <f t="shared" si="1"/>
        <v>60</v>
      </c>
      <c r="C60" s="59" t="s">
        <v>192</v>
      </c>
      <c r="D60" s="27"/>
      <c r="E60" s="18" t="s">
        <v>189</v>
      </c>
      <c r="F60" s="18" t="s">
        <v>190</v>
      </c>
      <c r="G60" s="18" t="s">
        <v>191</v>
      </c>
      <c r="H60" s="18" t="s">
        <v>113</v>
      </c>
      <c r="I60" s="18" t="s">
        <v>193</v>
      </c>
      <c r="P60" s="334"/>
      <c r="Q60" s="334"/>
    </row>
    <row r="61" spans="1:17" outlineLevel="1" x14ac:dyDescent="0.35">
      <c r="A61" s="333">
        <f t="shared" si="1"/>
        <v>61</v>
      </c>
      <c r="D61" s="3" t="s">
        <v>188</v>
      </c>
      <c r="E61" s="28"/>
      <c r="F61" s="28"/>
      <c r="G61" s="28"/>
      <c r="H61" s="28"/>
      <c r="I61" s="28"/>
      <c r="P61" s="334"/>
      <c r="Q61" s="334"/>
    </row>
    <row r="62" spans="1:17" x14ac:dyDescent="0.35">
      <c r="A62" s="333">
        <f t="shared" si="1"/>
        <v>62</v>
      </c>
      <c r="P62" s="334"/>
      <c r="Q62" s="334"/>
    </row>
    <row r="63" spans="1:17" x14ac:dyDescent="0.35">
      <c r="A63" s="333">
        <f t="shared" si="1"/>
        <v>63</v>
      </c>
      <c r="B63" s="348" t="s">
        <v>60</v>
      </c>
      <c r="C63" s="348"/>
      <c r="D63" s="348"/>
      <c r="E63" s="348"/>
      <c r="F63" s="348"/>
      <c r="G63" s="348"/>
      <c r="H63" s="349"/>
      <c r="I63" s="349"/>
      <c r="J63" s="349"/>
      <c r="K63" s="349"/>
      <c r="L63" s="349"/>
      <c r="M63" s="349"/>
      <c r="N63" s="350"/>
      <c r="O63" s="350"/>
      <c r="P63" s="334"/>
      <c r="Q63" s="334"/>
    </row>
    <row r="64" spans="1:17" outlineLevel="2" x14ac:dyDescent="0.35">
      <c r="A64" s="333">
        <f t="shared" si="1"/>
        <v>64</v>
      </c>
      <c r="B64" s="8"/>
      <c r="C64" s="354" t="s">
        <v>513</v>
      </c>
      <c r="D64" s="17"/>
      <c r="E64" s="8"/>
      <c r="L64" s="368"/>
      <c r="M64" s="368"/>
      <c r="N64" s="369"/>
      <c r="O64" s="369"/>
      <c r="P64" s="334"/>
      <c r="Q64" s="334"/>
    </row>
    <row r="65" spans="1:17" outlineLevel="2" x14ac:dyDescent="0.35">
      <c r="A65" s="333">
        <f t="shared" si="1"/>
        <v>65</v>
      </c>
      <c r="C65" s="370" t="s">
        <v>574</v>
      </c>
      <c r="N65" s="1"/>
      <c r="P65" s="334"/>
      <c r="Q65" s="334"/>
    </row>
    <row r="66" spans="1:17" outlineLevel="2" x14ac:dyDescent="0.35">
      <c r="A66" s="333">
        <f t="shared" si="1"/>
        <v>66</v>
      </c>
      <c r="N66" s="1"/>
      <c r="O66" s="1"/>
      <c r="P66" s="334"/>
      <c r="Q66" s="334"/>
    </row>
    <row r="67" spans="1:17" outlineLevel="2" x14ac:dyDescent="0.35">
      <c r="A67" s="333">
        <f t="shared" ref="A67:A130" si="2">+A66+1</f>
        <v>67</v>
      </c>
      <c r="C67" s="60"/>
      <c r="D67" s="60" t="s">
        <v>61</v>
      </c>
      <c r="H67" s="29" t="s">
        <v>567</v>
      </c>
      <c r="I67" s="29"/>
      <c r="N67" s="1"/>
      <c r="O67" s="1"/>
      <c r="P67" s="334"/>
      <c r="Q67" s="334"/>
    </row>
    <row r="68" spans="1:17" outlineLevel="2" x14ac:dyDescent="0.35">
      <c r="A68" s="333">
        <f t="shared" si="2"/>
        <v>68</v>
      </c>
      <c r="D68" s="3" t="s">
        <v>40</v>
      </c>
      <c r="E68" s="28"/>
      <c r="F68" s="1" t="s">
        <v>41</v>
      </c>
      <c r="I68" s="3" t="s">
        <v>40</v>
      </c>
      <c r="J68" s="28"/>
      <c r="K68" s="1" t="s">
        <v>41</v>
      </c>
      <c r="O68" s="1"/>
      <c r="P68" s="334"/>
      <c r="Q68" s="334"/>
    </row>
    <row r="69" spans="1:17" outlineLevel="2" x14ac:dyDescent="0.35">
      <c r="A69" s="333">
        <f t="shared" si="2"/>
        <v>69</v>
      </c>
      <c r="D69" s="3"/>
      <c r="I69" s="3"/>
      <c r="P69" s="334"/>
      <c r="Q69" s="334"/>
    </row>
    <row r="70" spans="1:17" outlineLevel="2" x14ac:dyDescent="0.35">
      <c r="A70" s="333">
        <f t="shared" si="2"/>
        <v>70</v>
      </c>
      <c r="D70" s="7" t="s">
        <v>43</v>
      </c>
      <c r="E70" s="28"/>
      <c r="F70" s="16" t="s">
        <v>518</v>
      </c>
      <c r="I70" s="7" t="s">
        <v>43</v>
      </c>
      <c r="J70" s="28"/>
      <c r="K70" s="16" t="s">
        <v>518</v>
      </c>
      <c r="P70" s="334"/>
      <c r="Q70" s="334"/>
    </row>
    <row r="71" spans="1:17" outlineLevel="2" x14ac:dyDescent="0.35">
      <c r="A71" s="333">
        <f t="shared" si="2"/>
        <v>71</v>
      </c>
      <c r="D71" s="3" t="s">
        <v>43</v>
      </c>
      <c r="E71" s="28"/>
      <c r="F71" s="1" t="s">
        <v>41</v>
      </c>
      <c r="I71" s="3" t="s">
        <v>43</v>
      </c>
      <c r="J71" s="28"/>
      <c r="K71" s="1" t="s">
        <v>41</v>
      </c>
      <c r="P71" s="334"/>
      <c r="Q71" s="334"/>
    </row>
    <row r="72" spans="1:17" outlineLevel="2" x14ac:dyDescent="0.35">
      <c r="A72" s="333">
        <f t="shared" si="2"/>
        <v>72</v>
      </c>
      <c r="D72" s="371" t="s">
        <v>194</v>
      </c>
      <c r="E72" s="357"/>
      <c r="F72" s="1" t="s">
        <v>62</v>
      </c>
      <c r="I72" s="371" t="s">
        <v>194</v>
      </c>
      <c r="J72" s="357"/>
      <c r="K72" s="1" t="s">
        <v>62</v>
      </c>
      <c r="P72" s="334"/>
      <c r="Q72" s="334"/>
    </row>
    <row r="73" spans="1:17" outlineLevel="2" x14ac:dyDescent="0.35">
      <c r="A73" s="333">
        <f t="shared" si="2"/>
        <v>73</v>
      </c>
      <c r="D73" s="372" t="s">
        <v>68</v>
      </c>
      <c r="E73" s="373" t="e">
        <f>+E68/E70/365</f>
        <v>#DIV/0!</v>
      </c>
      <c r="F73" s="1" t="s">
        <v>69</v>
      </c>
      <c r="I73" s="372" t="s">
        <v>68</v>
      </c>
      <c r="J73" s="373" t="e">
        <f>+J68/J70/365</f>
        <v>#DIV/0!</v>
      </c>
      <c r="K73" s="1" t="s">
        <v>69</v>
      </c>
      <c r="P73" s="334"/>
      <c r="Q73" s="334"/>
    </row>
    <row r="74" spans="1:17" outlineLevel="2" x14ac:dyDescent="0.35">
      <c r="A74" s="333">
        <f t="shared" si="2"/>
        <v>74</v>
      </c>
      <c r="D74" s="372" t="s">
        <v>39</v>
      </c>
      <c r="E74" s="373" t="e">
        <f>E68/E71</f>
        <v>#DIV/0!</v>
      </c>
      <c r="I74" s="372" t="s">
        <v>39</v>
      </c>
      <c r="J74" s="373" t="e">
        <f>+J68/J71</f>
        <v>#DIV/0!</v>
      </c>
      <c r="P74" s="334"/>
      <c r="Q74" s="334"/>
    </row>
    <row r="75" spans="1:17" outlineLevel="2" x14ac:dyDescent="0.35">
      <c r="A75" s="333">
        <f t="shared" si="2"/>
        <v>75</v>
      </c>
      <c r="D75" s="14" t="s">
        <v>519</v>
      </c>
      <c r="E75" s="374" t="e">
        <f>+E68/E70</f>
        <v>#DIV/0!</v>
      </c>
      <c r="I75" s="14" t="s">
        <v>519</v>
      </c>
      <c r="J75" s="374" t="e">
        <f>+J68/J70</f>
        <v>#DIV/0!</v>
      </c>
      <c r="P75" s="334"/>
      <c r="Q75" s="334"/>
    </row>
    <row r="76" spans="1:17" outlineLevel="2" x14ac:dyDescent="0.35">
      <c r="A76" s="333">
        <f t="shared" si="2"/>
        <v>76</v>
      </c>
      <c r="P76" s="334"/>
      <c r="Q76" s="334"/>
    </row>
    <row r="77" spans="1:17" outlineLevel="2" x14ac:dyDescent="0.35">
      <c r="A77" s="333">
        <f t="shared" si="2"/>
        <v>77</v>
      </c>
      <c r="C77" s="308" t="s">
        <v>573</v>
      </c>
      <c r="H77" s="308" t="s">
        <v>572</v>
      </c>
      <c r="P77" s="334"/>
      <c r="Q77" s="334"/>
    </row>
    <row r="78" spans="1:17" outlineLevel="2" x14ac:dyDescent="0.35">
      <c r="A78" s="333">
        <f t="shared" si="2"/>
        <v>78</v>
      </c>
      <c r="C78" s="309" t="s">
        <v>565</v>
      </c>
      <c r="H78" s="309" t="s">
        <v>565</v>
      </c>
      <c r="P78" s="334"/>
      <c r="Q78" s="334"/>
    </row>
    <row r="79" spans="1:17" outlineLevel="2" x14ac:dyDescent="0.35">
      <c r="A79" s="333">
        <f t="shared" si="2"/>
        <v>79</v>
      </c>
      <c r="D79" s="1" t="s">
        <v>522</v>
      </c>
      <c r="E79" s="375"/>
      <c r="I79" s="1" t="s">
        <v>522</v>
      </c>
      <c r="J79" s="375"/>
      <c r="P79" s="334"/>
      <c r="Q79" s="334"/>
    </row>
    <row r="80" spans="1:17" outlineLevel="2" x14ac:dyDescent="0.35">
      <c r="A80" s="333">
        <f t="shared" si="2"/>
        <v>80</v>
      </c>
      <c r="I80" s="14" t="s">
        <v>566</v>
      </c>
      <c r="J80" s="28"/>
      <c r="P80" s="334"/>
      <c r="Q80" s="334"/>
    </row>
    <row r="81" spans="1:17" outlineLevel="2" x14ac:dyDescent="0.35">
      <c r="A81" s="333">
        <f t="shared" si="2"/>
        <v>81</v>
      </c>
      <c r="D81" s="1" t="s">
        <v>520</v>
      </c>
      <c r="E81" s="28"/>
      <c r="F81" s="1" t="s">
        <v>59</v>
      </c>
      <c r="I81" s="1" t="s">
        <v>520</v>
      </c>
      <c r="J81" s="28"/>
      <c r="K81" s="1" t="s">
        <v>59</v>
      </c>
      <c r="P81" s="334"/>
      <c r="Q81" s="334"/>
    </row>
    <row r="82" spans="1:17" outlineLevel="2" x14ac:dyDescent="0.35">
      <c r="A82" s="333">
        <f t="shared" si="2"/>
        <v>82</v>
      </c>
      <c r="D82" s="1" t="s">
        <v>521</v>
      </c>
      <c r="E82" s="28"/>
      <c r="F82" s="1" t="s">
        <v>59</v>
      </c>
      <c r="I82" s="1" t="s">
        <v>521</v>
      </c>
      <c r="J82" s="28"/>
      <c r="K82" s="1" t="s">
        <v>59</v>
      </c>
      <c r="P82" s="334"/>
      <c r="Q82" s="334"/>
    </row>
    <row r="83" spans="1:17" outlineLevel="2" x14ac:dyDescent="0.35">
      <c r="A83" s="333">
        <f t="shared" si="2"/>
        <v>83</v>
      </c>
      <c r="D83" s="372" t="s">
        <v>523</v>
      </c>
      <c r="E83" s="376"/>
      <c r="I83" s="372" t="s">
        <v>523</v>
      </c>
      <c r="J83" s="376"/>
      <c r="P83" s="334"/>
      <c r="Q83" s="334"/>
    </row>
    <row r="84" spans="1:17" outlineLevel="2" x14ac:dyDescent="0.35">
      <c r="A84" s="333">
        <f t="shared" si="2"/>
        <v>84</v>
      </c>
      <c r="D84" s="372" t="s">
        <v>66</v>
      </c>
      <c r="E84" s="377"/>
      <c r="F84" s="1" t="s">
        <v>67</v>
      </c>
      <c r="I84" s="372" t="s">
        <v>66</v>
      </c>
      <c r="J84" s="377"/>
      <c r="K84" s="1" t="s">
        <v>67</v>
      </c>
      <c r="P84" s="334"/>
      <c r="Q84" s="334"/>
    </row>
    <row r="85" spans="1:17" outlineLevel="2" x14ac:dyDescent="0.35">
      <c r="A85" s="333">
        <f t="shared" si="2"/>
        <v>85</v>
      </c>
      <c r="D85" s="378"/>
      <c r="E85" s="3"/>
      <c r="F85" s="379"/>
      <c r="G85" s="16"/>
      <c r="H85" s="16"/>
      <c r="I85" s="16"/>
      <c r="J85" s="7"/>
      <c r="K85" s="379"/>
      <c r="P85" s="334"/>
      <c r="Q85" s="334"/>
    </row>
    <row r="86" spans="1:17" x14ac:dyDescent="0.35">
      <c r="A86" s="333">
        <f t="shared" si="2"/>
        <v>86</v>
      </c>
      <c r="B86" s="348" t="s">
        <v>70</v>
      </c>
      <c r="C86" s="348"/>
      <c r="D86" s="348"/>
      <c r="E86" s="348"/>
      <c r="F86" s="348"/>
      <c r="G86" s="348"/>
      <c r="H86" s="349"/>
      <c r="I86" s="349"/>
      <c r="J86" s="349"/>
      <c r="K86" s="349"/>
      <c r="L86" s="349"/>
      <c r="M86" s="349"/>
      <c r="N86" s="350"/>
      <c r="O86" s="350"/>
      <c r="P86" s="334"/>
      <c r="Q86" s="334"/>
    </row>
    <row r="87" spans="1:17" outlineLevel="1" x14ac:dyDescent="0.35">
      <c r="A87" s="333">
        <f t="shared" si="2"/>
        <v>87</v>
      </c>
      <c r="B87" s="8"/>
      <c r="C87" s="354" t="s">
        <v>71</v>
      </c>
      <c r="D87" s="17"/>
      <c r="E87" s="8"/>
      <c r="F87" s="380"/>
      <c r="G87" s="380"/>
      <c r="H87" s="368"/>
      <c r="I87" s="368"/>
      <c r="J87" s="368"/>
      <c r="K87" s="368"/>
      <c r="L87" s="368"/>
      <c r="M87" s="368"/>
      <c r="N87" s="369"/>
      <c r="O87" s="369"/>
      <c r="P87" s="334"/>
      <c r="Q87" s="334"/>
    </row>
    <row r="88" spans="1:17" outlineLevel="1" x14ac:dyDescent="0.35">
      <c r="A88" s="333">
        <f t="shared" si="2"/>
        <v>88</v>
      </c>
      <c r="B88" s="380"/>
      <c r="D88" s="380"/>
      <c r="E88" s="380"/>
      <c r="F88" s="380"/>
      <c r="G88" s="380"/>
      <c r="H88" s="368"/>
      <c r="I88" s="368"/>
      <c r="J88" s="368"/>
      <c r="K88" s="368"/>
      <c r="L88" s="368"/>
      <c r="M88" s="368"/>
      <c r="N88" s="369"/>
      <c r="O88" s="369"/>
      <c r="P88" s="334"/>
      <c r="Q88" s="334"/>
    </row>
    <row r="89" spans="1:17" outlineLevel="1" x14ac:dyDescent="0.35">
      <c r="A89" s="333">
        <f t="shared" si="2"/>
        <v>89</v>
      </c>
      <c r="B89" s="380"/>
      <c r="C89" s="354"/>
      <c r="D89" s="380"/>
      <c r="E89" s="380"/>
      <c r="F89" s="380"/>
      <c r="G89" s="381" t="s">
        <v>72</v>
      </c>
      <c r="H89" s="382"/>
      <c r="I89" s="368"/>
      <c r="J89" s="368"/>
      <c r="K89" s="368"/>
      <c r="L89" s="368"/>
      <c r="M89" s="368"/>
      <c r="N89" s="369"/>
      <c r="O89" s="369"/>
      <c r="P89" s="334"/>
    </row>
    <row r="90" spans="1:17" outlineLevel="1" x14ac:dyDescent="0.35">
      <c r="A90" s="333">
        <f t="shared" si="2"/>
        <v>90</v>
      </c>
      <c r="B90" s="380"/>
      <c r="C90" s="354" t="s">
        <v>661</v>
      </c>
      <c r="D90" s="380"/>
      <c r="E90" s="380"/>
      <c r="F90" s="380"/>
      <c r="G90" s="381" t="s">
        <v>73</v>
      </c>
      <c r="H90" s="383"/>
      <c r="I90" s="368"/>
      <c r="J90" s="368"/>
      <c r="K90" s="368"/>
      <c r="L90" s="368"/>
      <c r="M90" s="368"/>
      <c r="N90" s="369"/>
      <c r="O90" s="369"/>
      <c r="P90" s="334"/>
    </row>
    <row r="91" spans="1:17" outlineLevel="1" x14ac:dyDescent="0.35">
      <c r="A91" s="333">
        <f t="shared" si="2"/>
        <v>91</v>
      </c>
      <c r="P91" s="334"/>
    </row>
    <row r="92" spans="1:17" outlineLevel="1" x14ac:dyDescent="0.35">
      <c r="A92" s="333">
        <f t="shared" si="2"/>
        <v>92</v>
      </c>
      <c r="D92" s="29" t="s">
        <v>74</v>
      </c>
      <c r="G92" s="30"/>
      <c r="H92" s="31"/>
      <c r="I92" s="29" t="s">
        <v>75</v>
      </c>
      <c r="P92" s="334"/>
    </row>
    <row r="93" spans="1:17" outlineLevel="1" x14ac:dyDescent="0.35">
      <c r="A93" s="333">
        <f t="shared" si="2"/>
        <v>93</v>
      </c>
      <c r="D93" s="371"/>
      <c r="G93" s="30"/>
      <c r="H93" s="31"/>
      <c r="P93" s="334"/>
    </row>
    <row r="94" spans="1:17" outlineLevel="1" x14ac:dyDescent="0.35">
      <c r="A94" s="333">
        <f t="shared" si="2"/>
        <v>94</v>
      </c>
      <c r="D94" s="372" t="s">
        <v>63</v>
      </c>
      <c r="E94" s="28"/>
      <c r="F94" s="1" t="s">
        <v>64</v>
      </c>
      <c r="G94" s="30"/>
      <c r="I94" s="3" t="s">
        <v>40</v>
      </c>
      <c r="J94" s="28"/>
      <c r="K94" s="1" t="s">
        <v>41</v>
      </c>
      <c r="M94" s="10"/>
      <c r="P94" s="334"/>
    </row>
    <row r="95" spans="1:17" ht="18" customHeight="1" outlineLevel="1" x14ac:dyDescent="0.35">
      <c r="A95" s="333">
        <f t="shared" si="2"/>
        <v>95</v>
      </c>
      <c r="D95" s="3"/>
      <c r="E95" s="3"/>
      <c r="G95" s="30"/>
      <c r="I95" s="3"/>
      <c r="M95" s="10"/>
      <c r="P95" s="334"/>
    </row>
    <row r="96" spans="1:17" outlineLevel="1" x14ac:dyDescent="0.35">
      <c r="A96" s="333">
        <f t="shared" si="2"/>
        <v>96</v>
      </c>
      <c r="D96" s="14" t="s">
        <v>519</v>
      </c>
      <c r="E96" s="28"/>
      <c r="F96" s="1" t="s">
        <v>655</v>
      </c>
      <c r="G96" s="30"/>
      <c r="I96" s="14" t="s">
        <v>519</v>
      </c>
      <c r="J96" s="28"/>
      <c r="K96" s="16" t="s">
        <v>518</v>
      </c>
      <c r="M96" s="10"/>
      <c r="P96" s="334"/>
    </row>
    <row r="97" spans="1:17 16382:16382" outlineLevel="1" x14ac:dyDescent="0.35">
      <c r="A97" s="333">
        <f t="shared" si="2"/>
        <v>97</v>
      </c>
      <c r="D97" s="372" t="s">
        <v>660</v>
      </c>
      <c r="E97" s="397"/>
      <c r="F97" s="1" t="s">
        <v>69</v>
      </c>
      <c r="G97" s="30"/>
      <c r="I97" s="372" t="s">
        <v>660</v>
      </c>
      <c r="J97" s="397"/>
      <c r="K97" s="1" t="s">
        <v>41</v>
      </c>
      <c r="P97" s="334"/>
    </row>
    <row r="98" spans="1:17 16382:16382" outlineLevel="1" x14ac:dyDescent="0.35">
      <c r="A98" s="333">
        <f t="shared" si="2"/>
        <v>98</v>
      </c>
      <c r="D98" s="371" t="s">
        <v>194</v>
      </c>
      <c r="E98" s="357"/>
      <c r="F98" s="1" t="s">
        <v>62</v>
      </c>
      <c r="G98" s="30"/>
      <c r="I98" s="371" t="s">
        <v>194</v>
      </c>
      <c r="J98" s="357"/>
      <c r="K98" s="1" t="s">
        <v>62</v>
      </c>
      <c r="P98" s="334"/>
    </row>
    <row r="99" spans="1:17 16382:16382" outlineLevel="1" x14ac:dyDescent="0.35">
      <c r="A99" s="333">
        <f t="shared" si="2"/>
        <v>99</v>
      </c>
      <c r="D99" s="372" t="s">
        <v>76</v>
      </c>
      <c r="E99" s="357"/>
      <c r="F99" s="1" t="s">
        <v>77</v>
      </c>
      <c r="G99" s="30"/>
      <c r="I99" s="372" t="s">
        <v>76</v>
      </c>
      <c r="J99" s="357"/>
      <c r="K99" s="1" t="s">
        <v>77</v>
      </c>
      <c r="P99" s="334"/>
    </row>
    <row r="100" spans="1:17 16382:16382" outlineLevel="1" x14ac:dyDescent="0.35">
      <c r="A100" s="333">
        <f t="shared" si="2"/>
        <v>100</v>
      </c>
      <c r="D100" s="372"/>
      <c r="E100" s="372"/>
      <c r="F100" s="372"/>
      <c r="G100" s="30"/>
      <c r="P100" s="334"/>
    </row>
    <row r="101" spans="1:17 16382:16382" outlineLevel="1" x14ac:dyDescent="0.35">
      <c r="A101" s="333">
        <f t="shared" si="2"/>
        <v>101</v>
      </c>
      <c r="C101" s="10"/>
      <c r="D101" s="14" t="s">
        <v>551</v>
      </c>
      <c r="E101" s="393" t="e">
        <f>+E99/E94</f>
        <v>#DIV/0!</v>
      </c>
      <c r="F101" s="372"/>
      <c r="G101" s="30"/>
      <c r="I101" s="14" t="s">
        <v>551</v>
      </c>
      <c r="J101" s="393" t="e">
        <f>+J99/J94</f>
        <v>#DIV/0!</v>
      </c>
      <c r="P101" s="334"/>
    </row>
    <row r="102" spans="1:17 16382:16382" outlineLevel="1" x14ac:dyDescent="0.35">
      <c r="A102" s="333">
        <f t="shared" si="2"/>
        <v>102</v>
      </c>
      <c r="D102" s="372"/>
      <c r="G102" s="30"/>
      <c r="P102" s="334"/>
    </row>
    <row r="103" spans="1:17 16382:16382" outlineLevel="1" x14ac:dyDescent="0.35">
      <c r="A103" s="333">
        <f t="shared" si="2"/>
        <v>103</v>
      </c>
      <c r="G103" s="30"/>
      <c r="P103" s="334"/>
    </row>
    <row r="104" spans="1:17 16382:16382" outlineLevel="1" x14ac:dyDescent="0.35">
      <c r="A104" s="333">
        <f t="shared" si="2"/>
        <v>104</v>
      </c>
      <c r="D104" s="308" t="s">
        <v>563</v>
      </c>
      <c r="G104" s="30"/>
      <c r="P104" s="334"/>
    </row>
    <row r="105" spans="1:17 16382:16382" outlineLevel="1" x14ac:dyDescent="0.35">
      <c r="A105" s="333">
        <f t="shared" si="2"/>
        <v>105</v>
      </c>
      <c r="C105" s="309" t="s">
        <v>564</v>
      </c>
      <c r="D105" s="308"/>
      <c r="G105" s="30"/>
      <c r="I105" s="308" t="s">
        <v>568</v>
      </c>
      <c r="P105" s="334"/>
    </row>
    <row r="106" spans="1:17 16382:16382" outlineLevel="2" x14ac:dyDescent="0.35">
      <c r="A106" s="333">
        <f t="shared" si="2"/>
        <v>106</v>
      </c>
      <c r="B106" s="309"/>
      <c r="G106" s="30"/>
      <c r="H106" s="1" t="s">
        <v>564</v>
      </c>
      <c r="P106" s="334"/>
      <c r="Q106" s="334"/>
    </row>
    <row r="107" spans="1:17 16382:16382" outlineLevel="1" x14ac:dyDescent="0.35">
      <c r="A107" s="333">
        <f t="shared" si="2"/>
        <v>107</v>
      </c>
      <c r="D107" s="1" t="s">
        <v>522</v>
      </c>
      <c r="E107" s="375"/>
      <c r="G107" s="30"/>
      <c r="I107" s="1" t="s">
        <v>522</v>
      </c>
      <c r="J107" s="375"/>
      <c r="P107" s="334"/>
      <c r="XFB107" s="1"/>
    </row>
    <row r="108" spans="1:17 16382:16382" outlineLevel="1" x14ac:dyDescent="0.35">
      <c r="A108" s="333">
        <f t="shared" si="2"/>
        <v>108</v>
      </c>
      <c r="G108" s="30"/>
      <c r="I108" s="14" t="s">
        <v>566</v>
      </c>
      <c r="J108" s="28"/>
      <c r="P108" s="334"/>
      <c r="XFB108" s="1"/>
    </row>
    <row r="109" spans="1:17 16382:16382" outlineLevel="1" x14ac:dyDescent="0.35">
      <c r="A109" s="333">
        <f t="shared" si="2"/>
        <v>109</v>
      </c>
      <c r="D109" s="1" t="s">
        <v>520</v>
      </c>
      <c r="E109" s="28"/>
      <c r="F109" s="1" t="s">
        <v>59</v>
      </c>
      <c r="G109" s="30"/>
      <c r="I109" s="1" t="s">
        <v>520</v>
      </c>
      <c r="J109" s="28"/>
      <c r="K109" s="1" t="s">
        <v>59</v>
      </c>
      <c r="P109" s="334"/>
    </row>
    <row r="110" spans="1:17 16382:16382" outlineLevel="1" x14ac:dyDescent="0.35">
      <c r="A110" s="333">
        <f t="shared" si="2"/>
        <v>110</v>
      </c>
      <c r="D110" s="1" t="s">
        <v>521</v>
      </c>
      <c r="E110" s="28"/>
      <c r="F110" s="1" t="s">
        <v>59</v>
      </c>
      <c r="G110" s="30"/>
      <c r="I110" s="1" t="s">
        <v>521</v>
      </c>
      <c r="J110" s="28"/>
      <c r="K110" s="1" t="s">
        <v>59</v>
      </c>
      <c r="P110" s="334"/>
    </row>
    <row r="111" spans="1:17 16382:16382" ht="15" customHeight="1" outlineLevel="1" x14ac:dyDescent="0.35">
      <c r="A111" s="333">
        <f t="shared" si="2"/>
        <v>111</v>
      </c>
      <c r="G111" s="30"/>
      <c r="P111" s="334"/>
    </row>
    <row r="112" spans="1:17 16382:16382" ht="15" customHeight="1" outlineLevel="1" x14ac:dyDescent="0.35">
      <c r="A112" s="333">
        <f t="shared" si="2"/>
        <v>112</v>
      </c>
      <c r="C112" s="10"/>
      <c r="D112" s="384" t="s">
        <v>540</v>
      </c>
      <c r="E112" s="1" t="s">
        <v>67</v>
      </c>
      <c r="G112" s="30"/>
      <c r="I112" s="384" t="s">
        <v>540</v>
      </c>
      <c r="J112" s="1" t="s">
        <v>67</v>
      </c>
      <c r="P112" s="334"/>
    </row>
    <row r="113" spans="1:16" outlineLevel="1" x14ac:dyDescent="0.35">
      <c r="A113" s="333">
        <f t="shared" si="2"/>
        <v>113</v>
      </c>
      <c r="D113" s="372" t="s">
        <v>78</v>
      </c>
      <c r="E113" s="385"/>
      <c r="G113" s="30"/>
      <c r="I113" s="372" t="s">
        <v>78</v>
      </c>
      <c r="J113" s="385"/>
      <c r="P113" s="334"/>
    </row>
    <row r="114" spans="1:16" outlineLevel="1" x14ac:dyDescent="0.35">
      <c r="A114" s="333">
        <f t="shared" si="2"/>
        <v>114</v>
      </c>
      <c r="D114" s="14" t="s">
        <v>79</v>
      </c>
      <c r="E114" s="385"/>
      <c r="G114" s="30"/>
      <c r="I114" s="14" t="s">
        <v>79</v>
      </c>
      <c r="J114" s="385"/>
      <c r="P114" s="334"/>
    </row>
    <row r="115" spans="1:16" outlineLevel="1" x14ac:dyDescent="0.35">
      <c r="A115" s="333">
        <f t="shared" si="2"/>
        <v>115</v>
      </c>
      <c r="D115" s="14" t="s">
        <v>80</v>
      </c>
      <c r="E115" s="385"/>
      <c r="G115" s="30"/>
      <c r="I115" s="14" t="s">
        <v>80</v>
      </c>
      <c r="J115" s="385"/>
      <c r="P115" s="334"/>
    </row>
    <row r="116" spans="1:16" outlineLevel="1" x14ac:dyDescent="0.35">
      <c r="A116" s="333">
        <f t="shared" si="2"/>
        <v>116</v>
      </c>
      <c r="D116" s="14" t="s">
        <v>81</v>
      </c>
      <c r="E116" s="385"/>
      <c r="G116" s="30"/>
      <c r="I116" s="14" t="s">
        <v>81</v>
      </c>
      <c r="J116" s="385"/>
      <c r="P116" s="334"/>
    </row>
    <row r="117" spans="1:16" outlineLevel="1" x14ac:dyDescent="0.35">
      <c r="A117" s="333">
        <f t="shared" si="2"/>
        <v>117</v>
      </c>
      <c r="D117" s="14" t="s">
        <v>82</v>
      </c>
      <c r="E117" s="385"/>
      <c r="G117" s="30"/>
      <c r="I117" s="14" t="s">
        <v>82</v>
      </c>
      <c r="J117" s="385"/>
      <c r="P117" s="334"/>
    </row>
    <row r="118" spans="1:16" outlineLevel="1" x14ac:dyDescent="0.35">
      <c r="A118" s="333">
        <f t="shared" si="2"/>
        <v>118</v>
      </c>
      <c r="D118" s="14" t="s">
        <v>83</v>
      </c>
      <c r="E118" s="385"/>
      <c r="G118" s="30"/>
      <c r="H118" s="31"/>
      <c r="I118" s="14" t="s">
        <v>83</v>
      </c>
      <c r="J118" s="385"/>
      <c r="P118" s="334"/>
    </row>
    <row r="119" spans="1:16" outlineLevel="1" x14ac:dyDescent="0.35">
      <c r="A119" s="333">
        <f t="shared" si="2"/>
        <v>119</v>
      </c>
      <c r="G119" s="33"/>
      <c r="P119" s="334"/>
    </row>
    <row r="120" spans="1:16" outlineLevel="1" x14ac:dyDescent="0.35">
      <c r="A120" s="333">
        <f t="shared" si="2"/>
        <v>120</v>
      </c>
      <c r="C120" s="2"/>
      <c r="D120" s="386" t="s">
        <v>84</v>
      </c>
      <c r="E120" s="387" t="str">
        <f>IFERROR(E94/(E94+E68),"")</f>
        <v/>
      </c>
      <c r="G120" s="33"/>
      <c r="I120" s="386" t="s">
        <v>85</v>
      </c>
      <c r="J120" s="387" t="str">
        <f>IFERROR(J94/(J94+J68),"")</f>
        <v/>
      </c>
      <c r="M120" s="16"/>
      <c r="N120" s="1"/>
      <c r="P120" s="334"/>
    </row>
    <row r="121" spans="1:16" outlineLevel="1" x14ac:dyDescent="0.35">
      <c r="A121" s="333">
        <f t="shared" si="2"/>
        <v>121</v>
      </c>
      <c r="D121" s="386" t="s">
        <v>86</v>
      </c>
      <c r="E121" s="388" t="str">
        <f>IF(E120="","",1-E120)</f>
        <v/>
      </c>
      <c r="G121" s="33"/>
      <c r="I121" s="386" t="s">
        <v>87</v>
      </c>
      <c r="J121" s="388" t="str">
        <f>IF(J120="","",1-J120)</f>
        <v/>
      </c>
      <c r="M121" s="16"/>
      <c r="N121" s="1"/>
      <c r="P121" s="334"/>
    </row>
    <row r="122" spans="1:16" outlineLevel="1" x14ac:dyDescent="0.35">
      <c r="A122" s="333">
        <f t="shared" si="2"/>
        <v>122</v>
      </c>
      <c r="G122" s="33"/>
      <c r="M122" s="16"/>
      <c r="N122" s="1"/>
      <c r="P122" s="334"/>
    </row>
    <row r="123" spans="1:16" outlineLevel="1" x14ac:dyDescent="0.35">
      <c r="A123" s="333">
        <f t="shared" si="2"/>
        <v>123</v>
      </c>
      <c r="E123" s="378"/>
      <c r="F123" s="16"/>
      <c r="G123" s="16"/>
      <c r="J123" s="378"/>
      <c r="K123" s="16"/>
      <c r="L123" s="378"/>
      <c r="M123" s="16"/>
      <c r="N123" s="1"/>
      <c r="P123" s="334"/>
    </row>
    <row r="124" spans="1:16" x14ac:dyDescent="0.35">
      <c r="A124" s="333">
        <f t="shared" si="2"/>
        <v>124</v>
      </c>
      <c r="C124" s="403" t="s">
        <v>552</v>
      </c>
      <c r="D124" s="403"/>
      <c r="E124" s="403"/>
      <c r="F124" s="403"/>
      <c r="G124" s="403"/>
      <c r="H124" s="403"/>
      <c r="I124" s="403"/>
      <c r="J124" s="403"/>
      <c r="K124" s="403"/>
      <c r="L124" s="403"/>
      <c r="M124" s="403"/>
      <c r="N124" s="403"/>
      <c r="P124" s="334"/>
    </row>
    <row r="125" spans="1:16" x14ac:dyDescent="0.35">
      <c r="A125" s="333">
        <f t="shared" si="2"/>
        <v>125</v>
      </c>
      <c r="C125" s="401"/>
      <c r="D125" s="401"/>
      <c r="E125" s="401"/>
      <c r="F125" s="401"/>
      <c r="G125" s="401"/>
      <c r="H125" s="401"/>
      <c r="I125" s="401"/>
      <c r="J125" s="401"/>
      <c r="K125" s="401"/>
      <c r="L125" s="401"/>
      <c r="M125" s="401"/>
      <c r="N125" s="401"/>
      <c r="P125" s="334"/>
    </row>
    <row r="126" spans="1:16" x14ac:dyDescent="0.35">
      <c r="A126" s="333">
        <f t="shared" si="2"/>
        <v>126</v>
      </c>
      <c r="C126" s="402"/>
      <c r="D126" s="402"/>
      <c r="E126" s="402"/>
      <c r="F126" s="402"/>
      <c r="G126" s="402"/>
      <c r="H126" s="402"/>
      <c r="I126" s="402"/>
      <c r="J126" s="402"/>
      <c r="K126" s="402"/>
      <c r="L126" s="402"/>
      <c r="M126" s="402"/>
      <c r="N126" s="402"/>
      <c r="P126" s="334"/>
    </row>
    <row r="127" spans="1:16" x14ac:dyDescent="0.35">
      <c r="A127" s="333">
        <f t="shared" si="2"/>
        <v>127</v>
      </c>
      <c r="C127" s="402"/>
      <c r="D127" s="402"/>
      <c r="E127" s="402"/>
      <c r="F127" s="402"/>
      <c r="G127" s="402"/>
      <c r="H127" s="402"/>
      <c r="I127" s="402"/>
      <c r="J127" s="402"/>
      <c r="K127" s="402"/>
      <c r="L127" s="402"/>
      <c r="M127" s="402"/>
      <c r="N127" s="402"/>
      <c r="P127" s="334"/>
    </row>
    <row r="128" spans="1:16" x14ac:dyDescent="0.35">
      <c r="A128" s="333">
        <f t="shared" si="2"/>
        <v>128</v>
      </c>
      <c r="C128" s="402"/>
      <c r="D128" s="402"/>
      <c r="E128" s="402"/>
      <c r="F128" s="402"/>
      <c r="G128" s="402"/>
      <c r="H128" s="402"/>
      <c r="I128" s="402"/>
      <c r="J128" s="402"/>
      <c r="K128" s="402"/>
      <c r="L128" s="402"/>
      <c r="M128" s="402"/>
      <c r="N128" s="402"/>
      <c r="P128" s="334"/>
    </row>
    <row r="129" spans="1:16" x14ac:dyDescent="0.35">
      <c r="A129" s="333">
        <f t="shared" si="2"/>
        <v>129</v>
      </c>
      <c r="C129" s="402"/>
      <c r="D129" s="402"/>
      <c r="E129" s="402"/>
      <c r="F129" s="402"/>
      <c r="G129" s="402"/>
      <c r="H129" s="402"/>
      <c r="I129" s="402"/>
      <c r="J129" s="402"/>
      <c r="K129" s="402"/>
      <c r="L129" s="402"/>
      <c r="M129" s="402"/>
      <c r="N129" s="402"/>
      <c r="P129" s="334"/>
    </row>
    <row r="130" spans="1:16" x14ac:dyDescent="0.35">
      <c r="A130" s="333">
        <f t="shared" si="2"/>
        <v>130</v>
      </c>
      <c r="C130" s="402"/>
      <c r="D130" s="402"/>
      <c r="E130" s="402"/>
      <c r="F130" s="402"/>
      <c r="G130" s="402"/>
      <c r="H130" s="402"/>
      <c r="I130" s="402"/>
      <c r="J130" s="402"/>
      <c r="K130" s="402"/>
      <c r="L130" s="402"/>
      <c r="M130" s="402"/>
      <c r="N130" s="402"/>
      <c r="P130" s="334"/>
    </row>
    <row r="131" spans="1:16" x14ac:dyDescent="0.35">
      <c r="A131" s="333">
        <f t="shared" ref="A131:O135" si="3">+A130+1</f>
        <v>131</v>
      </c>
      <c r="C131" s="402"/>
      <c r="D131" s="402"/>
      <c r="E131" s="402"/>
      <c r="F131" s="402"/>
      <c r="G131" s="402"/>
      <c r="H131" s="402"/>
      <c r="I131" s="402"/>
      <c r="J131" s="402"/>
      <c r="K131" s="402"/>
      <c r="L131" s="402"/>
      <c r="M131" s="402"/>
      <c r="N131" s="402"/>
      <c r="P131" s="334"/>
    </row>
    <row r="132" spans="1:16" x14ac:dyDescent="0.35">
      <c r="A132" s="333">
        <f t="shared" si="3"/>
        <v>132</v>
      </c>
      <c r="C132" s="402"/>
      <c r="D132" s="402"/>
      <c r="E132" s="402"/>
      <c r="F132" s="402"/>
      <c r="G132" s="402"/>
      <c r="H132" s="402"/>
      <c r="I132" s="402"/>
      <c r="J132" s="402"/>
      <c r="K132" s="402"/>
      <c r="L132" s="402"/>
      <c r="M132" s="402"/>
      <c r="N132" s="402"/>
      <c r="P132" s="334"/>
    </row>
    <row r="133" spans="1:16" x14ac:dyDescent="0.35">
      <c r="A133" s="333">
        <f t="shared" si="3"/>
        <v>133</v>
      </c>
      <c r="P133" s="334"/>
    </row>
    <row r="134" spans="1:16" ht="14.5" x14ac:dyDescent="0.35">
      <c r="A134" s="333">
        <f t="shared" si="3"/>
        <v>134</v>
      </c>
      <c r="B134" s="333">
        <f t="shared" si="3"/>
        <v>1</v>
      </c>
      <c r="C134" s="333">
        <f t="shared" si="3"/>
        <v>1</v>
      </c>
      <c r="D134" s="333">
        <f t="shared" si="3"/>
        <v>1</v>
      </c>
      <c r="E134" s="333">
        <f t="shared" si="3"/>
        <v>1</v>
      </c>
      <c r="F134" s="333">
        <f t="shared" si="3"/>
        <v>1</v>
      </c>
      <c r="G134" s="333">
        <f t="shared" si="3"/>
        <v>1</v>
      </c>
      <c r="H134" s="333">
        <f t="shared" si="3"/>
        <v>1</v>
      </c>
      <c r="I134" s="333">
        <f t="shared" si="3"/>
        <v>1</v>
      </c>
      <c r="J134" s="333">
        <f t="shared" si="3"/>
        <v>1</v>
      </c>
      <c r="K134" s="333">
        <f t="shared" si="3"/>
        <v>1</v>
      </c>
      <c r="L134" s="333">
        <f t="shared" si="3"/>
        <v>1</v>
      </c>
      <c r="M134" s="333">
        <f t="shared" si="3"/>
        <v>1</v>
      </c>
      <c r="N134" s="333">
        <f t="shared" si="3"/>
        <v>1</v>
      </c>
      <c r="O134" s="333">
        <f t="shared" si="3"/>
        <v>1</v>
      </c>
      <c r="P134" s="334"/>
    </row>
    <row r="135" spans="1:16" ht="14.5" x14ac:dyDescent="0.35">
      <c r="A135" s="333">
        <f t="shared" si="3"/>
        <v>135</v>
      </c>
      <c r="B135" s="333">
        <f t="shared" si="3"/>
        <v>2</v>
      </c>
      <c r="C135" s="333">
        <f t="shared" si="3"/>
        <v>2</v>
      </c>
      <c r="D135" s="333">
        <f t="shared" si="3"/>
        <v>2</v>
      </c>
      <c r="E135" s="333">
        <f t="shared" si="3"/>
        <v>2</v>
      </c>
      <c r="F135" s="333">
        <f t="shared" si="3"/>
        <v>2</v>
      </c>
      <c r="G135" s="333">
        <f t="shared" si="3"/>
        <v>2</v>
      </c>
      <c r="H135" s="333">
        <f t="shared" si="3"/>
        <v>2</v>
      </c>
      <c r="I135" s="333">
        <f t="shared" si="3"/>
        <v>2</v>
      </c>
      <c r="J135" s="333">
        <f t="shared" si="3"/>
        <v>2</v>
      </c>
      <c r="K135" s="333">
        <f t="shared" si="3"/>
        <v>2</v>
      </c>
      <c r="L135" s="333">
        <f t="shared" si="3"/>
        <v>2</v>
      </c>
      <c r="M135" s="333">
        <f t="shared" si="3"/>
        <v>2</v>
      </c>
      <c r="N135" s="333">
        <f t="shared" si="3"/>
        <v>2</v>
      </c>
      <c r="O135" s="333">
        <f t="shared" si="3"/>
        <v>2</v>
      </c>
      <c r="P135" s="334"/>
    </row>
  </sheetData>
  <sheetProtection sheet="1" objects="1" scenarios="1" selectLockedCells="1"/>
  <protectedRanges>
    <protectedRange sqref="G37" name="Rango1"/>
  </protectedRanges>
  <dataConsolidate/>
  <mergeCells count="6">
    <mergeCell ref="C125:N132"/>
    <mergeCell ref="I5:J5"/>
    <mergeCell ref="M11:O12"/>
    <mergeCell ref="M13:O14"/>
    <mergeCell ref="M15:O16"/>
    <mergeCell ref="C124:N124"/>
  </mergeCells>
  <conditionalFormatting sqref="J12">
    <cfRule type="expression" dxfId="41" priority="3">
      <formula>$J$11&gt;1</formula>
    </cfRule>
  </conditionalFormatting>
  <conditionalFormatting sqref="J14">
    <cfRule type="expression" dxfId="40" priority="2">
      <formula>$J$13&gt;1</formula>
    </cfRule>
  </conditionalFormatting>
  <conditionalFormatting sqref="J16">
    <cfRule type="expression" dxfId="39" priority="1">
      <formula>$J$15&gt;1</formula>
    </cfRule>
  </conditionalFormatting>
  <dataValidations count="62">
    <dataValidation allowBlank="1" showInputMessage="1" showErrorMessage="1" prompt="Aumento diario de peso vivo promedio" sqref="J97 E97"/>
    <dataValidation allowBlank="1" showErrorMessage="1" prompt="Kilos de materia seca ofrecidos en total" sqref="E96 J96"/>
    <dataValidation allowBlank="1" showInputMessage="1" showErrorMessage="1" prompt="Stock medio en terminación: promedio de los valores de stock mensual en kilos totales para el ejercicio." sqref="J71"/>
    <dataValidation allowBlank="1" showInputMessage="1" showErrorMessage="1" prompt="Stock medio en terminación: promedio de los valores de stock mensual en cabezas para el ejercicio." sqref="J70"/>
    <dataValidation allowBlank="1" showInputMessage="1" showErrorMessage="1" prompt="Stock medio en recría: promedio de los valores de stock mensual en kilos totales para el ejercicio." sqref="E71"/>
    <dataValidation allowBlank="1" showInputMessage="1" showErrorMessage="1" prompt="Promedio de los valores de stock mensual en cabezas para el ejercicio (incluye corrales). Los terneros al pie de la madre se deben contabilizar para el cálculo de carga." sqref="E31"/>
    <dataValidation allowBlank="1" showInputMessage="1" showErrorMessage="1" prompt="Promedio de los valores de stock mensual en kg para el ejercicio (incluye corrales). Los terneros al pie de la madre se deben contabilizar como stock para el cálculo de carga." sqref="E32"/>
    <dataValidation allowBlank="1" showInputMessage="1" showErrorMessage="1" prompt="Kilos de materia seca ofrecidos en los corrales de terminación." sqref="J99"/>
    <dataValidation allowBlank="1" showInputMessage="1" showErrorMessage="1" prompt="Kilos de materia seca ofrecidos en los corrales de recría" sqref="E99"/>
    <dataValidation type="list" allowBlank="1" showInputMessage="1" showErrorMessage="1" prompt="Edad promedio al destete '17. Si hubo diferentes destetes, poner una edad promedio. Si merece aclaraciones, anotarlas en observaciones. " sqref="E58">
      <formula1>Destete</formula1>
    </dataValidation>
    <dataValidation type="list" allowBlank="1" showInputMessage="1" showErrorMessage="1" prompt="% de la dieta en MS suplementada" sqref="E84 J84">
      <formula1>supl</formula1>
    </dataValidation>
    <dataValidation allowBlank="1" showInputMessage="1" showErrorMessage="1" prompt="Tiempo promedio de la terminación. Si hay distintos lotes/rodeos, poner la duración ponderada." sqref="J72 J98"/>
    <dataValidation allowBlank="1" showInputMessage="1" showErrorMessage="1" prompt="Tiempo promedio de la recría. Si hay distintos lotes/rodeos, poner la duración ponderada." sqref="E72 E98"/>
    <dataValidation allowBlank="1" showInputMessage="1" showErrorMessage="1" prompt="Si la empresa tiene más de un establecimiento, llenar una planilla por cada campo." sqref="D6"/>
    <dataValidation allowBlank="1" showInputMessage="1" showErrorMessage="1" prompt="Superficie en en ganadería con aptitud agrícola (clase I a IV) propias y alquiladas." sqref="J20"/>
    <dataValidation type="list" allowBlank="1" showInputMessage="1" showErrorMessage="1" sqref="J80 J108">
      <formula1>sino</formula1>
    </dataValidation>
    <dataValidation type="list" allowBlank="1" showInputMessage="1" showErrorMessage="1" sqref="E115:E118 E113 J115:J118 J113">
      <formula1>Dieta</formula1>
    </dataValidation>
    <dataValidation type="list" allowBlank="1" showInputMessage="1" showErrorMessage="1" sqref="E114 J114">
      <formula1>CC</formula1>
    </dataValidation>
    <dataValidation allowBlank="1" showInputMessage="1" showErrorMessage="1" prompt="Stock medio en recría: promedio de los valores de stock mensual en cabezas para el ejercicio." sqref="E70"/>
    <dataValidation type="list" allowBlank="1" showInputMessage="1" showErrorMessage="1" sqref="E82 E110">
      <formula1>PSR</formula1>
    </dataValidation>
    <dataValidation type="list" allowBlank="1" showInputMessage="1" showErrorMessage="1" sqref="E81 E109">
      <formula1>PER</formula1>
    </dataValidation>
    <dataValidation type="list" allowBlank="1" showInputMessage="1" showErrorMessage="1" sqref="J82 J110">
      <formula1>PST</formula1>
    </dataValidation>
    <dataValidation type="list" allowBlank="1" showInputMessage="1" showErrorMessage="1" sqref="J81 J109">
      <formula1>PET</formula1>
    </dataValidation>
    <dataValidation type="list" allowBlank="1" showInputMessage="1" showErrorMessage="1" sqref="E79 J79 J107 E107">
      <formula1>MH</formula1>
    </dataValidation>
    <dataValidation allowBlank="1" showInputMessage="1" showErrorMessage="1" prompt="Ingrese un valor estimativo promedio de venta de la hectárea donde está realizando la ganadería." sqref="J21"/>
    <dataValidation allowBlank="1" showInputMessage="1" showErrorMessage="1" prompt="Capacidad máxima instantanea" sqref="H89"/>
    <dataValidation type="list" allowBlank="1" showInputMessage="1" showErrorMessage="1" prompt="Servicio '15_x000a_" sqref="I57">
      <formula1>fechaservicio</formula1>
    </dataValidation>
    <dataValidation allowBlank="1" showInputMessage="1" showErrorMessage="1" prompt="Peso medio de destete '17" sqref="E57"/>
    <dataValidation allowBlank="1" showInputMessage="1" showErrorMessage="1" prompt="% de vacas inseminadas en la campaña vacas Inseminadas/Vacas en Servicio)" sqref="J52"/>
    <dataValidation allowBlank="1" showInputMessage="1" showErrorMessage="1" prompt="% de vaquillonas inseminadas en la campaña (Vaquillona Inseminadas/Vaquillonas en Servicio)" sqref="J54"/>
    <dataValidation type="list" allowBlank="1" showInputMessage="1" showErrorMessage="1" sqref="J53">
      <formula1>edadservicio</formula1>
    </dataValidation>
    <dataValidation type="list" allowBlank="1" showInputMessage="1" showErrorMessage="1" prompt="Región donde se encuentra el establecimiento, independientemente del CREA al que pertenezca el establecimiento." sqref="F6">
      <formula1>Crea</formula1>
    </dataValidation>
    <dataValidation type="list" allowBlank="1" showErrorMessage="1" sqref="E61:I61">
      <formula1>cruz</formula1>
    </dataValidation>
    <dataValidation allowBlank="1" showInputMessage="1" showErrorMessage="1" prompt="Vacas preñadas 17´sobre vacas entoradas servicio 16´" sqref="E41"/>
    <dataValidation allowBlank="1" showInputMessage="1" showErrorMessage="1" prompt="Este indicador no debe ser tenido en cuenta en producciones a corral" sqref="J27 J29"/>
    <dataValidation allowBlank="1" showInputMessage="1" showErrorMessage="1" prompt="Incluye vacas y vaquillonas" sqref="E54:E55"/>
    <dataValidation allowBlank="1" showInputMessage="1" showErrorMessage="1" prompt="Ponderar en función de la cantidad de tiempo que se le dedica a la ganadería. Se tiene en cuenta el personal de maquinaria que le presta un servicio a la ganadería." sqref="E33 H90"/>
    <dataValidation allowBlank="1" showInputMessage="1" showErrorMessage="1" prompt="Stock bovino al 1 de julio 2016 (todo lo que está en el establecimiento)" sqref="E26"/>
    <dataValidation allowBlank="1" showInputMessage="1" showErrorMessage="1" prompt="Superficie de monte productivos de la unidad de producción" sqref="E16"/>
    <dataValidation allowBlank="1" showInputMessage="1" showErrorMessage="1" prompt="Superfice sembrada con verdeos de invierno tal cual. En la celda contigua se calculará las has asignadas a dicho recurso según las Normas CREA." sqref="J11"/>
    <dataValidation allowBlank="1" showInputMessage="1" showErrorMessage="1" prompt="Superficie de praderas perennes ya implantadas" sqref="E17"/>
    <dataValidation allowBlank="1" showInputMessage="1" showErrorMessage="1" prompt="Superficie de campo natural de la unidad de producción" sqref="E15"/>
    <dataValidation allowBlank="1" showInputMessage="1" showErrorMessage="1" prompt="Nro de cabezas muertas/cabezas ingresadas" sqref="E30"/>
    <dataValidation allowBlank="1" showInputMessage="1" showErrorMessage="1" prompt="Cantidad de Vaquillonas de 1 en servicio en 2016" sqref="E46"/>
    <dataValidation allowBlank="1" showInputMessage="1" showErrorMessage="1" prompt="Producción de carne (kg totales) = SALIDAS (kg vendidos,  traslados, consumo del eto.) - ENTRADAS (kg por compra o traslados de otras procedencias) + DIF. INVENTARIO (en Kg)" sqref="E28 J68 E68 E94 J94"/>
    <dataValidation allowBlank="1" showInputMessage="1" showErrorMessage="1" prompt="Stock bovino al 30 de junio 2017 (todo lo que está en el establecimiento)" sqref="E27"/>
    <dataValidation allowBlank="1" showInputMessage="1" showErrorMessage="1" prompt="Praderas implantadas en la campaña en análisis." sqref="E18"/>
    <dataValidation type="list" allowBlank="1" showInputMessage="1" showErrorMessage="1" sqref="G6">
      <formula1>MP</formula1>
    </dataValidation>
    <dataValidation allowBlank="1" showInputMessage="1" showErrorMessage="1" prompt="Superficie de suelo de la unidad de producción en agricultura, propias y alquiladas." sqref="E12"/>
    <dataValidation allowBlank="1" showInputMessage="1" showErrorMessage="1" prompt="Superficie del establecimiento en producción." sqref="E11"/>
    <dataValidation allowBlank="1" showInputMessage="1" showErrorMessage="1" prompt="Superfice sembrada (tal cual) con verdeos de verano para consumo fresco o diferido. En la celda contigua se calculará las has asignadas a dicho recurso según las Normas CREA." sqref="J13"/>
    <dataValidation allowBlank="1" showInputMessage="1" showErrorMessage="1" prompt="Superfice de rastrojos pastoreados. En la celda contigua se calculará las has asignadas a dicho recurso según las Normas CREA." sqref="J15"/>
    <dataValidation allowBlank="1" showErrorMessage="1" sqref="J19"/>
    <dataValidation allowBlank="1" showErrorMessage="1" prompt="Superficie de monte productivos del establecimiento" sqref="J16"/>
    <dataValidation allowBlank="1" showInputMessage="1" showErrorMessage="1" prompt="Terneros destetados 17´sobre vientres entorados en servicio´15" sqref="E52"/>
    <dataValidation allowBlank="1" showInputMessage="1" showErrorMessage="1" prompt="Vacas y vaquillonas preñadas sobre vientres entoradas en servicio 15´" sqref="E53"/>
    <dataValidation allowBlank="1" showInputMessage="1" showErrorMessage="1" prompt="Vaquillonas de 1° servicio preñadas 17´/ vaquillonas de 1° s. entoradas en 16´" sqref="E45"/>
    <dataValidation type="list" allowBlank="1" showInputMessage="1" showErrorMessage="1" sqref="J83 E83">
      <formula1>RRFF</formula1>
    </dataValidation>
    <dataValidation allowBlank="1" showInputMessage="1" showErrorMessage="1" prompt="Tiempo desde la primer labor del verdeo hasta cambio de uso del lote (no sólo tiempo que fue pastoreado)." sqref="J12"/>
    <dataValidation allowBlank="1" showInputMessage="1" showErrorMessage="1" prompt="Tiempo desde la primer labor del verdeo/diferido hasta cambio de uso del lote (no sólo tiempo que fue pastoreado)." sqref="J14"/>
    <dataValidation type="list" allowBlank="1" showInputMessage="1" showErrorMessage="1" prompt="Servicio '15" sqref="I58">
      <formula1>fechaservicio</formula1>
    </dataValidation>
    <dataValidation type="list" allowBlank="1" showInputMessage="1" showErrorMessage="1" prompt="Servicio '15" sqref="J57:J58">
      <formula1>duracion</formula1>
    </dataValidation>
  </dataValidations>
  <hyperlinks>
    <hyperlink ref="G95" location="'1 (prop.sup)'!F115" display="Ir a cálculo desbaste"/>
    <hyperlink ref="G95:G96" location="'1'!D118" display="Ir a cálculo desbaste"/>
    <hyperlink ref="L95:L96" location="'1'!D118" display="Ir a cálculo desbaste"/>
    <hyperlink ref="L95" location="'1 (prop.sup)'!F115" display="Ir a cálculo desbaste"/>
  </hyperlinks>
  <pageMargins left="0.25" right="0.25" top="0.75" bottom="0.75" header="0.3" footer="0.3"/>
  <pageSetup paperSize="9" scale="48" fitToHeight="0" orientation="portrait" verticalDpi="599" r:id="rId1"/>
  <rowBreaks count="1" manualBreakCount="1">
    <brk id="60" min="1" max="12"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B135"/>
  <sheetViews>
    <sheetView showGridLines="0" zoomScale="90" zoomScaleNormal="90" workbookViewId="0">
      <pane xSplit="1" ySplit="1" topLeftCell="B3" activePane="bottomRight" state="frozen"/>
      <selection activeCell="B21" sqref="B21"/>
      <selection pane="topRight" activeCell="B21" sqref="B21"/>
      <selection pane="bottomLeft" activeCell="B21" sqref="B21"/>
      <selection pane="bottomRight" activeCell="C6" sqref="C6"/>
    </sheetView>
  </sheetViews>
  <sheetFormatPr baseColWidth="10" defaultColWidth="0" defaultRowHeight="15.5" customHeight="1" zeroHeight="1" outlineLevelRow="2" x14ac:dyDescent="0.35"/>
  <cols>
    <col min="1" max="1" width="5" style="330" customWidth="1"/>
    <col min="2" max="2" width="11.81640625" style="1" customWidth="1"/>
    <col min="3" max="3" width="16" style="1" customWidth="1"/>
    <col min="4" max="4" width="18.54296875" style="1" customWidth="1"/>
    <col min="5" max="6" width="14.54296875" style="1" customWidth="1"/>
    <col min="7" max="7" width="12.1796875" style="1" customWidth="1"/>
    <col min="8" max="8" width="16.26953125" style="1" customWidth="1"/>
    <col min="9" max="10" width="14.54296875" style="1" customWidth="1"/>
    <col min="11" max="12" width="13.453125" style="1" customWidth="1"/>
    <col min="13" max="13" width="14.54296875" style="1" customWidth="1"/>
    <col min="14" max="15" width="11.453125" style="69" customWidth="1"/>
    <col min="16" max="16" width="5.54296875" style="69" customWidth="1"/>
    <col min="17" max="17" width="11.453125" style="69" hidden="1"/>
    <col min="18" max="16382" width="0" style="69" hidden="1"/>
    <col min="16383" max="16384" width="11.453125" style="69" hidden="1"/>
  </cols>
  <sheetData>
    <row r="1" spans="1:17" s="333" customFormat="1" ht="14.5" x14ac:dyDescent="0.35">
      <c r="A1" s="333">
        <v>1</v>
      </c>
      <c r="B1" s="333">
        <f t="shared" ref="B1:P1" si="0">+A1+1</f>
        <v>2</v>
      </c>
      <c r="C1" s="333">
        <f t="shared" si="0"/>
        <v>3</v>
      </c>
      <c r="D1" s="333">
        <f t="shared" si="0"/>
        <v>4</v>
      </c>
      <c r="E1" s="333">
        <f t="shared" si="0"/>
        <v>5</v>
      </c>
      <c r="F1" s="333">
        <f t="shared" si="0"/>
        <v>6</v>
      </c>
      <c r="G1" s="333">
        <f t="shared" si="0"/>
        <v>7</v>
      </c>
      <c r="H1" s="333">
        <f t="shared" si="0"/>
        <v>8</v>
      </c>
      <c r="I1" s="333">
        <f t="shared" si="0"/>
        <v>9</v>
      </c>
      <c r="J1" s="333">
        <f t="shared" si="0"/>
        <v>10</v>
      </c>
      <c r="K1" s="333">
        <f t="shared" si="0"/>
        <v>11</v>
      </c>
      <c r="L1" s="333">
        <f t="shared" si="0"/>
        <v>12</v>
      </c>
      <c r="M1" s="333">
        <f t="shared" si="0"/>
        <v>13</v>
      </c>
      <c r="N1" s="333">
        <f t="shared" si="0"/>
        <v>14</v>
      </c>
      <c r="O1" s="333">
        <f t="shared" si="0"/>
        <v>15</v>
      </c>
      <c r="P1" s="333">
        <f t="shared" si="0"/>
        <v>16</v>
      </c>
    </row>
    <row r="2" spans="1:17" x14ac:dyDescent="0.35">
      <c r="A2" s="333">
        <f>+A1+1</f>
        <v>2</v>
      </c>
      <c r="P2" s="334"/>
      <c r="Q2" s="334"/>
    </row>
    <row r="3" spans="1:17" x14ac:dyDescent="0.35">
      <c r="A3" s="333">
        <f t="shared" ref="A3:A66" si="1">+A2+1</f>
        <v>3</v>
      </c>
      <c r="B3" s="335" t="s">
        <v>0</v>
      </c>
      <c r="C3" s="336"/>
      <c r="D3" s="58"/>
      <c r="E3" s="302"/>
      <c r="F3" s="337" t="s">
        <v>1</v>
      </c>
      <c r="G3" s="58"/>
      <c r="H3" s="303"/>
      <c r="I3" s="337" t="s">
        <v>2</v>
      </c>
      <c r="J3" s="58"/>
      <c r="K3" s="58"/>
      <c r="L3" s="336"/>
      <c r="M3" s="336"/>
      <c r="N3" s="338"/>
      <c r="O3" s="339"/>
      <c r="P3" s="334"/>
      <c r="Q3" s="334"/>
    </row>
    <row r="4" spans="1:17" x14ac:dyDescent="0.35">
      <c r="A4" s="333">
        <f t="shared" si="1"/>
        <v>4</v>
      </c>
      <c r="B4" s="340"/>
      <c r="C4" s="340"/>
      <c r="E4" s="336"/>
      <c r="F4" s="336"/>
      <c r="G4" s="336"/>
      <c r="H4" s="336"/>
      <c r="I4" s="336"/>
      <c r="J4" s="336"/>
      <c r="K4" s="336"/>
      <c r="L4" s="336"/>
      <c r="M4" s="336"/>
      <c r="N4" s="338"/>
      <c r="O4" s="338"/>
      <c r="P4" s="334"/>
      <c r="Q4" s="334"/>
    </row>
    <row r="5" spans="1:17" ht="29" x14ac:dyDescent="0.35">
      <c r="A5" s="333">
        <f t="shared" si="1"/>
        <v>5</v>
      </c>
      <c r="B5" s="341" t="s">
        <v>3</v>
      </c>
      <c r="C5" s="342" t="s">
        <v>4</v>
      </c>
      <c r="D5" s="341" t="s">
        <v>5</v>
      </c>
      <c r="E5" s="342" t="s">
        <v>6</v>
      </c>
      <c r="F5" s="342" t="s">
        <v>7</v>
      </c>
      <c r="G5" s="343" t="s">
        <v>8</v>
      </c>
      <c r="H5" s="344" t="s">
        <v>9</v>
      </c>
      <c r="I5" s="404" t="s">
        <v>10</v>
      </c>
      <c r="J5" s="405"/>
      <c r="N5" s="345"/>
      <c r="P5" s="334"/>
      <c r="Q5" s="334"/>
    </row>
    <row r="6" spans="1:17" x14ac:dyDescent="0.35">
      <c r="A6" s="333">
        <f t="shared" si="1"/>
        <v>6</v>
      </c>
      <c r="B6" s="310" t="s">
        <v>649</v>
      </c>
      <c r="C6" s="346"/>
      <c r="D6" s="346"/>
      <c r="E6" s="347"/>
      <c r="F6" s="346"/>
      <c r="G6" s="347"/>
      <c r="H6" s="347"/>
      <c r="I6" s="347"/>
      <c r="J6" s="347"/>
      <c r="N6" s="338"/>
      <c r="O6" s="338"/>
      <c r="P6" s="334"/>
      <c r="Q6" s="334"/>
    </row>
    <row r="7" spans="1:17" x14ac:dyDescent="0.35">
      <c r="A7" s="333">
        <f t="shared" si="1"/>
        <v>7</v>
      </c>
      <c r="P7" s="334"/>
      <c r="Q7" s="334"/>
    </row>
    <row r="8" spans="1:17" x14ac:dyDescent="0.35">
      <c r="A8" s="333">
        <f t="shared" si="1"/>
        <v>8</v>
      </c>
      <c r="B8" s="348" t="s">
        <v>13</v>
      </c>
      <c r="C8" s="348"/>
      <c r="D8" s="348"/>
      <c r="E8" s="348"/>
      <c r="F8" s="348"/>
      <c r="G8" s="348"/>
      <c r="H8" s="349"/>
      <c r="I8" s="349"/>
      <c r="J8" s="349"/>
      <c r="K8" s="349"/>
      <c r="L8" s="349"/>
      <c r="M8" s="349"/>
      <c r="N8" s="350"/>
      <c r="O8" s="350"/>
      <c r="P8" s="334"/>
      <c r="Q8" s="334"/>
    </row>
    <row r="9" spans="1:17" x14ac:dyDescent="0.35">
      <c r="A9" s="333">
        <f t="shared" si="1"/>
        <v>9</v>
      </c>
      <c r="P9" s="334"/>
      <c r="Q9" s="334"/>
    </row>
    <row r="10" spans="1:17" x14ac:dyDescent="0.35">
      <c r="A10" s="333">
        <f t="shared" si="1"/>
        <v>10</v>
      </c>
      <c r="C10" s="2"/>
      <c r="D10" s="2" t="s">
        <v>14</v>
      </c>
      <c r="G10" s="2"/>
      <c r="I10" s="56" t="s">
        <v>17</v>
      </c>
      <c r="J10" s="69"/>
      <c r="K10" s="69"/>
      <c r="L10" s="2" t="s">
        <v>18</v>
      </c>
      <c r="M10" s="4"/>
      <c r="P10" s="334"/>
      <c r="Q10" s="334"/>
    </row>
    <row r="11" spans="1:17" ht="18" customHeight="1" x14ac:dyDescent="0.35">
      <c r="A11" s="333">
        <f t="shared" si="1"/>
        <v>11</v>
      </c>
      <c r="D11" s="3" t="s">
        <v>15</v>
      </c>
      <c r="E11" s="28"/>
      <c r="F11" s="1" t="s">
        <v>16</v>
      </c>
      <c r="I11" s="3" t="s">
        <v>19</v>
      </c>
      <c r="J11" s="28"/>
      <c r="K11" s="1" t="s">
        <v>16</v>
      </c>
      <c r="L11" s="5" t="str">
        <f>IF(J11*J12/12=0,"",J11*J12/12)</f>
        <v/>
      </c>
      <c r="M11" s="406" t="s">
        <v>656</v>
      </c>
      <c r="N11" s="406"/>
      <c r="O11" s="406"/>
      <c r="P11" s="334"/>
      <c r="Q11" s="334"/>
    </row>
    <row r="12" spans="1:17" x14ac:dyDescent="0.35">
      <c r="A12" s="333">
        <f t="shared" si="1"/>
        <v>12</v>
      </c>
      <c r="D12" s="3" t="s">
        <v>514</v>
      </c>
      <c r="E12" s="28"/>
      <c r="F12" s="1" t="s">
        <v>16</v>
      </c>
      <c r="I12" s="3" t="str">
        <f>+IF(J11&gt;1,"Tiempo ocupado por verdeo de invierno","")</f>
        <v/>
      </c>
      <c r="J12" s="351"/>
      <c r="K12" s="6" t="str">
        <f>+IF($J$11&gt;1,"meses","")</f>
        <v/>
      </c>
      <c r="L12" s="69"/>
      <c r="M12" s="406"/>
      <c r="N12" s="406"/>
      <c r="O12" s="406"/>
      <c r="P12" s="334"/>
      <c r="Q12" s="334"/>
    </row>
    <row r="13" spans="1:17" ht="18" customHeight="1" x14ac:dyDescent="0.35">
      <c r="A13" s="333">
        <f t="shared" si="1"/>
        <v>13</v>
      </c>
      <c r="I13" s="3" t="s">
        <v>22</v>
      </c>
      <c r="J13" s="28"/>
      <c r="K13" s="1" t="s">
        <v>16</v>
      </c>
      <c r="L13" s="5" t="str">
        <f>IF(J13*J14/12=0,"",J13*J14/12)</f>
        <v/>
      </c>
      <c r="M13" s="406" t="s">
        <v>657</v>
      </c>
      <c r="N13" s="406"/>
      <c r="O13" s="406"/>
      <c r="P13" s="334"/>
      <c r="Q13" s="334"/>
    </row>
    <row r="14" spans="1:17" x14ac:dyDescent="0.35">
      <c r="A14" s="333">
        <f t="shared" si="1"/>
        <v>14</v>
      </c>
      <c r="C14" s="2"/>
      <c r="D14" s="2" t="s">
        <v>21</v>
      </c>
      <c r="I14" s="3" t="str">
        <f>+IF(J13&gt;1,"Tiempo ocupado por verdeo de verano y diferido","")</f>
        <v/>
      </c>
      <c r="J14" s="351"/>
      <c r="K14" s="6" t="str">
        <f>+IF($J$13&gt;1,"meses","")</f>
        <v/>
      </c>
      <c r="L14" s="69"/>
      <c r="M14" s="406"/>
      <c r="N14" s="406"/>
      <c r="O14" s="406"/>
      <c r="P14" s="334"/>
      <c r="Q14" s="334"/>
    </row>
    <row r="15" spans="1:17" ht="18" customHeight="1" x14ac:dyDescent="0.35">
      <c r="A15" s="333">
        <f t="shared" si="1"/>
        <v>15</v>
      </c>
      <c r="D15" s="3" t="s">
        <v>24</v>
      </c>
      <c r="E15" s="28"/>
      <c r="F15" s="1" t="s">
        <v>16</v>
      </c>
      <c r="I15" s="3" t="s">
        <v>26</v>
      </c>
      <c r="J15" s="28"/>
      <c r="K15" s="1" t="s">
        <v>16</v>
      </c>
      <c r="L15" s="5" t="str">
        <f>IF(J15*J16/12=0,"",J15*J16/12)</f>
        <v/>
      </c>
      <c r="M15" s="406" t="s">
        <v>658</v>
      </c>
      <c r="N15" s="406"/>
      <c r="O15" s="406"/>
      <c r="P15" s="334"/>
      <c r="Q15" s="334"/>
    </row>
    <row r="16" spans="1:17" x14ac:dyDescent="0.35">
      <c r="A16" s="333">
        <f t="shared" si="1"/>
        <v>16</v>
      </c>
      <c r="B16" s="8"/>
      <c r="D16" s="7" t="s">
        <v>25</v>
      </c>
      <c r="E16" s="28"/>
      <c r="F16" s="1" t="s">
        <v>16</v>
      </c>
      <c r="I16" s="3" t="str">
        <f>+IF(J15&gt;1,"Tiempo de ocupación de rastrojos y otros  ","")</f>
        <v/>
      </c>
      <c r="J16" s="351"/>
      <c r="K16" s="6" t="str">
        <f>+IF($J$15&gt;1,"meses","")</f>
        <v/>
      </c>
      <c r="L16" s="69"/>
      <c r="M16" s="406"/>
      <c r="N16" s="406"/>
      <c r="O16" s="406"/>
      <c r="P16" s="334"/>
      <c r="Q16" s="334"/>
    </row>
    <row r="17" spans="1:17" x14ac:dyDescent="0.35">
      <c r="A17" s="333">
        <f t="shared" si="1"/>
        <v>17</v>
      </c>
      <c r="D17" s="3" t="s">
        <v>28</v>
      </c>
      <c r="E17" s="28"/>
      <c r="F17" s="1" t="s">
        <v>16</v>
      </c>
      <c r="M17" s="396"/>
      <c r="N17" s="352"/>
      <c r="O17" s="352"/>
      <c r="P17" s="334"/>
      <c r="Q17" s="334"/>
    </row>
    <row r="18" spans="1:17" x14ac:dyDescent="0.35">
      <c r="A18" s="333">
        <f t="shared" si="1"/>
        <v>18</v>
      </c>
      <c r="D18" s="3" t="s">
        <v>29</v>
      </c>
      <c r="E18" s="28"/>
      <c r="F18" s="1" t="s">
        <v>16</v>
      </c>
      <c r="G18" s="10"/>
      <c r="H18" s="11"/>
      <c r="I18" s="57" t="s">
        <v>30</v>
      </c>
      <c r="J18" s="10"/>
      <c r="K18" s="10"/>
      <c r="P18" s="334"/>
      <c r="Q18" s="334"/>
    </row>
    <row r="19" spans="1:17" x14ac:dyDescent="0.35">
      <c r="A19" s="333">
        <f t="shared" si="1"/>
        <v>19</v>
      </c>
      <c r="C19" s="1" t="s">
        <v>9</v>
      </c>
      <c r="D19" s="329"/>
      <c r="E19" s="329"/>
      <c r="F19" s="1" t="s">
        <v>16</v>
      </c>
      <c r="G19" s="10"/>
      <c r="H19" s="10"/>
      <c r="I19" s="7" t="s">
        <v>31</v>
      </c>
      <c r="J19" s="12">
        <f>+SUM(E15:E20,L11,L13,L15)</f>
        <v>0</v>
      </c>
      <c r="K19" s="10" t="s">
        <v>16</v>
      </c>
      <c r="P19" s="334"/>
      <c r="Q19" s="334"/>
    </row>
    <row r="20" spans="1:17" x14ac:dyDescent="0.35">
      <c r="A20" s="333">
        <f t="shared" si="1"/>
        <v>20</v>
      </c>
      <c r="C20" s="1" t="s">
        <v>9</v>
      </c>
      <c r="D20" s="329"/>
      <c r="E20" s="329"/>
      <c r="F20" s="1" t="s">
        <v>16</v>
      </c>
      <c r="G20" s="10"/>
      <c r="H20" s="10"/>
      <c r="I20" s="3" t="s">
        <v>575</v>
      </c>
      <c r="J20" s="353"/>
      <c r="K20" s="3"/>
      <c r="L20" s="8"/>
      <c r="P20" s="334"/>
      <c r="Q20" s="334"/>
    </row>
    <row r="21" spans="1:17" x14ac:dyDescent="0.35">
      <c r="A21" s="333">
        <f t="shared" si="1"/>
        <v>21</v>
      </c>
      <c r="H21" s="311"/>
      <c r="I21" s="7" t="s">
        <v>517</v>
      </c>
      <c r="J21" s="28"/>
      <c r="K21" s="331" t="s">
        <v>515</v>
      </c>
      <c r="L21" s="8"/>
      <c r="P21" s="334"/>
      <c r="Q21" s="334"/>
    </row>
    <row r="22" spans="1:17" x14ac:dyDescent="0.35">
      <c r="A22" s="333">
        <f t="shared" si="1"/>
        <v>22</v>
      </c>
      <c r="G22" s="10"/>
      <c r="H22" s="10"/>
      <c r="I22" s="3"/>
      <c r="J22" s="3"/>
      <c r="K22" s="3"/>
      <c r="L22" s="8"/>
      <c r="P22" s="334"/>
      <c r="Q22" s="334"/>
    </row>
    <row r="23" spans="1:17" x14ac:dyDescent="0.35">
      <c r="A23" s="333">
        <f t="shared" si="1"/>
        <v>23</v>
      </c>
      <c r="G23" s="10"/>
      <c r="H23" s="10"/>
      <c r="I23" s="3"/>
      <c r="J23" s="3"/>
      <c r="K23" s="3"/>
      <c r="L23" s="8"/>
      <c r="P23" s="334"/>
      <c r="Q23" s="334"/>
    </row>
    <row r="24" spans="1:17" x14ac:dyDescent="0.35">
      <c r="A24" s="333">
        <f t="shared" si="1"/>
        <v>24</v>
      </c>
      <c r="B24" s="348" t="s">
        <v>32</v>
      </c>
      <c r="C24" s="348"/>
      <c r="D24" s="348"/>
      <c r="E24" s="348"/>
      <c r="F24" s="348"/>
      <c r="G24" s="348"/>
      <c r="H24" s="349"/>
      <c r="I24" s="349"/>
      <c r="J24" s="349"/>
      <c r="K24" s="349"/>
      <c r="L24" s="349"/>
      <c r="M24" s="349"/>
      <c r="N24" s="350"/>
      <c r="O24" s="350"/>
      <c r="P24" s="334"/>
      <c r="Q24" s="334"/>
    </row>
    <row r="25" spans="1:17" x14ac:dyDescent="0.35">
      <c r="A25" s="333">
        <f t="shared" si="1"/>
        <v>25</v>
      </c>
      <c r="O25" s="13"/>
      <c r="P25" s="334"/>
      <c r="Q25" s="334"/>
    </row>
    <row r="26" spans="1:17" x14ac:dyDescent="0.35">
      <c r="A26" s="333">
        <f t="shared" si="1"/>
        <v>26</v>
      </c>
      <c r="D26" s="3" t="s">
        <v>33</v>
      </c>
      <c r="E26" s="28"/>
      <c r="F26" s="1" t="s">
        <v>34</v>
      </c>
      <c r="J26" s="354" t="s">
        <v>35</v>
      </c>
      <c r="K26" s="69"/>
      <c r="P26" s="334"/>
      <c r="Q26" s="334"/>
    </row>
    <row r="27" spans="1:17" x14ac:dyDescent="0.35">
      <c r="A27" s="333">
        <f t="shared" si="1"/>
        <v>27</v>
      </c>
      <c r="D27" s="3" t="s">
        <v>36</v>
      </c>
      <c r="E27" s="28"/>
      <c r="F27" s="1" t="s">
        <v>34</v>
      </c>
      <c r="J27" s="67" t="str">
        <f>+IFERROR(E28/J19,"")</f>
        <v/>
      </c>
      <c r="K27" s="1" t="s">
        <v>187</v>
      </c>
      <c r="P27" s="334"/>
      <c r="Q27" s="334"/>
    </row>
    <row r="28" spans="1:17" x14ac:dyDescent="0.35">
      <c r="A28" s="333">
        <f t="shared" si="1"/>
        <v>28</v>
      </c>
      <c r="D28" s="3" t="s">
        <v>40</v>
      </c>
      <c r="E28" s="28"/>
      <c r="F28" s="1" t="s">
        <v>41</v>
      </c>
      <c r="J28" s="68" t="str">
        <f>+IFERROR(E28/(E31),"")</f>
        <v/>
      </c>
      <c r="K28" s="1" t="s">
        <v>516</v>
      </c>
      <c r="P28" s="334"/>
      <c r="Q28" s="334"/>
    </row>
    <row r="29" spans="1:17" x14ac:dyDescent="0.35">
      <c r="A29" s="333">
        <f t="shared" si="1"/>
        <v>29</v>
      </c>
      <c r="J29" s="68" t="str">
        <f>+IFERROR(E32/J19,"")</f>
        <v/>
      </c>
      <c r="K29" s="15" t="s">
        <v>186</v>
      </c>
      <c r="P29" s="334"/>
      <c r="Q29" s="334"/>
    </row>
    <row r="30" spans="1:17" x14ac:dyDescent="0.35">
      <c r="A30" s="333">
        <f t="shared" si="1"/>
        <v>30</v>
      </c>
      <c r="D30" s="3" t="s">
        <v>37</v>
      </c>
      <c r="E30" s="353"/>
      <c r="F30" s="1" t="s">
        <v>38</v>
      </c>
      <c r="J30" s="355" t="str">
        <f>+IFERROR(E28/E32,"")</f>
        <v/>
      </c>
      <c r="K30" s="6" t="s">
        <v>39</v>
      </c>
      <c r="P30" s="334"/>
      <c r="Q30" s="334"/>
    </row>
    <row r="31" spans="1:17" x14ac:dyDescent="0.35">
      <c r="A31" s="333">
        <f t="shared" si="1"/>
        <v>31</v>
      </c>
      <c r="D31" s="7" t="s">
        <v>43</v>
      </c>
      <c r="E31" s="28"/>
      <c r="F31" s="16" t="s">
        <v>518</v>
      </c>
      <c r="J31" s="356" t="str">
        <f>+IFERROR(E28/E33,"")</f>
        <v/>
      </c>
      <c r="K31" s="15" t="s">
        <v>42</v>
      </c>
      <c r="P31" s="334"/>
      <c r="Q31" s="334"/>
    </row>
    <row r="32" spans="1:17" x14ac:dyDescent="0.35">
      <c r="A32" s="333">
        <f t="shared" si="1"/>
        <v>32</v>
      </c>
      <c r="D32" s="3" t="s">
        <v>43</v>
      </c>
      <c r="E32" s="28"/>
      <c r="F32" s="1" t="s">
        <v>41</v>
      </c>
      <c r="M32" s="69"/>
      <c r="P32" s="334"/>
      <c r="Q32" s="334"/>
    </row>
    <row r="33" spans="1:17" ht="17.25" customHeight="1" x14ac:dyDescent="0.35">
      <c r="A33" s="333">
        <f t="shared" si="1"/>
        <v>33</v>
      </c>
      <c r="D33" s="14" t="s">
        <v>44</v>
      </c>
      <c r="E33" s="390"/>
      <c r="M33" s="69"/>
      <c r="P33" s="334"/>
      <c r="Q33" s="334"/>
    </row>
    <row r="34" spans="1:17" x14ac:dyDescent="0.35">
      <c r="A34" s="333">
        <f t="shared" si="1"/>
        <v>34</v>
      </c>
      <c r="P34" s="334"/>
      <c r="Q34" s="334"/>
    </row>
    <row r="35" spans="1:17" x14ac:dyDescent="0.35">
      <c r="A35" s="333">
        <f t="shared" si="1"/>
        <v>35</v>
      </c>
      <c r="B35" s="348" t="s">
        <v>45</v>
      </c>
      <c r="C35" s="348"/>
      <c r="D35" s="348"/>
      <c r="E35" s="348"/>
      <c r="F35" s="348"/>
      <c r="G35" s="348"/>
      <c r="H35" s="349"/>
      <c r="I35" s="349"/>
      <c r="J35" s="349"/>
      <c r="K35" s="349"/>
      <c r="L35" s="349"/>
      <c r="M35" s="349"/>
      <c r="N35" s="350"/>
      <c r="O35" s="350"/>
      <c r="P35" s="334"/>
      <c r="Q35" s="334"/>
    </row>
    <row r="36" spans="1:17" outlineLevel="1" x14ac:dyDescent="0.35">
      <c r="A36" s="333">
        <f t="shared" si="1"/>
        <v>36</v>
      </c>
      <c r="B36" s="8"/>
      <c r="C36" s="8"/>
      <c r="D36" s="17"/>
      <c r="E36" s="8"/>
      <c r="P36" s="334"/>
      <c r="Q36" s="334"/>
    </row>
    <row r="37" spans="1:17" outlineLevel="1" x14ac:dyDescent="0.35">
      <c r="A37" s="333">
        <f t="shared" si="1"/>
        <v>37</v>
      </c>
      <c r="G37" s="358">
        <v>2015</v>
      </c>
      <c r="H37" s="358">
        <f>+G37+1</f>
        <v>2016</v>
      </c>
      <c r="I37" s="358">
        <f>+H37+1</f>
        <v>2017</v>
      </c>
      <c r="P37" s="334"/>
      <c r="Q37" s="334"/>
    </row>
    <row r="38" spans="1:17" outlineLevel="1" x14ac:dyDescent="0.35">
      <c r="A38" s="333">
        <f t="shared" si="1"/>
        <v>38</v>
      </c>
      <c r="G38" s="359" t="s">
        <v>46</v>
      </c>
      <c r="H38" s="360" t="s">
        <v>47</v>
      </c>
      <c r="I38" s="361" t="s">
        <v>48</v>
      </c>
      <c r="P38" s="334"/>
      <c r="Q38" s="334"/>
    </row>
    <row r="39" spans="1:17" outlineLevel="1" x14ac:dyDescent="0.35">
      <c r="A39" s="333">
        <f t="shared" si="1"/>
        <v>39</v>
      </c>
      <c r="G39" s="362"/>
      <c r="H39" s="363" t="s">
        <v>46</v>
      </c>
      <c r="I39" s="364" t="s">
        <v>47</v>
      </c>
      <c r="M39" s="18"/>
      <c r="N39" s="79"/>
      <c r="P39" s="334"/>
      <c r="Q39" s="334"/>
    </row>
    <row r="40" spans="1:17" outlineLevel="1" x14ac:dyDescent="0.35">
      <c r="A40" s="333">
        <f t="shared" si="1"/>
        <v>40</v>
      </c>
      <c r="C40" s="19" t="s">
        <v>49</v>
      </c>
      <c r="D40" s="16"/>
      <c r="P40" s="334"/>
      <c r="Q40" s="334"/>
    </row>
    <row r="41" spans="1:17" outlineLevel="1" x14ac:dyDescent="0.35">
      <c r="A41" s="333">
        <f t="shared" si="1"/>
        <v>41</v>
      </c>
      <c r="C41" s="16"/>
      <c r="D41" s="7" t="s">
        <v>632</v>
      </c>
      <c r="E41" s="391"/>
      <c r="F41" s="1" t="s">
        <v>38</v>
      </c>
      <c r="N41" s="1"/>
      <c r="O41" s="1"/>
      <c r="P41" s="334"/>
      <c r="Q41" s="334"/>
    </row>
    <row r="42" spans="1:17" outlineLevel="1" x14ac:dyDescent="0.35">
      <c r="A42" s="333">
        <f t="shared" si="1"/>
        <v>42</v>
      </c>
      <c r="C42" s="16"/>
      <c r="D42" s="7" t="s">
        <v>633</v>
      </c>
      <c r="E42" s="28"/>
      <c r="F42" s="1" t="s">
        <v>34</v>
      </c>
      <c r="N42" s="1"/>
      <c r="O42" s="1"/>
      <c r="P42" s="334"/>
      <c r="Q42" s="334"/>
    </row>
    <row r="43" spans="1:17" outlineLevel="1" x14ac:dyDescent="0.35">
      <c r="A43" s="333">
        <f t="shared" si="1"/>
        <v>43</v>
      </c>
      <c r="C43" s="20"/>
      <c r="D43" s="20"/>
      <c r="E43" s="21"/>
      <c r="F43" s="21"/>
      <c r="G43" s="21"/>
      <c r="H43" s="21"/>
      <c r="I43" s="21"/>
      <c r="J43" s="21"/>
      <c r="K43" s="21"/>
      <c r="L43" s="21"/>
      <c r="M43" s="21"/>
      <c r="N43" s="21"/>
      <c r="O43" s="1"/>
      <c r="P43" s="334"/>
      <c r="Q43" s="334"/>
    </row>
    <row r="44" spans="1:17" outlineLevel="1" x14ac:dyDescent="0.35">
      <c r="A44" s="333">
        <f t="shared" si="1"/>
        <v>44</v>
      </c>
      <c r="C44" s="19" t="s">
        <v>50</v>
      </c>
      <c r="K44" s="22"/>
      <c r="N44" s="1"/>
      <c r="O44" s="1"/>
      <c r="P44" s="334"/>
      <c r="Q44" s="334"/>
    </row>
    <row r="45" spans="1:17" outlineLevel="1" x14ac:dyDescent="0.35">
      <c r="A45" s="333">
        <f t="shared" si="1"/>
        <v>45</v>
      </c>
      <c r="C45" s="19"/>
      <c r="D45" s="3" t="s">
        <v>634</v>
      </c>
      <c r="E45" s="391"/>
      <c r="F45" s="1" t="s">
        <v>38</v>
      </c>
      <c r="N45" s="1"/>
      <c r="O45" s="1"/>
      <c r="P45" s="334"/>
      <c r="Q45" s="334"/>
    </row>
    <row r="46" spans="1:17" outlineLevel="1" x14ac:dyDescent="0.35">
      <c r="A46" s="333">
        <f t="shared" si="1"/>
        <v>46</v>
      </c>
      <c r="D46" s="3" t="s">
        <v>635</v>
      </c>
      <c r="E46" s="28"/>
      <c r="F46" s="1" t="s">
        <v>34</v>
      </c>
      <c r="N46" s="1"/>
      <c r="O46" s="1"/>
      <c r="P46" s="334"/>
      <c r="Q46" s="334"/>
    </row>
    <row r="47" spans="1:17" outlineLevel="1" x14ac:dyDescent="0.35">
      <c r="A47" s="333">
        <f t="shared" si="1"/>
        <v>47</v>
      </c>
      <c r="C47" s="21"/>
      <c r="D47" s="23"/>
      <c r="E47" s="23"/>
      <c r="F47" s="23"/>
      <c r="G47" s="23"/>
      <c r="H47" s="23"/>
      <c r="I47" s="23"/>
      <c r="J47" s="21"/>
      <c r="K47" s="21"/>
      <c r="L47" s="21"/>
      <c r="M47" s="21"/>
      <c r="N47" s="21"/>
      <c r="O47" s="1"/>
      <c r="P47" s="334"/>
      <c r="Q47" s="334"/>
    </row>
    <row r="48" spans="1:17" outlineLevel="1" x14ac:dyDescent="0.35">
      <c r="A48" s="333">
        <f t="shared" si="1"/>
        <v>48</v>
      </c>
      <c r="C48" s="2" t="s">
        <v>636</v>
      </c>
      <c r="D48" s="3"/>
      <c r="E48" s="3"/>
      <c r="F48" s="3"/>
      <c r="G48" s="3"/>
      <c r="H48" s="3"/>
      <c r="I48" s="3"/>
      <c r="J48" s="3"/>
      <c r="K48" s="3"/>
      <c r="N48" s="1"/>
      <c r="O48" s="1"/>
      <c r="P48" s="334"/>
      <c r="Q48" s="334"/>
    </row>
    <row r="49" spans="1:17" outlineLevel="1" x14ac:dyDescent="0.35">
      <c r="A49" s="333">
        <f t="shared" si="1"/>
        <v>49</v>
      </c>
      <c r="C49" s="2"/>
      <c r="D49" s="7" t="s">
        <v>637</v>
      </c>
      <c r="E49" s="392" t="str">
        <f>IF(E41*E42=0,"",IF(E45*E46=0,"",(E41*(E42/(E42+E46)))+(E45*(E46/(E46+E42)))))</f>
        <v/>
      </c>
      <c r="F49" s="6"/>
      <c r="G49" s="3"/>
      <c r="H49" s="3"/>
      <c r="I49" s="3"/>
      <c r="J49" s="3"/>
      <c r="K49" s="3"/>
      <c r="P49" s="334"/>
      <c r="Q49" s="334"/>
    </row>
    <row r="50" spans="1:17" outlineLevel="1" x14ac:dyDescent="0.35">
      <c r="A50" s="333">
        <f t="shared" si="1"/>
        <v>50</v>
      </c>
      <c r="C50" s="2"/>
      <c r="D50" s="7"/>
      <c r="E50" s="7"/>
      <c r="F50" s="3"/>
      <c r="G50" s="3"/>
      <c r="H50" s="3"/>
      <c r="I50" s="3"/>
      <c r="J50" s="21"/>
      <c r="K50" s="21"/>
      <c r="L50" s="21"/>
      <c r="M50" s="21"/>
      <c r="N50" s="21"/>
      <c r="O50" s="3"/>
      <c r="P50" s="334"/>
      <c r="Q50" s="334"/>
    </row>
    <row r="51" spans="1:17" outlineLevel="1" x14ac:dyDescent="0.35">
      <c r="A51" s="333">
        <f t="shared" si="1"/>
        <v>51</v>
      </c>
      <c r="C51" s="24" t="s">
        <v>512</v>
      </c>
      <c r="D51" s="25"/>
      <c r="E51" s="25"/>
      <c r="F51" s="26"/>
      <c r="G51" s="26"/>
      <c r="H51" s="26"/>
      <c r="I51" s="26"/>
      <c r="J51" s="26"/>
      <c r="K51" s="26"/>
      <c r="P51" s="334"/>
      <c r="Q51" s="334"/>
    </row>
    <row r="52" spans="1:17" outlineLevel="1" x14ac:dyDescent="0.35">
      <c r="A52" s="333">
        <f t="shared" si="1"/>
        <v>52</v>
      </c>
      <c r="C52" s="2"/>
      <c r="D52" s="7" t="s">
        <v>639</v>
      </c>
      <c r="E52" s="391"/>
      <c r="F52" s="1" t="s">
        <v>38</v>
      </c>
      <c r="G52" s="3"/>
      <c r="I52" s="3" t="s">
        <v>638</v>
      </c>
      <c r="J52" s="353"/>
      <c r="K52" s="1" t="s">
        <v>38</v>
      </c>
      <c r="P52" s="334"/>
      <c r="Q52" s="334"/>
    </row>
    <row r="53" spans="1:17" outlineLevel="1" x14ac:dyDescent="0.35">
      <c r="A53" s="333">
        <f t="shared" si="1"/>
        <v>53</v>
      </c>
      <c r="C53" s="16"/>
      <c r="D53" s="7" t="s">
        <v>640</v>
      </c>
      <c r="E53" s="391"/>
      <c r="F53" s="1" t="s">
        <v>38</v>
      </c>
      <c r="G53" s="8" t="str">
        <f>+IF(E53="","",IF(E52&gt;E53,"ERROR! No puede ser el destete mayor a la preñez",""))</f>
        <v/>
      </c>
      <c r="I53" s="14" t="s">
        <v>51</v>
      </c>
      <c r="J53" s="365"/>
      <c r="K53" s="1" t="s">
        <v>52</v>
      </c>
      <c r="P53" s="334"/>
      <c r="Q53" s="334"/>
    </row>
    <row r="54" spans="1:17" outlineLevel="1" x14ac:dyDescent="0.35">
      <c r="A54" s="333">
        <f t="shared" si="1"/>
        <v>54</v>
      </c>
      <c r="C54" s="16"/>
      <c r="D54" s="7" t="s">
        <v>643</v>
      </c>
      <c r="E54" s="367"/>
      <c r="H54" s="3"/>
      <c r="I54" s="3" t="s">
        <v>642</v>
      </c>
      <c r="J54" s="353"/>
      <c r="K54" s="1" t="s">
        <v>38</v>
      </c>
      <c r="P54" s="334"/>
      <c r="Q54" s="334"/>
    </row>
    <row r="55" spans="1:17" outlineLevel="1" x14ac:dyDescent="0.35">
      <c r="A55" s="333">
        <f t="shared" si="1"/>
        <v>55</v>
      </c>
      <c r="C55" s="16"/>
      <c r="D55" s="7" t="s">
        <v>641</v>
      </c>
      <c r="E55" s="367"/>
      <c r="F55" s="1" t="s">
        <v>34</v>
      </c>
      <c r="H55" s="3"/>
      <c r="P55" s="334"/>
      <c r="Q55" s="334"/>
    </row>
    <row r="56" spans="1:17" outlineLevel="1" x14ac:dyDescent="0.35">
      <c r="A56" s="333">
        <f t="shared" si="1"/>
        <v>56</v>
      </c>
      <c r="I56" s="2" t="s">
        <v>645</v>
      </c>
      <c r="J56" s="2" t="s">
        <v>646</v>
      </c>
      <c r="P56" s="334"/>
      <c r="Q56" s="334"/>
    </row>
    <row r="57" spans="1:17" outlineLevel="1" x14ac:dyDescent="0.35">
      <c r="A57" s="333">
        <f t="shared" si="1"/>
        <v>57</v>
      </c>
      <c r="D57" s="3" t="s">
        <v>58</v>
      </c>
      <c r="E57" s="28"/>
      <c r="F57" s="1" t="s">
        <v>59</v>
      </c>
      <c r="H57" s="3" t="s">
        <v>647</v>
      </c>
      <c r="I57" s="389"/>
      <c r="J57" s="366"/>
      <c r="P57" s="334"/>
      <c r="Q57" s="334"/>
    </row>
    <row r="58" spans="1:17" outlineLevel="1" x14ac:dyDescent="0.35">
      <c r="A58" s="333">
        <f t="shared" si="1"/>
        <v>58</v>
      </c>
      <c r="D58" s="3" t="s">
        <v>644</v>
      </c>
      <c r="E58" s="28"/>
      <c r="H58" s="3" t="s">
        <v>648</v>
      </c>
      <c r="I58" s="389"/>
      <c r="J58" s="366"/>
      <c r="P58" s="334"/>
      <c r="Q58" s="334"/>
    </row>
    <row r="59" spans="1:17" outlineLevel="1" x14ac:dyDescent="0.35">
      <c r="A59" s="333">
        <f t="shared" si="1"/>
        <v>59</v>
      </c>
      <c r="F59" s="27"/>
      <c r="G59" s="27"/>
      <c r="P59" s="334"/>
      <c r="Q59" s="334"/>
    </row>
    <row r="60" spans="1:17" outlineLevel="1" x14ac:dyDescent="0.35">
      <c r="A60" s="333">
        <f t="shared" si="1"/>
        <v>60</v>
      </c>
      <c r="C60" s="59" t="s">
        <v>192</v>
      </c>
      <c r="D60" s="27"/>
      <c r="E60" s="18" t="s">
        <v>189</v>
      </c>
      <c r="F60" s="18" t="s">
        <v>190</v>
      </c>
      <c r="G60" s="18" t="s">
        <v>191</v>
      </c>
      <c r="H60" s="18" t="s">
        <v>113</v>
      </c>
      <c r="I60" s="18" t="s">
        <v>193</v>
      </c>
      <c r="P60" s="334"/>
      <c r="Q60" s="334"/>
    </row>
    <row r="61" spans="1:17" outlineLevel="1" x14ac:dyDescent="0.35">
      <c r="A61" s="333">
        <f t="shared" si="1"/>
        <v>61</v>
      </c>
      <c r="D61" s="3" t="s">
        <v>188</v>
      </c>
      <c r="E61" s="28"/>
      <c r="F61" s="28"/>
      <c r="G61" s="28"/>
      <c r="H61" s="28"/>
      <c r="I61" s="28"/>
      <c r="P61" s="334"/>
      <c r="Q61" s="334"/>
    </row>
    <row r="62" spans="1:17" x14ac:dyDescent="0.35">
      <c r="A62" s="333">
        <f t="shared" si="1"/>
        <v>62</v>
      </c>
      <c r="P62" s="334"/>
      <c r="Q62" s="334"/>
    </row>
    <row r="63" spans="1:17" x14ac:dyDescent="0.35">
      <c r="A63" s="333">
        <f t="shared" si="1"/>
        <v>63</v>
      </c>
      <c r="B63" s="348" t="s">
        <v>60</v>
      </c>
      <c r="C63" s="348"/>
      <c r="D63" s="348"/>
      <c r="E63" s="348"/>
      <c r="F63" s="348"/>
      <c r="G63" s="348"/>
      <c r="H63" s="349"/>
      <c r="I63" s="349"/>
      <c r="J63" s="349"/>
      <c r="K63" s="349"/>
      <c r="L63" s="349"/>
      <c r="M63" s="349"/>
      <c r="N63" s="350"/>
      <c r="O63" s="350"/>
      <c r="P63" s="334"/>
      <c r="Q63" s="334"/>
    </row>
    <row r="64" spans="1:17" outlineLevel="2" x14ac:dyDescent="0.35">
      <c r="A64" s="333">
        <f t="shared" si="1"/>
        <v>64</v>
      </c>
      <c r="B64" s="8"/>
      <c r="C64" s="354" t="s">
        <v>513</v>
      </c>
      <c r="D64" s="17"/>
      <c r="E64" s="8"/>
      <c r="L64" s="368"/>
      <c r="M64" s="368"/>
      <c r="N64" s="369"/>
      <c r="O64" s="369"/>
      <c r="P64" s="334"/>
      <c r="Q64" s="334"/>
    </row>
    <row r="65" spans="1:17" outlineLevel="2" x14ac:dyDescent="0.35">
      <c r="A65" s="333">
        <f t="shared" si="1"/>
        <v>65</v>
      </c>
      <c r="C65" s="370" t="s">
        <v>574</v>
      </c>
      <c r="N65" s="1"/>
      <c r="P65" s="334"/>
      <c r="Q65" s="334"/>
    </row>
    <row r="66" spans="1:17" outlineLevel="2" x14ac:dyDescent="0.35">
      <c r="A66" s="333">
        <f t="shared" si="1"/>
        <v>66</v>
      </c>
      <c r="N66" s="1"/>
      <c r="O66" s="1"/>
      <c r="P66" s="334"/>
      <c r="Q66" s="334"/>
    </row>
    <row r="67" spans="1:17" outlineLevel="2" x14ac:dyDescent="0.35">
      <c r="A67" s="333">
        <f t="shared" ref="A67:A130" si="2">+A66+1</f>
        <v>67</v>
      </c>
      <c r="C67" s="60"/>
      <c r="D67" s="60" t="s">
        <v>61</v>
      </c>
      <c r="H67" s="29" t="s">
        <v>567</v>
      </c>
      <c r="I67" s="29"/>
      <c r="N67" s="1"/>
      <c r="O67" s="1"/>
      <c r="P67" s="334"/>
      <c r="Q67" s="334"/>
    </row>
    <row r="68" spans="1:17" outlineLevel="2" x14ac:dyDescent="0.35">
      <c r="A68" s="333">
        <f t="shared" si="2"/>
        <v>68</v>
      </c>
      <c r="D68" s="3" t="s">
        <v>40</v>
      </c>
      <c r="E68" s="28"/>
      <c r="F68" s="1" t="s">
        <v>41</v>
      </c>
      <c r="I68" s="3" t="s">
        <v>40</v>
      </c>
      <c r="J68" s="28"/>
      <c r="K68" s="1" t="s">
        <v>41</v>
      </c>
      <c r="O68" s="1"/>
      <c r="P68" s="334"/>
      <c r="Q68" s="334"/>
    </row>
    <row r="69" spans="1:17" outlineLevel="2" x14ac:dyDescent="0.35">
      <c r="A69" s="333">
        <f t="shared" si="2"/>
        <v>69</v>
      </c>
      <c r="D69" s="3"/>
      <c r="I69" s="3"/>
      <c r="P69" s="334"/>
      <c r="Q69" s="334"/>
    </row>
    <row r="70" spans="1:17" outlineLevel="2" x14ac:dyDescent="0.35">
      <c r="A70" s="333">
        <f t="shared" si="2"/>
        <v>70</v>
      </c>
      <c r="D70" s="7" t="s">
        <v>43</v>
      </c>
      <c r="E70" s="28"/>
      <c r="F70" s="16" t="s">
        <v>518</v>
      </c>
      <c r="I70" s="7" t="s">
        <v>43</v>
      </c>
      <c r="J70" s="28"/>
      <c r="K70" s="16" t="s">
        <v>518</v>
      </c>
      <c r="P70" s="334"/>
      <c r="Q70" s="334"/>
    </row>
    <row r="71" spans="1:17" outlineLevel="2" x14ac:dyDescent="0.35">
      <c r="A71" s="333">
        <f t="shared" si="2"/>
        <v>71</v>
      </c>
      <c r="D71" s="3" t="s">
        <v>43</v>
      </c>
      <c r="E71" s="28"/>
      <c r="F71" s="1" t="s">
        <v>41</v>
      </c>
      <c r="I71" s="3" t="s">
        <v>43</v>
      </c>
      <c r="J71" s="28"/>
      <c r="K71" s="1" t="s">
        <v>41</v>
      </c>
      <c r="P71" s="334"/>
      <c r="Q71" s="334"/>
    </row>
    <row r="72" spans="1:17" outlineLevel="2" x14ac:dyDescent="0.35">
      <c r="A72" s="333">
        <f t="shared" si="2"/>
        <v>72</v>
      </c>
      <c r="D72" s="371" t="s">
        <v>194</v>
      </c>
      <c r="E72" s="357"/>
      <c r="F72" s="1" t="s">
        <v>62</v>
      </c>
      <c r="I72" s="371" t="s">
        <v>194</v>
      </c>
      <c r="J72" s="357"/>
      <c r="K72" s="1" t="s">
        <v>62</v>
      </c>
      <c r="P72" s="334"/>
      <c r="Q72" s="334"/>
    </row>
    <row r="73" spans="1:17" outlineLevel="2" x14ac:dyDescent="0.35">
      <c r="A73" s="333">
        <f t="shared" si="2"/>
        <v>73</v>
      </c>
      <c r="D73" s="372" t="s">
        <v>68</v>
      </c>
      <c r="E73" s="373" t="e">
        <f>+E68/E70/365</f>
        <v>#DIV/0!</v>
      </c>
      <c r="F73" s="1" t="s">
        <v>69</v>
      </c>
      <c r="I73" s="372" t="s">
        <v>68</v>
      </c>
      <c r="J73" s="373" t="e">
        <f>+J68/J70/365</f>
        <v>#DIV/0!</v>
      </c>
      <c r="K73" s="1" t="s">
        <v>69</v>
      </c>
      <c r="P73" s="334"/>
      <c r="Q73" s="334"/>
    </row>
    <row r="74" spans="1:17" outlineLevel="2" x14ac:dyDescent="0.35">
      <c r="A74" s="333">
        <f t="shared" si="2"/>
        <v>74</v>
      </c>
      <c r="D74" s="372" t="s">
        <v>39</v>
      </c>
      <c r="E74" s="373" t="e">
        <f>E68/E71</f>
        <v>#DIV/0!</v>
      </c>
      <c r="I74" s="372" t="s">
        <v>39</v>
      </c>
      <c r="J74" s="373" t="e">
        <f>+J68/J71</f>
        <v>#DIV/0!</v>
      </c>
      <c r="P74" s="334"/>
      <c r="Q74" s="334"/>
    </row>
    <row r="75" spans="1:17" outlineLevel="2" x14ac:dyDescent="0.35">
      <c r="A75" s="333">
        <f t="shared" si="2"/>
        <v>75</v>
      </c>
      <c r="D75" s="14" t="s">
        <v>519</v>
      </c>
      <c r="E75" s="374" t="e">
        <f>+E68/E70</f>
        <v>#DIV/0!</v>
      </c>
      <c r="I75" s="14" t="s">
        <v>519</v>
      </c>
      <c r="J75" s="374" t="e">
        <f>+J68/J70</f>
        <v>#DIV/0!</v>
      </c>
      <c r="P75" s="334"/>
      <c r="Q75" s="334"/>
    </row>
    <row r="76" spans="1:17" outlineLevel="2" x14ac:dyDescent="0.35">
      <c r="A76" s="333">
        <f t="shared" si="2"/>
        <v>76</v>
      </c>
      <c r="P76" s="334"/>
      <c r="Q76" s="334"/>
    </row>
    <row r="77" spans="1:17" outlineLevel="2" x14ac:dyDescent="0.35">
      <c r="A77" s="333">
        <f t="shared" si="2"/>
        <v>77</v>
      </c>
      <c r="C77" s="308" t="s">
        <v>573</v>
      </c>
      <c r="H77" s="308" t="s">
        <v>572</v>
      </c>
      <c r="P77" s="334"/>
      <c r="Q77" s="334"/>
    </row>
    <row r="78" spans="1:17" outlineLevel="2" x14ac:dyDescent="0.35">
      <c r="A78" s="333">
        <f t="shared" si="2"/>
        <v>78</v>
      </c>
      <c r="C78" s="309" t="s">
        <v>565</v>
      </c>
      <c r="H78" s="309" t="s">
        <v>565</v>
      </c>
      <c r="P78" s="334"/>
      <c r="Q78" s="334"/>
    </row>
    <row r="79" spans="1:17" outlineLevel="2" x14ac:dyDescent="0.35">
      <c r="A79" s="333">
        <f t="shared" si="2"/>
        <v>79</v>
      </c>
      <c r="D79" s="1" t="s">
        <v>522</v>
      </c>
      <c r="E79" s="375"/>
      <c r="I79" s="1" t="s">
        <v>522</v>
      </c>
      <c r="J79" s="375"/>
      <c r="P79" s="334"/>
      <c r="Q79" s="334"/>
    </row>
    <row r="80" spans="1:17" outlineLevel="2" x14ac:dyDescent="0.35">
      <c r="A80" s="333">
        <f t="shared" si="2"/>
        <v>80</v>
      </c>
      <c r="I80" s="14" t="s">
        <v>566</v>
      </c>
      <c r="J80" s="28"/>
      <c r="P80" s="334"/>
      <c r="Q80" s="334"/>
    </row>
    <row r="81" spans="1:17" outlineLevel="2" x14ac:dyDescent="0.35">
      <c r="A81" s="333">
        <f t="shared" si="2"/>
        <v>81</v>
      </c>
      <c r="D81" s="1" t="s">
        <v>520</v>
      </c>
      <c r="E81" s="28"/>
      <c r="F81" s="1" t="s">
        <v>59</v>
      </c>
      <c r="I81" s="1" t="s">
        <v>520</v>
      </c>
      <c r="J81" s="28"/>
      <c r="K81" s="1" t="s">
        <v>59</v>
      </c>
      <c r="P81" s="334"/>
      <c r="Q81" s="334"/>
    </row>
    <row r="82" spans="1:17" outlineLevel="2" x14ac:dyDescent="0.35">
      <c r="A82" s="333">
        <f t="shared" si="2"/>
        <v>82</v>
      </c>
      <c r="D82" s="1" t="s">
        <v>521</v>
      </c>
      <c r="E82" s="28"/>
      <c r="F82" s="1" t="s">
        <v>59</v>
      </c>
      <c r="I82" s="1" t="s">
        <v>521</v>
      </c>
      <c r="J82" s="28"/>
      <c r="K82" s="1" t="s">
        <v>59</v>
      </c>
      <c r="P82" s="334"/>
      <c r="Q82" s="334"/>
    </row>
    <row r="83" spans="1:17" outlineLevel="2" x14ac:dyDescent="0.35">
      <c r="A83" s="333">
        <f t="shared" si="2"/>
        <v>83</v>
      </c>
      <c r="D83" s="372" t="s">
        <v>523</v>
      </c>
      <c r="E83" s="376"/>
      <c r="I83" s="372" t="s">
        <v>523</v>
      </c>
      <c r="J83" s="376"/>
      <c r="P83" s="334"/>
      <c r="Q83" s="334"/>
    </row>
    <row r="84" spans="1:17" outlineLevel="2" x14ac:dyDescent="0.35">
      <c r="A84" s="333">
        <f t="shared" si="2"/>
        <v>84</v>
      </c>
      <c r="D84" s="372" t="s">
        <v>66</v>
      </c>
      <c r="E84" s="377"/>
      <c r="F84" s="1" t="s">
        <v>67</v>
      </c>
      <c r="I84" s="372" t="s">
        <v>66</v>
      </c>
      <c r="J84" s="377"/>
      <c r="K84" s="1" t="s">
        <v>67</v>
      </c>
      <c r="P84" s="334"/>
      <c r="Q84" s="334"/>
    </row>
    <row r="85" spans="1:17" outlineLevel="2" x14ac:dyDescent="0.35">
      <c r="A85" s="333">
        <f t="shared" si="2"/>
        <v>85</v>
      </c>
      <c r="D85" s="378"/>
      <c r="E85" s="3"/>
      <c r="F85" s="379"/>
      <c r="G85" s="16"/>
      <c r="H85" s="16"/>
      <c r="I85" s="16"/>
      <c r="J85" s="7"/>
      <c r="K85" s="379"/>
      <c r="P85" s="334"/>
      <c r="Q85" s="334"/>
    </row>
    <row r="86" spans="1:17" x14ac:dyDescent="0.35">
      <c r="A86" s="333">
        <f t="shared" si="2"/>
        <v>86</v>
      </c>
      <c r="B86" s="348" t="s">
        <v>70</v>
      </c>
      <c r="C86" s="348"/>
      <c r="D86" s="348"/>
      <c r="E86" s="348"/>
      <c r="F86" s="348"/>
      <c r="G86" s="348"/>
      <c r="H86" s="349"/>
      <c r="I86" s="349"/>
      <c r="J86" s="349"/>
      <c r="K86" s="349"/>
      <c r="L86" s="349"/>
      <c r="M86" s="349"/>
      <c r="N86" s="350"/>
      <c r="O86" s="350"/>
      <c r="P86" s="334"/>
      <c r="Q86" s="334"/>
    </row>
    <row r="87" spans="1:17" outlineLevel="1" x14ac:dyDescent="0.35">
      <c r="A87" s="333">
        <f t="shared" si="2"/>
        <v>87</v>
      </c>
      <c r="B87" s="8"/>
      <c r="C87" s="354" t="s">
        <v>71</v>
      </c>
      <c r="D87" s="17"/>
      <c r="E87" s="8"/>
      <c r="F87" s="380"/>
      <c r="G87" s="380"/>
      <c r="H87" s="368"/>
      <c r="I87" s="368"/>
      <c r="J87" s="368"/>
      <c r="K87" s="368"/>
      <c r="L87" s="368"/>
      <c r="M87" s="368"/>
      <c r="N87" s="369"/>
      <c r="O87" s="369"/>
      <c r="P87" s="334"/>
      <c r="Q87" s="334"/>
    </row>
    <row r="88" spans="1:17" outlineLevel="1" x14ac:dyDescent="0.35">
      <c r="A88" s="333">
        <f t="shared" si="2"/>
        <v>88</v>
      </c>
      <c r="B88" s="380"/>
      <c r="D88" s="380"/>
      <c r="E88" s="380"/>
      <c r="F88" s="380"/>
      <c r="G88" s="380"/>
      <c r="H88" s="368"/>
      <c r="I88" s="368"/>
      <c r="J88" s="368"/>
      <c r="K88" s="368"/>
      <c r="L88" s="368"/>
      <c r="M88" s="368"/>
      <c r="N88" s="369"/>
      <c r="O88" s="369"/>
      <c r="P88" s="334"/>
      <c r="Q88" s="334"/>
    </row>
    <row r="89" spans="1:17" outlineLevel="1" x14ac:dyDescent="0.35">
      <c r="A89" s="333">
        <f t="shared" si="2"/>
        <v>89</v>
      </c>
      <c r="B89" s="380"/>
      <c r="C89" s="354"/>
      <c r="D89" s="380"/>
      <c r="E89" s="380"/>
      <c r="F89" s="380"/>
      <c r="G89" s="381" t="s">
        <v>72</v>
      </c>
      <c r="H89" s="382"/>
      <c r="I89" s="368"/>
      <c r="J89" s="368"/>
      <c r="K89" s="368"/>
      <c r="L89" s="368"/>
      <c r="M89" s="368"/>
      <c r="N89" s="369"/>
      <c r="O89" s="369"/>
      <c r="P89" s="334"/>
    </row>
    <row r="90" spans="1:17" outlineLevel="1" x14ac:dyDescent="0.35">
      <c r="A90" s="333">
        <f t="shared" si="2"/>
        <v>90</v>
      </c>
      <c r="B90" s="380"/>
      <c r="C90" s="354" t="s">
        <v>661</v>
      </c>
      <c r="D90" s="380"/>
      <c r="E90" s="380"/>
      <c r="F90" s="380"/>
      <c r="G90" s="381" t="s">
        <v>73</v>
      </c>
      <c r="H90" s="383"/>
      <c r="I90" s="368"/>
      <c r="J90" s="368"/>
      <c r="K90" s="368"/>
      <c r="L90" s="368"/>
      <c r="M90" s="368"/>
      <c r="N90" s="369"/>
      <c r="O90" s="369"/>
      <c r="P90" s="334"/>
    </row>
    <row r="91" spans="1:17" outlineLevel="1" x14ac:dyDescent="0.35">
      <c r="A91" s="333">
        <f t="shared" si="2"/>
        <v>91</v>
      </c>
      <c r="P91" s="334"/>
    </row>
    <row r="92" spans="1:17" outlineLevel="1" x14ac:dyDescent="0.35">
      <c r="A92" s="333">
        <f t="shared" si="2"/>
        <v>92</v>
      </c>
      <c r="D92" s="29" t="s">
        <v>74</v>
      </c>
      <c r="G92" s="30"/>
      <c r="H92" s="31"/>
      <c r="I92" s="29" t="s">
        <v>75</v>
      </c>
      <c r="P92" s="334"/>
    </row>
    <row r="93" spans="1:17" outlineLevel="1" x14ac:dyDescent="0.35">
      <c r="A93" s="333">
        <f t="shared" si="2"/>
        <v>93</v>
      </c>
      <c r="D93" s="371"/>
      <c r="G93" s="30"/>
      <c r="H93" s="31"/>
      <c r="P93" s="334"/>
    </row>
    <row r="94" spans="1:17" outlineLevel="1" x14ac:dyDescent="0.35">
      <c r="A94" s="333">
        <f t="shared" si="2"/>
        <v>94</v>
      </c>
      <c r="D94" s="372" t="s">
        <v>63</v>
      </c>
      <c r="E94" s="28"/>
      <c r="F94" s="1" t="s">
        <v>64</v>
      </c>
      <c r="G94" s="30"/>
      <c r="I94" s="3" t="s">
        <v>40</v>
      </c>
      <c r="J94" s="28"/>
      <c r="K94" s="1" t="s">
        <v>41</v>
      </c>
      <c r="M94" s="10"/>
      <c r="P94" s="334"/>
    </row>
    <row r="95" spans="1:17" ht="18" customHeight="1" outlineLevel="1" x14ac:dyDescent="0.35">
      <c r="A95" s="333">
        <f t="shared" si="2"/>
        <v>95</v>
      </c>
      <c r="D95" s="3"/>
      <c r="E95" s="3"/>
      <c r="G95" s="30"/>
      <c r="I95" s="3"/>
      <c r="M95" s="10"/>
      <c r="P95" s="334"/>
    </row>
    <row r="96" spans="1:17" outlineLevel="1" x14ac:dyDescent="0.35">
      <c r="A96" s="333">
        <f t="shared" si="2"/>
        <v>96</v>
      </c>
      <c r="D96" s="14" t="s">
        <v>519</v>
      </c>
      <c r="E96" s="28"/>
      <c r="F96" s="1" t="s">
        <v>655</v>
      </c>
      <c r="G96" s="30"/>
      <c r="I96" s="14" t="s">
        <v>519</v>
      </c>
      <c r="J96" s="28"/>
      <c r="K96" s="16" t="s">
        <v>518</v>
      </c>
      <c r="M96" s="10"/>
      <c r="P96" s="334"/>
    </row>
    <row r="97" spans="1:17 16382:16382" outlineLevel="1" x14ac:dyDescent="0.35">
      <c r="A97" s="333">
        <f t="shared" si="2"/>
        <v>97</v>
      </c>
      <c r="D97" s="372" t="s">
        <v>660</v>
      </c>
      <c r="E97" s="397"/>
      <c r="F97" s="1" t="s">
        <v>69</v>
      </c>
      <c r="G97" s="30"/>
      <c r="I97" s="372" t="s">
        <v>660</v>
      </c>
      <c r="J97" s="397"/>
      <c r="K97" s="1" t="s">
        <v>41</v>
      </c>
      <c r="P97" s="334"/>
    </row>
    <row r="98" spans="1:17 16382:16382" outlineLevel="1" x14ac:dyDescent="0.35">
      <c r="A98" s="333">
        <f t="shared" si="2"/>
        <v>98</v>
      </c>
      <c r="D98" s="371" t="s">
        <v>194</v>
      </c>
      <c r="E98" s="357"/>
      <c r="F98" s="1" t="s">
        <v>62</v>
      </c>
      <c r="G98" s="30"/>
      <c r="I98" s="371" t="s">
        <v>194</v>
      </c>
      <c r="J98" s="357"/>
      <c r="K98" s="1" t="s">
        <v>62</v>
      </c>
      <c r="P98" s="334"/>
    </row>
    <row r="99" spans="1:17 16382:16382" outlineLevel="1" x14ac:dyDescent="0.35">
      <c r="A99" s="333">
        <f t="shared" si="2"/>
        <v>99</v>
      </c>
      <c r="D99" s="372" t="s">
        <v>76</v>
      </c>
      <c r="E99" s="357"/>
      <c r="F99" s="1" t="s">
        <v>77</v>
      </c>
      <c r="G99" s="30"/>
      <c r="I99" s="372" t="s">
        <v>76</v>
      </c>
      <c r="J99" s="357"/>
      <c r="K99" s="1" t="s">
        <v>77</v>
      </c>
      <c r="P99" s="334"/>
    </row>
    <row r="100" spans="1:17 16382:16382" outlineLevel="1" x14ac:dyDescent="0.35">
      <c r="A100" s="333">
        <f t="shared" si="2"/>
        <v>100</v>
      </c>
      <c r="D100" s="372"/>
      <c r="E100" s="372"/>
      <c r="F100" s="372"/>
      <c r="G100" s="30"/>
      <c r="P100" s="334"/>
    </row>
    <row r="101" spans="1:17 16382:16382" outlineLevel="1" x14ac:dyDescent="0.35">
      <c r="A101" s="333">
        <f t="shared" si="2"/>
        <v>101</v>
      </c>
      <c r="C101" s="10"/>
      <c r="D101" s="14" t="s">
        <v>551</v>
      </c>
      <c r="E101" s="393" t="e">
        <f>+E99/E94</f>
        <v>#DIV/0!</v>
      </c>
      <c r="F101" s="372"/>
      <c r="G101" s="30"/>
      <c r="I101" s="14" t="s">
        <v>551</v>
      </c>
      <c r="J101" s="393" t="e">
        <f>+J99/J94</f>
        <v>#DIV/0!</v>
      </c>
      <c r="P101" s="334"/>
    </row>
    <row r="102" spans="1:17 16382:16382" outlineLevel="1" x14ac:dyDescent="0.35">
      <c r="A102" s="333">
        <f t="shared" si="2"/>
        <v>102</v>
      </c>
      <c r="D102" s="372"/>
      <c r="G102" s="30"/>
      <c r="P102" s="334"/>
    </row>
    <row r="103" spans="1:17 16382:16382" outlineLevel="1" x14ac:dyDescent="0.35">
      <c r="A103" s="333">
        <f t="shared" si="2"/>
        <v>103</v>
      </c>
      <c r="G103" s="30"/>
      <c r="P103" s="334"/>
    </row>
    <row r="104" spans="1:17 16382:16382" outlineLevel="1" x14ac:dyDescent="0.35">
      <c r="A104" s="333">
        <f t="shared" si="2"/>
        <v>104</v>
      </c>
      <c r="D104" s="308" t="s">
        <v>563</v>
      </c>
      <c r="G104" s="30"/>
      <c r="P104" s="334"/>
    </row>
    <row r="105" spans="1:17 16382:16382" outlineLevel="1" x14ac:dyDescent="0.35">
      <c r="A105" s="333">
        <f t="shared" si="2"/>
        <v>105</v>
      </c>
      <c r="C105" s="309" t="s">
        <v>564</v>
      </c>
      <c r="D105" s="308"/>
      <c r="G105" s="30"/>
      <c r="I105" s="308" t="s">
        <v>568</v>
      </c>
      <c r="P105" s="334"/>
    </row>
    <row r="106" spans="1:17 16382:16382" outlineLevel="2" x14ac:dyDescent="0.35">
      <c r="A106" s="333">
        <f t="shared" si="2"/>
        <v>106</v>
      </c>
      <c r="B106" s="309"/>
      <c r="G106" s="30"/>
      <c r="H106" s="1" t="s">
        <v>564</v>
      </c>
      <c r="P106" s="334"/>
      <c r="Q106" s="334"/>
    </row>
    <row r="107" spans="1:17 16382:16382" outlineLevel="1" x14ac:dyDescent="0.35">
      <c r="A107" s="333">
        <f t="shared" si="2"/>
        <v>107</v>
      </c>
      <c r="D107" s="1" t="s">
        <v>522</v>
      </c>
      <c r="E107" s="375"/>
      <c r="G107" s="30"/>
      <c r="I107" s="1" t="s">
        <v>522</v>
      </c>
      <c r="J107" s="375"/>
      <c r="P107" s="334"/>
      <c r="XFB107" s="1"/>
    </row>
    <row r="108" spans="1:17 16382:16382" outlineLevel="1" x14ac:dyDescent="0.35">
      <c r="A108" s="333">
        <f t="shared" si="2"/>
        <v>108</v>
      </c>
      <c r="G108" s="30"/>
      <c r="I108" s="14" t="s">
        <v>566</v>
      </c>
      <c r="J108" s="28"/>
      <c r="P108" s="334"/>
      <c r="XFB108" s="1"/>
    </row>
    <row r="109" spans="1:17 16382:16382" outlineLevel="1" x14ac:dyDescent="0.35">
      <c r="A109" s="333">
        <f t="shared" si="2"/>
        <v>109</v>
      </c>
      <c r="D109" s="1" t="s">
        <v>520</v>
      </c>
      <c r="E109" s="28"/>
      <c r="F109" s="1" t="s">
        <v>59</v>
      </c>
      <c r="G109" s="30"/>
      <c r="I109" s="1" t="s">
        <v>520</v>
      </c>
      <c r="J109" s="28"/>
      <c r="K109" s="1" t="s">
        <v>59</v>
      </c>
      <c r="P109" s="334"/>
    </row>
    <row r="110" spans="1:17 16382:16382" outlineLevel="1" x14ac:dyDescent="0.35">
      <c r="A110" s="333">
        <f t="shared" si="2"/>
        <v>110</v>
      </c>
      <c r="D110" s="1" t="s">
        <v>521</v>
      </c>
      <c r="E110" s="28"/>
      <c r="F110" s="1" t="s">
        <v>59</v>
      </c>
      <c r="G110" s="30"/>
      <c r="I110" s="1" t="s">
        <v>521</v>
      </c>
      <c r="J110" s="28"/>
      <c r="K110" s="1" t="s">
        <v>59</v>
      </c>
      <c r="P110" s="334"/>
    </row>
    <row r="111" spans="1:17 16382:16382" ht="15" customHeight="1" outlineLevel="1" x14ac:dyDescent="0.35">
      <c r="A111" s="333">
        <f t="shared" si="2"/>
        <v>111</v>
      </c>
      <c r="G111" s="30"/>
      <c r="P111" s="334"/>
    </row>
    <row r="112" spans="1:17 16382:16382" ht="15" customHeight="1" outlineLevel="1" x14ac:dyDescent="0.35">
      <c r="A112" s="333">
        <f t="shared" si="2"/>
        <v>112</v>
      </c>
      <c r="C112" s="10"/>
      <c r="D112" s="384" t="s">
        <v>540</v>
      </c>
      <c r="E112" s="1" t="s">
        <v>67</v>
      </c>
      <c r="G112" s="30"/>
      <c r="I112" s="384" t="s">
        <v>540</v>
      </c>
      <c r="J112" s="1" t="s">
        <v>67</v>
      </c>
      <c r="P112" s="334"/>
    </row>
    <row r="113" spans="1:16" outlineLevel="1" x14ac:dyDescent="0.35">
      <c r="A113" s="333">
        <f t="shared" si="2"/>
        <v>113</v>
      </c>
      <c r="D113" s="372" t="s">
        <v>78</v>
      </c>
      <c r="E113" s="385"/>
      <c r="G113" s="30"/>
      <c r="I113" s="372" t="s">
        <v>78</v>
      </c>
      <c r="J113" s="385"/>
      <c r="P113" s="334"/>
    </row>
    <row r="114" spans="1:16" outlineLevel="1" x14ac:dyDescent="0.35">
      <c r="A114" s="333">
        <f t="shared" si="2"/>
        <v>114</v>
      </c>
      <c r="D114" s="14" t="s">
        <v>79</v>
      </c>
      <c r="E114" s="385"/>
      <c r="G114" s="30"/>
      <c r="I114" s="14" t="s">
        <v>79</v>
      </c>
      <c r="J114" s="385"/>
      <c r="P114" s="334"/>
    </row>
    <row r="115" spans="1:16" outlineLevel="1" x14ac:dyDescent="0.35">
      <c r="A115" s="333">
        <f t="shared" si="2"/>
        <v>115</v>
      </c>
      <c r="D115" s="14" t="s">
        <v>80</v>
      </c>
      <c r="E115" s="385"/>
      <c r="G115" s="30"/>
      <c r="I115" s="14" t="s">
        <v>80</v>
      </c>
      <c r="J115" s="385"/>
      <c r="P115" s="334"/>
    </row>
    <row r="116" spans="1:16" outlineLevel="1" x14ac:dyDescent="0.35">
      <c r="A116" s="333">
        <f t="shared" si="2"/>
        <v>116</v>
      </c>
      <c r="D116" s="14" t="s">
        <v>81</v>
      </c>
      <c r="E116" s="385"/>
      <c r="G116" s="30"/>
      <c r="I116" s="14" t="s">
        <v>81</v>
      </c>
      <c r="J116" s="385"/>
      <c r="P116" s="334"/>
    </row>
    <row r="117" spans="1:16" outlineLevel="1" x14ac:dyDescent="0.35">
      <c r="A117" s="333">
        <f t="shared" si="2"/>
        <v>117</v>
      </c>
      <c r="D117" s="14" t="s">
        <v>82</v>
      </c>
      <c r="E117" s="385"/>
      <c r="G117" s="30"/>
      <c r="I117" s="14" t="s">
        <v>82</v>
      </c>
      <c r="J117" s="385"/>
      <c r="P117" s="334"/>
    </row>
    <row r="118" spans="1:16" outlineLevel="1" x14ac:dyDescent="0.35">
      <c r="A118" s="333">
        <f t="shared" si="2"/>
        <v>118</v>
      </c>
      <c r="D118" s="14" t="s">
        <v>83</v>
      </c>
      <c r="E118" s="385"/>
      <c r="G118" s="30"/>
      <c r="H118" s="31"/>
      <c r="I118" s="14" t="s">
        <v>83</v>
      </c>
      <c r="J118" s="385"/>
      <c r="P118" s="334"/>
    </row>
    <row r="119" spans="1:16" outlineLevel="1" x14ac:dyDescent="0.35">
      <c r="A119" s="333">
        <f t="shared" si="2"/>
        <v>119</v>
      </c>
      <c r="G119" s="33"/>
      <c r="P119" s="334"/>
    </row>
    <row r="120" spans="1:16" outlineLevel="1" x14ac:dyDescent="0.35">
      <c r="A120" s="333">
        <f t="shared" si="2"/>
        <v>120</v>
      </c>
      <c r="C120" s="2"/>
      <c r="D120" s="386" t="s">
        <v>84</v>
      </c>
      <c r="E120" s="387" t="str">
        <f>IFERROR(E94/(E94+E68),"")</f>
        <v/>
      </c>
      <c r="G120" s="33"/>
      <c r="I120" s="386" t="s">
        <v>85</v>
      </c>
      <c r="J120" s="387" t="str">
        <f>IFERROR(J94/(J94+J68),"")</f>
        <v/>
      </c>
      <c r="M120" s="16"/>
      <c r="N120" s="1"/>
      <c r="P120" s="334"/>
    </row>
    <row r="121" spans="1:16" outlineLevel="1" x14ac:dyDescent="0.35">
      <c r="A121" s="333">
        <f t="shared" si="2"/>
        <v>121</v>
      </c>
      <c r="D121" s="386" t="s">
        <v>86</v>
      </c>
      <c r="E121" s="388" t="str">
        <f>IF(E120="","",1-E120)</f>
        <v/>
      </c>
      <c r="G121" s="33"/>
      <c r="I121" s="386" t="s">
        <v>87</v>
      </c>
      <c r="J121" s="388" t="str">
        <f>IF(J120="","",1-J120)</f>
        <v/>
      </c>
      <c r="M121" s="16"/>
      <c r="N121" s="1"/>
      <c r="P121" s="334"/>
    </row>
    <row r="122" spans="1:16" outlineLevel="1" x14ac:dyDescent="0.35">
      <c r="A122" s="333">
        <f t="shared" si="2"/>
        <v>122</v>
      </c>
      <c r="G122" s="33"/>
      <c r="M122" s="16"/>
      <c r="N122" s="1"/>
      <c r="P122" s="334"/>
    </row>
    <row r="123" spans="1:16" outlineLevel="1" x14ac:dyDescent="0.35">
      <c r="A123" s="333">
        <f t="shared" si="2"/>
        <v>123</v>
      </c>
      <c r="E123" s="378"/>
      <c r="F123" s="16"/>
      <c r="G123" s="16"/>
      <c r="J123" s="378"/>
      <c r="K123" s="16"/>
      <c r="L123" s="378"/>
      <c r="M123" s="16"/>
      <c r="N123" s="1"/>
      <c r="P123" s="334"/>
    </row>
    <row r="124" spans="1:16" x14ac:dyDescent="0.35">
      <c r="A124" s="333">
        <f t="shared" si="2"/>
        <v>124</v>
      </c>
      <c r="C124" s="403" t="s">
        <v>552</v>
      </c>
      <c r="D124" s="403"/>
      <c r="E124" s="403"/>
      <c r="F124" s="403"/>
      <c r="G124" s="403"/>
      <c r="H124" s="403"/>
      <c r="I124" s="403"/>
      <c r="J124" s="403"/>
      <c r="K124" s="403"/>
      <c r="L124" s="403"/>
      <c r="M124" s="403"/>
      <c r="N124" s="403"/>
      <c r="P124" s="334"/>
    </row>
    <row r="125" spans="1:16" x14ac:dyDescent="0.35">
      <c r="A125" s="333">
        <f t="shared" si="2"/>
        <v>125</v>
      </c>
      <c r="C125" s="401"/>
      <c r="D125" s="401"/>
      <c r="E125" s="401"/>
      <c r="F125" s="401"/>
      <c r="G125" s="401"/>
      <c r="H125" s="401"/>
      <c r="I125" s="401"/>
      <c r="J125" s="401"/>
      <c r="K125" s="401"/>
      <c r="L125" s="401"/>
      <c r="M125" s="401"/>
      <c r="N125" s="401"/>
      <c r="P125" s="334"/>
    </row>
    <row r="126" spans="1:16" x14ac:dyDescent="0.35">
      <c r="A126" s="333">
        <f t="shared" si="2"/>
        <v>126</v>
      </c>
      <c r="C126" s="402"/>
      <c r="D126" s="402"/>
      <c r="E126" s="402"/>
      <c r="F126" s="402"/>
      <c r="G126" s="402"/>
      <c r="H126" s="402"/>
      <c r="I126" s="402"/>
      <c r="J126" s="402"/>
      <c r="K126" s="402"/>
      <c r="L126" s="402"/>
      <c r="M126" s="402"/>
      <c r="N126" s="402"/>
      <c r="P126" s="334"/>
    </row>
    <row r="127" spans="1:16" x14ac:dyDescent="0.35">
      <c r="A127" s="333">
        <f t="shared" si="2"/>
        <v>127</v>
      </c>
      <c r="C127" s="402"/>
      <c r="D127" s="402"/>
      <c r="E127" s="402"/>
      <c r="F127" s="402"/>
      <c r="G127" s="402"/>
      <c r="H127" s="402"/>
      <c r="I127" s="402"/>
      <c r="J127" s="402"/>
      <c r="K127" s="402"/>
      <c r="L127" s="402"/>
      <c r="M127" s="402"/>
      <c r="N127" s="402"/>
      <c r="P127" s="334"/>
    </row>
    <row r="128" spans="1:16" x14ac:dyDescent="0.35">
      <c r="A128" s="333">
        <f t="shared" si="2"/>
        <v>128</v>
      </c>
      <c r="C128" s="402"/>
      <c r="D128" s="402"/>
      <c r="E128" s="402"/>
      <c r="F128" s="402"/>
      <c r="G128" s="402"/>
      <c r="H128" s="402"/>
      <c r="I128" s="402"/>
      <c r="J128" s="402"/>
      <c r="K128" s="402"/>
      <c r="L128" s="402"/>
      <c r="M128" s="402"/>
      <c r="N128" s="402"/>
      <c r="P128" s="334"/>
    </row>
    <row r="129" spans="1:16" x14ac:dyDescent="0.35">
      <c r="A129" s="333">
        <f t="shared" si="2"/>
        <v>129</v>
      </c>
      <c r="C129" s="402"/>
      <c r="D129" s="402"/>
      <c r="E129" s="402"/>
      <c r="F129" s="402"/>
      <c r="G129" s="402"/>
      <c r="H129" s="402"/>
      <c r="I129" s="402"/>
      <c r="J129" s="402"/>
      <c r="K129" s="402"/>
      <c r="L129" s="402"/>
      <c r="M129" s="402"/>
      <c r="N129" s="402"/>
      <c r="P129" s="334"/>
    </row>
    <row r="130" spans="1:16" x14ac:dyDescent="0.35">
      <c r="A130" s="333">
        <f t="shared" si="2"/>
        <v>130</v>
      </c>
      <c r="C130" s="402"/>
      <c r="D130" s="402"/>
      <c r="E130" s="402"/>
      <c r="F130" s="402"/>
      <c r="G130" s="402"/>
      <c r="H130" s="402"/>
      <c r="I130" s="402"/>
      <c r="J130" s="402"/>
      <c r="K130" s="402"/>
      <c r="L130" s="402"/>
      <c r="M130" s="402"/>
      <c r="N130" s="402"/>
      <c r="P130" s="334"/>
    </row>
    <row r="131" spans="1:16" x14ac:dyDescent="0.35">
      <c r="A131" s="333">
        <f t="shared" ref="A131:O135" si="3">+A130+1</f>
        <v>131</v>
      </c>
      <c r="C131" s="402"/>
      <c r="D131" s="402"/>
      <c r="E131" s="402"/>
      <c r="F131" s="402"/>
      <c r="G131" s="402"/>
      <c r="H131" s="402"/>
      <c r="I131" s="402"/>
      <c r="J131" s="402"/>
      <c r="K131" s="402"/>
      <c r="L131" s="402"/>
      <c r="M131" s="402"/>
      <c r="N131" s="402"/>
      <c r="P131" s="334"/>
    </row>
    <row r="132" spans="1:16" x14ac:dyDescent="0.35">
      <c r="A132" s="333">
        <f t="shared" si="3"/>
        <v>132</v>
      </c>
      <c r="C132" s="402"/>
      <c r="D132" s="402"/>
      <c r="E132" s="402"/>
      <c r="F132" s="402"/>
      <c r="G132" s="402"/>
      <c r="H132" s="402"/>
      <c r="I132" s="402"/>
      <c r="J132" s="402"/>
      <c r="K132" s="402"/>
      <c r="L132" s="402"/>
      <c r="M132" s="402"/>
      <c r="N132" s="402"/>
      <c r="P132" s="334"/>
    </row>
    <row r="133" spans="1:16" x14ac:dyDescent="0.35">
      <c r="A133" s="333">
        <f t="shared" si="3"/>
        <v>133</v>
      </c>
      <c r="P133" s="334"/>
    </row>
    <row r="134" spans="1:16" ht="14.5" x14ac:dyDescent="0.35">
      <c r="A134" s="333">
        <f t="shared" si="3"/>
        <v>134</v>
      </c>
      <c r="B134" s="333">
        <f t="shared" si="3"/>
        <v>1</v>
      </c>
      <c r="C134" s="333">
        <f t="shared" si="3"/>
        <v>1</v>
      </c>
      <c r="D134" s="333">
        <f t="shared" si="3"/>
        <v>1</v>
      </c>
      <c r="E134" s="333">
        <f t="shared" si="3"/>
        <v>1</v>
      </c>
      <c r="F134" s="333">
        <f t="shared" si="3"/>
        <v>1</v>
      </c>
      <c r="G134" s="333">
        <f t="shared" si="3"/>
        <v>1</v>
      </c>
      <c r="H134" s="333">
        <f t="shared" si="3"/>
        <v>1</v>
      </c>
      <c r="I134" s="333">
        <f t="shared" si="3"/>
        <v>1</v>
      </c>
      <c r="J134" s="333">
        <f t="shared" si="3"/>
        <v>1</v>
      </c>
      <c r="K134" s="333">
        <f t="shared" si="3"/>
        <v>1</v>
      </c>
      <c r="L134" s="333">
        <f t="shared" si="3"/>
        <v>1</v>
      </c>
      <c r="M134" s="333">
        <f t="shared" si="3"/>
        <v>1</v>
      </c>
      <c r="N134" s="333">
        <f t="shared" si="3"/>
        <v>1</v>
      </c>
      <c r="O134" s="333">
        <f t="shared" si="3"/>
        <v>1</v>
      </c>
      <c r="P134" s="334"/>
    </row>
    <row r="135" spans="1:16" ht="14.5" x14ac:dyDescent="0.35">
      <c r="A135" s="333">
        <f t="shared" si="3"/>
        <v>135</v>
      </c>
      <c r="B135" s="333">
        <f t="shared" si="3"/>
        <v>2</v>
      </c>
      <c r="C135" s="333">
        <f t="shared" si="3"/>
        <v>2</v>
      </c>
      <c r="D135" s="333">
        <f t="shared" si="3"/>
        <v>2</v>
      </c>
      <c r="E135" s="333">
        <f t="shared" si="3"/>
        <v>2</v>
      </c>
      <c r="F135" s="333">
        <f t="shared" si="3"/>
        <v>2</v>
      </c>
      <c r="G135" s="333">
        <f t="shared" si="3"/>
        <v>2</v>
      </c>
      <c r="H135" s="333">
        <f t="shared" si="3"/>
        <v>2</v>
      </c>
      <c r="I135" s="333">
        <f t="shared" si="3"/>
        <v>2</v>
      </c>
      <c r="J135" s="333">
        <f t="shared" si="3"/>
        <v>2</v>
      </c>
      <c r="K135" s="333">
        <f t="shared" si="3"/>
        <v>2</v>
      </c>
      <c r="L135" s="333">
        <f t="shared" si="3"/>
        <v>2</v>
      </c>
      <c r="M135" s="333">
        <f t="shared" si="3"/>
        <v>2</v>
      </c>
      <c r="N135" s="333">
        <f t="shared" si="3"/>
        <v>2</v>
      </c>
      <c r="O135" s="333">
        <f t="shared" si="3"/>
        <v>2</v>
      </c>
      <c r="P135" s="334"/>
    </row>
  </sheetData>
  <sheetProtection sheet="1" objects="1" scenarios="1" selectLockedCells="1"/>
  <protectedRanges>
    <protectedRange sqref="G37" name="Rango1"/>
  </protectedRanges>
  <dataConsolidate/>
  <mergeCells count="6">
    <mergeCell ref="C125:N132"/>
    <mergeCell ref="I5:J5"/>
    <mergeCell ref="M11:O12"/>
    <mergeCell ref="M13:O14"/>
    <mergeCell ref="M15:O16"/>
    <mergeCell ref="C124:N124"/>
  </mergeCells>
  <conditionalFormatting sqref="J12">
    <cfRule type="expression" dxfId="38" priority="3">
      <formula>$J$11&gt;1</formula>
    </cfRule>
  </conditionalFormatting>
  <conditionalFormatting sqref="J14">
    <cfRule type="expression" dxfId="37" priority="2">
      <formula>$J$13&gt;1</formula>
    </cfRule>
  </conditionalFormatting>
  <conditionalFormatting sqref="J16">
    <cfRule type="expression" dxfId="36" priority="1">
      <formula>$J$15&gt;1</formula>
    </cfRule>
  </conditionalFormatting>
  <dataValidations count="62">
    <dataValidation allowBlank="1" showInputMessage="1" showErrorMessage="1" prompt="Aumento diario de peso vivo promedio" sqref="J97 E97"/>
    <dataValidation allowBlank="1" showErrorMessage="1" prompt="Kilos de materia seca ofrecidos en total" sqref="E96 J96"/>
    <dataValidation allowBlank="1" showInputMessage="1" showErrorMessage="1" prompt="Stock medio en terminación: promedio de los valores de stock mensual en kilos totales para el ejercicio." sqref="J71"/>
    <dataValidation allowBlank="1" showInputMessage="1" showErrorMessage="1" prompt="Stock medio en terminación: promedio de los valores de stock mensual en cabezas para el ejercicio." sqref="J70"/>
    <dataValidation allowBlank="1" showInputMessage="1" showErrorMessage="1" prompt="Stock medio en recría: promedio de los valores de stock mensual en kilos totales para el ejercicio." sqref="E71"/>
    <dataValidation allowBlank="1" showInputMessage="1" showErrorMessage="1" prompt="Promedio de los valores de stock mensual en cabezas para el ejercicio (incluye corrales). Los terneros al pie de la madre se deben contabilizar para el cálculo de carga." sqref="E31"/>
    <dataValidation allowBlank="1" showInputMessage="1" showErrorMessage="1" prompt="Promedio de los valores de stock mensual en kg para el ejercicio (incluye corrales). Los terneros al pie de la madre se deben contabilizar como stock para el cálculo de carga." sqref="E32"/>
    <dataValidation allowBlank="1" showInputMessage="1" showErrorMessage="1" prompt="Kilos de materia seca ofrecidos en los corrales de terminación." sqref="J99"/>
    <dataValidation allowBlank="1" showInputMessage="1" showErrorMessage="1" prompt="Kilos de materia seca ofrecidos en los corrales de recría" sqref="E99"/>
    <dataValidation type="list" allowBlank="1" showInputMessage="1" showErrorMessage="1" prompt="Edad promedio al destete '17. Si hubo diferentes destetes, poner una edad promedio. Si merece aclaraciones, anotarlas en observaciones. " sqref="E58">
      <formula1>Destete</formula1>
    </dataValidation>
    <dataValidation type="list" allowBlank="1" showInputMessage="1" showErrorMessage="1" prompt="% de la dieta en MS suplementada" sqref="E84 J84">
      <formula1>supl</formula1>
    </dataValidation>
    <dataValidation allowBlank="1" showInputMessage="1" showErrorMessage="1" prompt="Tiempo promedio de la terminación. Si hay distintos lotes/rodeos, poner la duración ponderada." sqref="J72 J98"/>
    <dataValidation allowBlank="1" showInputMessage="1" showErrorMessage="1" prompt="Tiempo promedio de la recría. Si hay distintos lotes/rodeos, poner la duración ponderada." sqref="E72 E98"/>
    <dataValidation allowBlank="1" showInputMessage="1" showErrorMessage="1" prompt="Si la empresa tiene más de un establecimiento, llenar una planilla por cada campo." sqref="D6"/>
    <dataValidation allowBlank="1" showInputMessage="1" showErrorMessage="1" prompt="Superficie en en ganadería con aptitud agrícola (clase I a IV) propias y alquiladas." sqref="J20"/>
    <dataValidation type="list" allowBlank="1" showInputMessage="1" showErrorMessage="1" sqref="J80 J108">
      <formula1>sino</formula1>
    </dataValidation>
    <dataValidation type="list" allowBlank="1" showInputMessage="1" showErrorMessage="1" sqref="E115:E118 E113 J115:J118 J113">
      <formula1>Dieta</formula1>
    </dataValidation>
    <dataValidation type="list" allowBlank="1" showInputMessage="1" showErrorMessage="1" sqref="E114 J114">
      <formula1>CC</formula1>
    </dataValidation>
    <dataValidation allowBlank="1" showInputMessage="1" showErrorMessage="1" prompt="Stock medio en recría: promedio de los valores de stock mensual en cabezas para el ejercicio." sqref="E70"/>
    <dataValidation type="list" allowBlank="1" showInputMessage="1" showErrorMessage="1" sqref="E82 E110">
      <formula1>PSR</formula1>
    </dataValidation>
    <dataValidation type="list" allowBlank="1" showInputMessage="1" showErrorMessage="1" sqref="E81 E109">
      <formula1>PER</formula1>
    </dataValidation>
    <dataValidation type="list" allowBlank="1" showInputMessage="1" showErrorMessage="1" sqref="J82 J110">
      <formula1>PST</formula1>
    </dataValidation>
    <dataValidation type="list" allowBlank="1" showInputMessage="1" showErrorMessage="1" sqref="J81 J109">
      <formula1>PET</formula1>
    </dataValidation>
    <dataValidation type="list" allowBlank="1" showInputMessage="1" showErrorMessage="1" sqref="E79 J79 J107 E107">
      <formula1>MH</formula1>
    </dataValidation>
    <dataValidation allowBlank="1" showInputMessage="1" showErrorMessage="1" prompt="Ingrese un valor estimativo promedio de venta de la hectárea donde está realizando la ganadería." sqref="J21"/>
    <dataValidation allowBlank="1" showInputMessage="1" showErrorMessage="1" prompt="Capacidad máxima instantanea" sqref="H89"/>
    <dataValidation type="list" allowBlank="1" showInputMessage="1" showErrorMessage="1" prompt="Servicio '15_x000a_" sqref="I57">
      <formula1>fechaservicio</formula1>
    </dataValidation>
    <dataValidation allowBlank="1" showInputMessage="1" showErrorMessage="1" prompt="Peso medio de destete '17" sqref="E57"/>
    <dataValidation allowBlank="1" showInputMessage="1" showErrorMessage="1" prompt="% de vacas inseminadas en la campaña vacas Inseminadas/Vacas en Servicio)" sqref="J52"/>
    <dataValidation allowBlank="1" showInputMessage="1" showErrorMessage="1" prompt="% de vaquillonas inseminadas en la campaña (Vaquillona Inseminadas/Vaquillonas en Servicio)" sqref="J54"/>
    <dataValidation type="list" allowBlank="1" showInputMessage="1" showErrorMessage="1" sqref="J53">
      <formula1>edadservicio</formula1>
    </dataValidation>
    <dataValidation type="list" allowBlank="1" showInputMessage="1" showErrorMessage="1" prompt="Región donde se encuentra el establecimiento, independientemente del CREA al que pertenezca el establecimiento." sqref="F6">
      <formula1>Crea</formula1>
    </dataValidation>
    <dataValidation type="list" allowBlank="1" showErrorMessage="1" sqref="E61:I61">
      <formula1>cruz</formula1>
    </dataValidation>
    <dataValidation allowBlank="1" showInputMessage="1" showErrorMessage="1" prompt="Vacas preñadas 17´sobre vacas entoradas servicio 16´" sqref="E41"/>
    <dataValidation allowBlank="1" showInputMessage="1" showErrorMessage="1" prompt="Este indicador no debe ser tenido en cuenta en producciones a corral" sqref="J27 J29"/>
    <dataValidation allowBlank="1" showInputMessage="1" showErrorMessage="1" prompt="Incluye vacas y vaquillonas" sqref="E54:E55"/>
    <dataValidation allowBlank="1" showInputMessage="1" showErrorMessage="1" prompt="Ponderar en función de la cantidad de tiempo que se le dedica a la ganadería. Se tiene en cuenta el personal de maquinaria que le presta un servicio a la ganadería." sqref="E33 H90"/>
    <dataValidation allowBlank="1" showInputMessage="1" showErrorMessage="1" prompt="Stock bovino al 1 de julio 2016 (todo lo que está en el establecimiento)" sqref="E26"/>
    <dataValidation allowBlank="1" showInputMessage="1" showErrorMessage="1" prompt="Superficie de monte productivos de la unidad de producción" sqref="E16"/>
    <dataValidation allowBlank="1" showInputMessage="1" showErrorMessage="1" prompt="Superfice sembrada con verdeos de invierno tal cual. En la celda contigua se calculará las has asignadas a dicho recurso según las Normas CREA." sqref="J11"/>
    <dataValidation allowBlank="1" showInputMessage="1" showErrorMessage="1" prompt="Superficie de praderas perennes ya implantadas" sqref="E17"/>
    <dataValidation allowBlank="1" showInputMessage="1" showErrorMessage="1" prompt="Superficie de campo natural de la unidad de producción" sqref="E15"/>
    <dataValidation allowBlank="1" showInputMessage="1" showErrorMessage="1" prompt="Nro de cabezas muertas/cabezas ingresadas" sqref="E30"/>
    <dataValidation allowBlank="1" showInputMessage="1" showErrorMessage="1" prompt="Cantidad de Vaquillonas de 1 en servicio en 2016" sqref="E46"/>
    <dataValidation allowBlank="1" showInputMessage="1" showErrorMessage="1" prompt="Producción de carne (kg totales) = SALIDAS (kg vendidos,  traslados, consumo del eto.) - ENTRADAS (kg por compra o traslados de otras procedencias) + DIF. INVENTARIO (en Kg)" sqref="E28 J68 E68 E94 J94"/>
    <dataValidation allowBlank="1" showInputMessage="1" showErrorMessage="1" prompt="Stock bovino al 30 de junio 2017 (todo lo que está en el establecimiento)" sqref="E27"/>
    <dataValidation allowBlank="1" showInputMessage="1" showErrorMessage="1" prompt="Praderas implantadas en la campaña en análisis." sqref="E18"/>
    <dataValidation type="list" allowBlank="1" showInputMessage="1" showErrorMessage="1" sqref="G6">
      <formula1>MP</formula1>
    </dataValidation>
    <dataValidation allowBlank="1" showInputMessage="1" showErrorMessage="1" prompt="Superficie de suelo de la unidad de producción en agricultura, propias y alquiladas." sqref="E12"/>
    <dataValidation allowBlank="1" showInputMessage="1" showErrorMessage="1" prompt="Superficie del establecimiento en producción." sqref="E11"/>
    <dataValidation allowBlank="1" showInputMessage="1" showErrorMessage="1" prompt="Superfice sembrada (tal cual) con verdeos de verano para consumo fresco o diferido. En la celda contigua se calculará las has asignadas a dicho recurso según las Normas CREA." sqref="J13"/>
    <dataValidation allowBlank="1" showInputMessage="1" showErrorMessage="1" prompt="Superfice de rastrojos pastoreados. En la celda contigua se calculará las has asignadas a dicho recurso según las Normas CREA." sqref="J15"/>
    <dataValidation allowBlank="1" showErrorMessage="1" sqref="J19"/>
    <dataValidation allowBlank="1" showErrorMessage="1" prompt="Superficie de monte productivos del establecimiento" sqref="J16"/>
    <dataValidation allowBlank="1" showInputMessage="1" showErrorMessage="1" prompt="Terneros destetados 17´sobre vientres entorados en servicio´15" sqref="E52"/>
    <dataValidation allowBlank="1" showInputMessage="1" showErrorMessage="1" prompt="Vacas y vaquillonas preñadas sobre vientres entoradas en servicio 15´" sqref="E53"/>
    <dataValidation allowBlank="1" showInputMessage="1" showErrorMessage="1" prompt="Vaquillonas de 1° servicio preñadas 17´/ vaquillonas de 1° s. entoradas en 16´" sqref="E45"/>
    <dataValidation type="list" allowBlank="1" showInputMessage="1" showErrorMessage="1" sqref="J83 E83">
      <formula1>RRFF</formula1>
    </dataValidation>
    <dataValidation allowBlank="1" showInputMessage="1" showErrorMessage="1" prompt="Tiempo desde la primer labor del verdeo hasta cambio de uso del lote (no sólo tiempo que fue pastoreado)." sqref="J12"/>
    <dataValidation allowBlank="1" showInputMessage="1" showErrorMessage="1" prompt="Tiempo desde la primer labor del verdeo/diferido hasta cambio de uso del lote (no sólo tiempo que fue pastoreado)." sqref="J14"/>
    <dataValidation type="list" allowBlank="1" showInputMessage="1" showErrorMessage="1" prompt="Servicio '15" sqref="I58">
      <formula1>fechaservicio</formula1>
    </dataValidation>
    <dataValidation type="list" allowBlank="1" showInputMessage="1" showErrorMessage="1" prompt="Servicio '15" sqref="J57:J58">
      <formula1>duracion</formula1>
    </dataValidation>
  </dataValidations>
  <hyperlinks>
    <hyperlink ref="G95" location="'1 (prop.sup)'!F115" display="Ir a cálculo desbaste"/>
    <hyperlink ref="G95:G96" location="'1'!D118" display="Ir a cálculo desbaste"/>
    <hyperlink ref="L95:L96" location="'1'!D118" display="Ir a cálculo desbaste"/>
    <hyperlink ref="L95" location="'1 (prop.sup)'!F115" display="Ir a cálculo desbaste"/>
  </hyperlinks>
  <pageMargins left="0.25" right="0.25" top="0.75" bottom="0.75" header="0.3" footer="0.3"/>
  <pageSetup paperSize="9" scale="48" fitToHeight="0" orientation="portrait" verticalDpi="599" r:id="rId1"/>
  <rowBreaks count="1" manualBreakCount="1">
    <brk id="60" min="1" max="12"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B135"/>
  <sheetViews>
    <sheetView showGridLines="0" zoomScale="90" zoomScaleNormal="90" workbookViewId="0">
      <pane xSplit="1" ySplit="1" topLeftCell="B3" activePane="bottomRight" state="frozen"/>
      <selection activeCell="B21" sqref="B21"/>
      <selection pane="topRight" activeCell="B21" sqref="B21"/>
      <selection pane="bottomLeft" activeCell="B21" sqref="B21"/>
      <selection pane="bottomRight" activeCell="J21" sqref="J21"/>
    </sheetView>
  </sheetViews>
  <sheetFormatPr baseColWidth="10" defaultColWidth="0" defaultRowHeight="15.5" customHeight="1" zeroHeight="1" outlineLevelRow="2" x14ac:dyDescent="0.35"/>
  <cols>
    <col min="1" max="1" width="5" style="330" customWidth="1"/>
    <col min="2" max="2" width="11.81640625" style="1" customWidth="1"/>
    <col min="3" max="3" width="16" style="1" customWidth="1"/>
    <col min="4" max="4" width="18.54296875" style="1" customWidth="1"/>
    <col min="5" max="6" width="14.54296875" style="1" customWidth="1"/>
    <col min="7" max="7" width="12.1796875" style="1" customWidth="1"/>
    <col min="8" max="8" width="16.26953125" style="1" customWidth="1"/>
    <col min="9" max="10" width="14.54296875" style="1" customWidth="1"/>
    <col min="11" max="12" width="13.453125" style="1" customWidth="1"/>
    <col min="13" max="13" width="14.54296875" style="1" customWidth="1"/>
    <col min="14" max="15" width="11.453125" style="69" customWidth="1"/>
    <col min="16" max="16" width="5.54296875" style="69" customWidth="1"/>
    <col min="17" max="17" width="11.453125" style="69" hidden="1"/>
    <col min="18" max="16382" width="0" style="69" hidden="1"/>
    <col min="16383" max="16384" width="11.453125" style="69" hidden="1"/>
  </cols>
  <sheetData>
    <row r="1" spans="1:17" s="333" customFormat="1" ht="14.5" x14ac:dyDescent="0.35">
      <c r="A1" s="333">
        <v>1</v>
      </c>
      <c r="B1" s="333">
        <f t="shared" ref="B1:P1" si="0">+A1+1</f>
        <v>2</v>
      </c>
      <c r="C1" s="333">
        <f t="shared" si="0"/>
        <v>3</v>
      </c>
      <c r="D1" s="333">
        <f t="shared" si="0"/>
        <v>4</v>
      </c>
      <c r="E1" s="333">
        <f t="shared" si="0"/>
        <v>5</v>
      </c>
      <c r="F1" s="333">
        <f t="shared" si="0"/>
        <v>6</v>
      </c>
      <c r="G1" s="333">
        <f t="shared" si="0"/>
        <v>7</v>
      </c>
      <c r="H1" s="333">
        <f t="shared" si="0"/>
        <v>8</v>
      </c>
      <c r="I1" s="333">
        <f t="shared" si="0"/>
        <v>9</v>
      </c>
      <c r="J1" s="333">
        <f t="shared" si="0"/>
        <v>10</v>
      </c>
      <c r="K1" s="333">
        <f t="shared" si="0"/>
        <v>11</v>
      </c>
      <c r="L1" s="333">
        <f t="shared" si="0"/>
        <v>12</v>
      </c>
      <c r="M1" s="333">
        <f t="shared" si="0"/>
        <v>13</v>
      </c>
      <c r="N1" s="333">
        <f t="shared" si="0"/>
        <v>14</v>
      </c>
      <c r="O1" s="333">
        <f t="shared" si="0"/>
        <v>15</v>
      </c>
      <c r="P1" s="333">
        <f t="shared" si="0"/>
        <v>16</v>
      </c>
    </row>
    <row r="2" spans="1:17" x14ac:dyDescent="0.35">
      <c r="A2" s="333">
        <f>+A1+1</f>
        <v>2</v>
      </c>
      <c r="P2" s="334"/>
      <c r="Q2" s="334"/>
    </row>
    <row r="3" spans="1:17" x14ac:dyDescent="0.35">
      <c r="A3" s="333">
        <f t="shared" ref="A3:A66" si="1">+A2+1</f>
        <v>3</v>
      </c>
      <c r="B3" s="335" t="s">
        <v>0</v>
      </c>
      <c r="C3" s="336"/>
      <c r="D3" s="58"/>
      <c r="E3" s="302"/>
      <c r="F3" s="337" t="s">
        <v>1</v>
      </c>
      <c r="G3" s="58"/>
      <c r="H3" s="303"/>
      <c r="I3" s="337" t="s">
        <v>2</v>
      </c>
      <c r="J3" s="58"/>
      <c r="K3" s="58"/>
      <c r="L3" s="336"/>
      <c r="M3" s="336"/>
      <c r="N3" s="338"/>
      <c r="O3" s="339"/>
      <c r="P3" s="334"/>
      <c r="Q3" s="334"/>
    </row>
    <row r="4" spans="1:17" x14ac:dyDescent="0.35">
      <c r="A4" s="333">
        <f t="shared" si="1"/>
        <v>4</v>
      </c>
      <c r="B4" s="340"/>
      <c r="C4" s="340"/>
      <c r="E4" s="336"/>
      <c r="F4" s="336"/>
      <c r="G4" s="336"/>
      <c r="H4" s="336"/>
      <c r="I4" s="336"/>
      <c r="J4" s="336"/>
      <c r="K4" s="336"/>
      <c r="L4" s="336"/>
      <c r="M4" s="336"/>
      <c r="N4" s="338"/>
      <c r="O4" s="338"/>
      <c r="P4" s="334"/>
      <c r="Q4" s="334"/>
    </row>
    <row r="5" spans="1:17" ht="29" x14ac:dyDescent="0.35">
      <c r="A5" s="333">
        <f t="shared" si="1"/>
        <v>5</v>
      </c>
      <c r="B5" s="341" t="s">
        <v>3</v>
      </c>
      <c r="C5" s="342" t="s">
        <v>4</v>
      </c>
      <c r="D5" s="341" t="s">
        <v>5</v>
      </c>
      <c r="E5" s="342" t="s">
        <v>6</v>
      </c>
      <c r="F5" s="342" t="s">
        <v>7</v>
      </c>
      <c r="G5" s="343" t="s">
        <v>8</v>
      </c>
      <c r="H5" s="344" t="s">
        <v>9</v>
      </c>
      <c r="I5" s="404" t="s">
        <v>10</v>
      </c>
      <c r="J5" s="405"/>
      <c r="N5" s="345"/>
      <c r="P5" s="334"/>
      <c r="Q5" s="334"/>
    </row>
    <row r="6" spans="1:17" x14ac:dyDescent="0.35">
      <c r="A6" s="333">
        <f t="shared" si="1"/>
        <v>6</v>
      </c>
      <c r="B6" s="310" t="s">
        <v>649</v>
      </c>
      <c r="C6" s="346"/>
      <c r="D6" s="346"/>
      <c r="E6" s="347"/>
      <c r="F6" s="346"/>
      <c r="G6" s="347"/>
      <c r="H6" s="347"/>
      <c r="I6" s="347"/>
      <c r="J6" s="347"/>
      <c r="N6" s="338"/>
      <c r="O6" s="338"/>
      <c r="P6" s="334"/>
      <c r="Q6" s="334"/>
    </row>
    <row r="7" spans="1:17" x14ac:dyDescent="0.35">
      <c r="A7" s="333">
        <f t="shared" si="1"/>
        <v>7</v>
      </c>
      <c r="P7" s="334"/>
      <c r="Q7" s="334"/>
    </row>
    <row r="8" spans="1:17" x14ac:dyDescent="0.35">
      <c r="A8" s="333">
        <f t="shared" si="1"/>
        <v>8</v>
      </c>
      <c r="B8" s="348" t="s">
        <v>13</v>
      </c>
      <c r="C8" s="348"/>
      <c r="D8" s="348"/>
      <c r="E8" s="348"/>
      <c r="F8" s="348"/>
      <c r="G8" s="348"/>
      <c r="H8" s="349"/>
      <c r="I8" s="349"/>
      <c r="J8" s="349"/>
      <c r="K8" s="349"/>
      <c r="L8" s="349"/>
      <c r="M8" s="349"/>
      <c r="N8" s="350"/>
      <c r="O8" s="350"/>
      <c r="P8" s="334"/>
      <c r="Q8" s="334"/>
    </row>
    <row r="9" spans="1:17" x14ac:dyDescent="0.35">
      <c r="A9" s="333">
        <f t="shared" si="1"/>
        <v>9</v>
      </c>
      <c r="P9" s="334"/>
      <c r="Q9" s="334"/>
    </row>
    <row r="10" spans="1:17" x14ac:dyDescent="0.35">
      <c r="A10" s="333">
        <f t="shared" si="1"/>
        <v>10</v>
      </c>
      <c r="C10" s="2"/>
      <c r="D10" s="2" t="s">
        <v>14</v>
      </c>
      <c r="G10" s="2"/>
      <c r="I10" s="56" t="s">
        <v>17</v>
      </c>
      <c r="J10" s="69"/>
      <c r="K10" s="69"/>
      <c r="L10" s="2" t="s">
        <v>18</v>
      </c>
      <c r="M10" s="4"/>
      <c r="P10" s="334"/>
      <c r="Q10" s="334"/>
    </row>
    <row r="11" spans="1:17" ht="18" customHeight="1" x14ac:dyDescent="0.35">
      <c r="A11" s="333">
        <f t="shared" si="1"/>
        <v>11</v>
      </c>
      <c r="D11" s="3" t="s">
        <v>15</v>
      </c>
      <c r="E11" s="28"/>
      <c r="F11" s="1" t="s">
        <v>16</v>
      </c>
      <c r="I11" s="3" t="s">
        <v>19</v>
      </c>
      <c r="J11" s="28"/>
      <c r="K11" s="1" t="s">
        <v>16</v>
      </c>
      <c r="L11" s="5" t="str">
        <f>IF(J11*J12/12=0,"",J11*J12/12)</f>
        <v/>
      </c>
      <c r="M11" s="406" t="s">
        <v>656</v>
      </c>
      <c r="N11" s="406"/>
      <c r="O11" s="406"/>
      <c r="P11" s="334"/>
      <c r="Q11" s="334"/>
    </row>
    <row r="12" spans="1:17" x14ac:dyDescent="0.35">
      <c r="A12" s="333">
        <f t="shared" si="1"/>
        <v>12</v>
      </c>
      <c r="D12" s="3" t="s">
        <v>514</v>
      </c>
      <c r="E12" s="28"/>
      <c r="F12" s="1" t="s">
        <v>16</v>
      </c>
      <c r="I12" s="3" t="str">
        <f>+IF(J11&gt;1,"Tiempo ocupado por verdeo de invierno","")</f>
        <v/>
      </c>
      <c r="J12" s="351"/>
      <c r="K12" s="6" t="str">
        <f>+IF($J$11&gt;1,"meses","")</f>
        <v/>
      </c>
      <c r="L12" s="69"/>
      <c r="M12" s="406"/>
      <c r="N12" s="406"/>
      <c r="O12" s="406"/>
      <c r="P12" s="334"/>
      <c r="Q12" s="334"/>
    </row>
    <row r="13" spans="1:17" ht="18" customHeight="1" x14ac:dyDescent="0.35">
      <c r="A13" s="333">
        <f t="shared" si="1"/>
        <v>13</v>
      </c>
      <c r="I13" s="3" t="s">
        <v>22</v>
      </c>
      <c r="J13" s="28"/>
      <c r="K13" s="1" t="s">
        <v>16</v>
      </c>
      <c r="L13" s="5" t="str">
        <f>IF(J13*J14/12=0,"",J13*J14/12)</f>
        <v/>
      </c>
      <c r="M13" s="406" t="s">
        <v>657</v>
      </c>
      <c r="N13" s="406"/>
      <c r="O13" s="406"/>
      <c r="P13" s="334"/>
      <c r="Q13" s="334"/>
    </row>
    <row r="14" spans="1:17" x14ac:dyDescent="0.35">
      <c r="A14" s="333">
        <f t="shared" si="1"/>
        <v>14</v>
      </c>
      <c r="C14" s="2"/>
      <c r="D14" s="2" t="s">
        <v>21</v>
      </c>
      <c r="I14" s="3" t="str">
        <f>+IF(J13&gt;1,"Tiempo ocupado por verdeo de verano y diferido","")</f>
        <v/>
      </c>
      <c r="J14" s="351"/>
      <c r="K14" s="6" t="str">
        <f>+IF($J$13&gt;1,"meses","")</f>
        <v/>
      </c>
      <c r="L14" s="69"/>
      <c r="M14" s="406"/>
      <c r="N14" s="406"/>
      <c r="O14" s="406"/>
      <c r="P14" s="334"/>
      <c r="Q14" s="334"/>
    </row>
    <row r="15" spans="1:17" ht="18" customHeight="1" x14ac:dyDescent="0.35">
      <c r="A15" s="333">
        <f t="shared" si="1"/>
        <v>15</v>
      </c>
      <c r="D15" s="3" t="s">
        <v>24</v>
      </c>
      <c r="E15" s="28"/>
      <c r="F15" s="1" t="s">
        <v>16</v>
      </c>
      <c r="I15" s="3" t="s">
        <v>26</v>
      </c>
      <c r="J15" s="28"/>
      <c r="K15" s="1" t="s">
        <v>16</v>
      </c>
      <c r="L15" s="5" t="str">
        <f>IF(J15*J16/12=0,"",J15*J16/12)</f>
        <v/>
      </c>
      <c r="M15" s="406" t="s">
        <v>658</v>
      </c>
      <c r="N15" s="406"/>
      <c r="O15" s="406"/>
      <c r="P15" s="334"/>
      <c r="Q15" s="334"/>
    </row>
    <row r="16" spans="1:17" x14ac:dyDescent="0.35">
      <c r="A16" s="333">
        <f t="shared" si="1"/>
        <v>16</v>
      </c>
      <c r="B16" s="8"/>
      <c r="D16" s="7" t="s">
        <v>25</v>
      </c>
      <c r="E16" s="28"/>
      <c r="F16" s="1" t="s">
        <v>16</v>
      </c>
      <c r="I16" s="3" t="str">
        <f>+IF(J15&gt;1,"Tiempo de ocupación de rastrojos y otros  ","")</f>
        <v/>
      </c>
      <c r="J16" s="351"/>
      <c r="K16" s="6" t="str">
        <f>+IF($J$15&gt;1,"meses","")</f>
        <v/>
      </c>
      <c r="L16" s="69"/>
      <c r="M16" s="406"/>
      <c r="N16" s="406"/>
      <c r="O16" s="406"/>
      <c r="P16" s="334"/>
      <c r="Q16" s="334"/>
    </row>
    <row r="17" spans="1:17" x14ac:dyDescent="0.35">
      <c r="A17" s="333">
        <f t="shared" si="1"/>
        <v>17</v>
      </c>
      <c r="D17" s="3" t="s">
        <v>28</v>
      </c>
      <c r="E17" s="28"/>
      <c r="F17" s="1" t="s">
        <v>16</v>
      </c>
      <c r="M17" s="396"/>
      <c r="N17" s="352"/>
      <c r="O17" s="352"/>
      <c r="P17" s="334"/>
      <c r="Q17" s="334"/>
    </row>
    <row r="18" spans="1:17" x14ac:dyDescent="0.35">
      <c r="A18" s="333">
        <f t="shared" si="1"/>
        <v>18</v>
      </c>
      <c r="D18" s="3" t="s">
        <v>29</v>
      </c>
      <c r="E18" s="28"/>
      <c r="F18" s="1" t="s">
        <v>16</v>
      </c>
      <c r="G18" s="10"/>
      <c r="H18" s="11"/>
      <c r="I18" s="57" t="s">
        <v>30</v>
      </c>
      <c r="J18" s="10"/>
      <c r="K18" s="10"/>
      <c r="P18" s="334"/>
      <c r="Q18" s="334"/>
    </row>
    <row r="19" spans="1:17" x14ac:dyDescent="0.35">
      <c r="A19" s="333">
        <f t="shared" si="1"/>
        <v>19</v>
      </c>
      <c r="C19" s="1" t="s">
        <v>9</v>
      </c>
      <c r="D19" s="329"/>
      <c r="E19" s="329"/>
      <c r="F19" s="1" t="s">
        <v>16</v>
      </c>
      <c r="G19" s="10"/>
      <c r="H19" s="10"/>
      <c r="I19" s="7" t="s">
        <v>31</v>
      </c>
      <c r="J19" s="12">
        <f>+SUM(E15:E20,L11,L13,L15)</f>
        <v>0</v>
      </c>
      <c r="K19" s="10" t="s">
        <v>16</v>
      </c>
      <c r="P19" s="334"/>
      <c r="Q19" s="334"/>
    </row>
    <row r="20" spans="1:17" x14ac:dyDescent="0.35">
      <c r="A20" s="333">
        <f t="shared" si="1"/>
        <v>20</v>
      </c>
      <c r="C20" s="1" t="s">
        <v>9</v>
      </c>
      <c r="D20" s="329"/>
      <c r="E20" s="329"/>
      <c r="F20" s="1" t="s">
        <v>16</v>
      </c>
      <c r="G20" s="10"/>
      <c r="H20" s="10"/>
      <c r="I20" s="3" t="s">
        <v>575</v>
      </c>
      <c r="J20" s="353"/>
      <c r="K20" s="3"/>
      <c r="L20" s="8"/>
      <c r="P20" s="334"/>
      <c r="Q20" s="334"/>
    </row>
    <row r="21" spans="1:17" x14ac:dyDescent="0.35">
      <c r="A21" s="333">
        <f t="shared" si="1"/>
        <v>21</v>
      </c>
      <c r="H21" s="311"/>
      <c r="I21" s="7" t="s">
        <v>517</v>
      </c>
      <c r="J21" s="28"/>
      <c r="K21" s="331" t="s">
        <v>515</v>
      </c>
      <c r="L21" s="8"/>
      <c r="P21" s="334"/>
      <c r="Q21" s="334"/>
    </row>
    <row r="22" spans="1:17" x14ac:dyDescent="0.35">
      <c r="A22" s="333">
        <f t="shared" si="1"/>
        <v>22</v>
      </c>
      <c r="G22" s="10"/>
      <c r="H22" s="10"/>
      <c r="I22" s="3"/>
      <c r="J22" s="3"/>
      <c r="K22" s="3"/>
      <c r="L22" s="8"/>
      <c r="P22" s="334"/>
      <c r="Q22" s="334"/>
    </row>
    <row r="23" spans="1:17" x14ac:dyDescent="0.35">
      <c r="A23" s="333">
        <f t="shared" si="1"/>
        <v>23</v>
      </c>
      <c r="G23" s="10"/>
      <c r="H23" s="10"/>
      <c r="I23" s="3"/>
      <c r="J23" s="3"/>
      <c r="K23" s="3"/>
      <c r="L23" s="8"/>
      <c r="P23" s="334"/>
      <c r="Q23" s="334"/>
    </row>
    <row r="24" spans="1:17" x14ac:dyDescent="0.35">
      <c r="A24" s="333">
        <f t="shared" si="1"/>
        <v>24</v>
      </c>
      <c r="B24" s="348" t="s">
        <v>32</v>
      </c>
      <c r="C24" s="348"/>
      <c r="D24" s="348"/>
      <c r="E24" s="348"/>
      <c r="F24" s="348"/>
      <c r="G24" s="348"/>
      <c r="H24" s="349"/>
      <c r="I24" s="349"/>
      <c r="J24" s="349"/>
      <c r="K24" s="349"/>
      <c r="L24" s="349"/>
      <c r="M24" s="349"/>
      <c r="N24" s="350"/>
      <c r="O24" s="350"/>
      <c r="P24" s="334"/>
      <c r="Q24" s="334"/>
    </row>
    <row r="25" spans="1:17" x14ac:dyDescent="0.35">
      <c r="A25" s="333">
        <f t="shared" si="1"/>
        <v>25</v>
      </c>
      <c r="O25" s="13"/>
      <c r="P25" s="334"/>
      <c r="Q25" s="334"/>
    </row>
    <row r="26" spans="1:17" x14ac:dyDescent="0.35">
      <c r="A26" s="333">
        <f t="shared" si="1"/>
        <v>26</v>
      </c>
      <c r="D26" s="3" t="s">
        <v>33</v>
      </c>
      <c r="E26" s="28"/>
      <c r="F26" s="1" t="s">
        <v>34</v>
      </c>
      <c r="J26" s="354" t="s">
        <v>35</v>
      </c>
      <c r="K26" s="69"/>
      <c r="P26" s="334"/>
      <c r="Q26" s="334"/>
    </row>
    <row r="27" spans="1:17" x14ac:dyDescent="0.35">
      <c r="A27" s="333">
        <f t="shared" si="1"/>
        <v>27</v>
      </c>
      <c r="D27" s="3" t="s">
        <v>36</v>
      </c>
      <c r="E27" s="28"/>
      <c r="F27" s="1" t="s">
        <v>34</v>
      </c>
      <c r="J27" s="67" t="str">
        <f>+IFERROR(E28/J19,"")</f>
        <v/>
      </c>
      <c r="K27" s="1" t="s">
        <v>187</v>
      </c>
      <c r="P27" s="334"/>
      <c r="Q27" s="334"/>
    </row>
    <row r="28" spans="1:17" x14ac:dyDescent="0.35">
      <c r="A28" s="333">
        <f t="shared" si="1"/>
        <v>28</v>
      </c>
      <c r="D28" s="3" t="s">
        <v>40</v>
      </c>
      <c r="E28" s="28"/>
      <c r="F28" s="1" t="s">
        <v>41</v>
      </c>
      <c r="J28" s="68" t="str">
        <f>+IFERROR(E28/(E31),"")</f>
        <v/>
      </c>
      <c r="K28" s="1" t="s">
        <v>516</v>
      </c>
      <c r="P28" s="334"/>
      <c r="Q28" s="334"/>
    </row>
    <row r="29" spans="1:17" x14ac:dyDescent="0.35">
      <c r="A29" s="333">
        <f t="shared" si="1"/>
        <v>29</v>
      </c>
      <c r="J29" s="68" t="str">
        <f>+IFERROR(E32/J19,"")</f>
        <v/>
      </c>
      <c r="K29" s="15" t="s">
        <v>186</v>
      </c>
      <c r="P29" s="334"/>
      <c r="Q29" s="334"/>
    </row>
    <row r="30" spans="1:17" x14ac:dyDescent="0.35">
      <c r="A30" s="333">
        <f t="shared" si="1"/>
        <v>30</v>
      </c>
      <c r="D30" s="3" t="s">
        <v>37</v>
      </c>
      <c r="E30" s="353"/>
      <c r="F30" s="1" t="s">
        <v>38</v>
      </c>
      <c r="J30" s="355" t="str">
        <f>+IFERROR(E28/E32,"")</f>
        <v/>
      </c>
      <c r="K30" s="6" t="s">
        <v>39</v>
      </c>
      <c r="P30" s="334"/>
      <c r="Q30" s="334"/>
    </row>
    <row r="31" spans="1:17" x14ac:dyDescent="0.35">
      <c r="A31" s="333">
        <f t="shared" si="1"/>
        <v>31</v>
      </c>
      <c r="D31" s="7" t="s">
        <v>43</v>
      </c>
      <c r="E31" s="28"/>
      <c r="F31" s="16" t="s">
        <v>518</v>
      </c>
      <c r="J31" s="356" t="str">
        <f>+IFERROR(E28/E33,"")</f>
        <v/>
      </c>
      <c r="K31" s="15" t="s">
        <v>42</v>
      </c>
      <c r="P31" s="334"/>
      <c r="Q31" s="334"/>
    </row>
    <row r="32" spans="1:17" x14ac:dyDescent="0.35">
      <c r="A32" s="333">
        <f t="shared" si="1"/>
        <v>32</v>
      </c>
      <c r="D32" s="3" t="s">
        <v>43</v>
      </c>
      <c r="E32" s="28"/>
      <c r="F32" s="1" t="s">
        <v>41</v>
      </c>
      <c r="M32" s="69"/>
      <c r="P32" s="334"/>
      <c r="Q32" s="334"/>
    </row>
    <row r="33" spans="1:17" ht="17.25" customHeight="1" x14ac:dyDescent="0.35">
      <c r="A33" s="333">
        <f t="shared" si="1"/>
        <v>33</v>
      </c>
      <c r="D33" s="14" t="s">
        <v>44</v>
      </c>
      <c r="E33" s="390"/>
      <c r="M33" s="69"/>
      <c r="P33" s="334"/>
      <c r="Q33" s="334"/>
    </row>
    <row r="34" spans="1:17" x14ac:dyDescent="0.35">
      <c r="A34" s="333">
        <f t="shared" si="1"/>
        <v>34</v>
      </c>
      <c r="P34" s="334"/>
      <c r="Q34" s="334"/>
    </row>
    <row r="35" spans="1:17" x14ac:dyDescent="0.35">
      <c r="A35" s="333">
        <f t="shared" si="1"/>
        <v>35</v>
      </c>
      <c r="B35" s="348" t="s">
        <v>45</v>
      </c>
      <c r="C35" s="348"/>
      <c r="D35" s="348"/>
      <c r="E35" s="348"/>
      <c r="F35" s="348"/>
      <c r="G35" s="348"/>
      <c r="H35" s="349"/>
      <c r="I35" s="349"/>
      <c r="J35" s="349"/>
      <c r="K35" s="349"/>
      <c r="L35" s="349"/>
      <c r="M35" s="349"/>
      <c r="N35" s="350"/>
      <c r="O35" s="350"/>
      <c r="P35" s="334"/>
      <c r="Q35" s="334"/>
    </row>
    <row r="36" spans="1:17" outlineLevel="1" x14ac:dyDescent="0.35">
      <c r="A36" s="333">
        <f t="shared" si="1"/>
        <v>36</v>
      </c>
      <c r="B36" s="8"/>
      <c r="C36" s="8"/>
      <c r="D36" s="17"/>
      <c r="E36" s="8"/>
      <c r="P36" s="334"/>
      <c r="Q36" s="334"/>
    </row>
    <row r="37" spans="1:17" outlineLevel="1" x14ac:dyDescent="0.35">
      <c r="A37" s="333">
        <f t="shared" si="1"/>
        <v>37</v>
      </c>
      <c r="G37" s="358">
        <v>2015</v>
      </c>
      <c r="H37" s="358">
        <f>+G37+1</f>
        <v>2016</v>
      </c>
      <c r="I37" s="358">
        <f>+H37+1</f>
        <v>2017</v>
      </c>
      <c r="P37" s="334"/>
      <c r="Q37" s="334"/>
    </row>
    <row r="38" spans="1:17" outlineLevel="1" x14ac:dyDescent="0.35">
      <c r="A38" s="333">
        <f t="shared" si="1"/>
        <v>38</v>
      </c>
      <c r="G38" s="359" t="s">
        <v>46</v>
      </c>
      <c r="H38" s="360" t="s">
        <v>47</v>
      </c>
      <c r="I38" s="361" t="s">
        <v>48</v>
      </c>
      <c r="P38" s="334"/>
      <c r="Q38" s="334"/>
    </row>
    <row r="39" spans="1:17" outlineLevel="1" x14ac:dyDescent="0.35">
      <c r="A39" s="333">
        <f t="shared" si="1"/>
        <v>39</v>
      </c>
      <c r="G39" s="362"/>
      <c r="H39" s="363" t="s">
        <v>46</v>
      </c>
      <c r="I39" s="364" t="s">
        <v>47</v>
      </c>
      <c r="M39" s="18"/>
      <c r="N39" s="79"/>
      <c r="P39" s="334"/>
      <c r="Q39" s="334"/>
    </row>
    <row r="40" spans="1:17" outlineLevel="1" x14ac:dyDescent="0.35">
      <c r="A40" s="333">
        <f t="shared" si="1"/>
        <v>40</v>
      </c>
      <c r="C40" s="19" t="s">
        <v>49</v>
      </c>
      <c r="D40" s="16"/>
      <c r="P40" s="334"/>
      <c r="Q40" s="334"/>
    </row>
    <row r="41" spans="1:17" outlineLevel="1" x14ac:dyDescent="0.35">
      <c r="A41" s="333">
        <f t="shared" si="1"/>
        <v>41</v>
      </c>
      <c r="C41" s="16"/>
      <c r="D41" s="7" t="s">
        <v>632</v>
      </c>
      <c r="E41" s="391"/>
      <c r="F41" s="1" t="s">
        <v>38</v>
      </c>
      <c r="N41" s="1"/>
      <c r="O41" s="1"/>
      <c r="P41" s="334"/>
      <c r="Q41" s="334"/>
    </row>
    <row r="42" spans="1:17" outlineLevel="1" x14ac:dyDescent="0.35">
      <c r="A42" s="333">
        <f t="shared" si="1"/>
        <v>42</v>
      </c>
      <c r="C42" s="16"/>
      <c r="D42" s="7" t="s">
        <v>633</v>
      </c>
      <c r="E42" s="28"/>
      <c r="F42" s="1" t="s">
        <v>34</v>
      </c>
      <c r="N42" s="1"/>
      <c r="O42" s="1"/>
      <c r="P42" s="334"/>
      <c r="Q42" s="334"/>
    </row>
    <row r="43" spans="1:17" outlineLevel="1" x14ac:dyDescent="0.35">
      <c r="A43" s="333">
        <f t="shared" si="1"/>
        <v>43</v>
      </c>
      <c r="C43" s="20"/>
      <c r="D43" s="20"/>
      <c r="E43" s="21"/>
      <c r="F43" s="21"/>
      <c r="G43" s="21"/>
      <c r="H43" s="21"/>
      <c r="I43" s="21"/>
      <c r="J43" s="21"/>
      <c r="K43" s="21"/>
      <c r="L43" s="21"/>
      <c r="M43" s="21"/>
      <c r="N43" s="21"/>
      <c r="O43" s="1"/>
      <c r="P43" s="334"/>
      <c r="Q43" s="334"/>
    </row>
    <row r="44" spans="1:17" outlineLevel="1" x14ac:dyDescent="0.35">
      <c r="A44" s="333">
        <f t="shared" si="1"/>
        <v>44</v>
      </c>
      <c r="C44" s="19" t="s">
        <v>50</v>
      </c>
      <c r="K44" s="22"/>
      <c r="N44" s="1"/>
      <c r="O44" s="1"/>
      <c r="P44" s="334"/>
      <c r="Q44" s="334"/>
    </row>
    <row r="45" spans="1:17" outlineLevel="1" x14ac:dyDescent="0.35">
      <c r="A45" s="333">
        <f t="shared" si="1"/>
        <v>45</v>
      </c>
      <c r="C45" s="19"/>
      <c r="D45" s="3" t="s">
        <v>634</v>
      </c>
      <c r="E45" s="391"/>
      <c r="F45" s="1" t="s">
        <v>38</v>
      </c>
      <c r="N45" s="1"/>
      <c r="O45" s="1"/>
      <c r="P45" s="334"/>
      <c r="Q45" s="334"/>
    </row>
    <row r="46" spans="1:17" outlineLevel="1" x14ac:dyDescent="0.35">
      <c r="A46" s="333">
        <f t="shared" si="1"/>
        <v>46</v>
      </c>
      <c r="D46" s="3" t="s">
        <v>635</v>
      </c>
      <c r="E46" s="28"/>
      <c r="F46" s="1" t="s">
        <v>34</v>
      </c>
      <c r="N46" s="1"/>
      <c r="O46" s="1"/>
      <c r="P46" s="334"/>
      <c r="Q46" s="334"/>
    </row>
    <row r="47" spans="1:17" outlineLevel="1" x14ac:dyDescent="0.35">
      <c r="A47" s="333">
        <f t="shared" si="1"/>
        <v>47</v>
      </c>
      <c r="C47" s="21"/>
      <c r="D47" s="23"/>
      <c r="E47" s="23"/>
      <c r="F47" s="23"/>
      <c r="G47" s="23"/>
      <c r="H47" s="23"/>
      <c r="I47" s="23"/>
      <c r="J47" s="21"/>
      <c r="K47" s="21"/>
      <c r="L47" s="21"/>
      <c r="M47" s="21"/>
      <c r="N47" s="21"/>
      <c r="O47" s="1"/>
      <c r="P47" s="334"/>
      <c r="Q47" s="334"/>
    </row>
    <row r="48" spans="1:17" outlineLevel="1" x14ac:dyDescent="0.35">
      <c r="A48" s="333">
        <f t="shared" si="1"/>
        <v>48</v>
      </c>
      <c r="C48" s="2" t="s">
        <v>636</v>
      </c>
      <c r="D48" s="3"/>
      <c r="E48" s="3"/>
      <c r="F48" s="3"/>
      <c r="G48" s="3"/>
      <c r="H48" s="3"/>
      <c r="I48" s="3"/>
      <c r="J48" s="3"/>
      <c r="K48" s="3"/>
      <c r="N48" s="1"/>
      <c r="O48" s="1"/>
      <c r="P48" s="334"/>
      <c r="Q48" s="334"/>
    </row>
    <row r="49" spans="1:17" outlineLevel="1" x14ac:dyDescent="0.35">
      <c r="A49" s="333">
        <f t="shared" si="1"/>
        <v>49</v>
      </c>
      <c r="C49" s="2"/>
      <c r="D49" s="7" t="s">
        <v>637</v>
      </c>
      <c r="E49" s="392" t="str">
        <f>IF(E41*E42=0,"",IF(E45*E46=0,"",(E41*(E42/(E42+E46)))+(E45*(E46/(E46+E42)))))</f>
        <v/>
      </c>
      <c r="F49" s="6"/>
      <c r="G49" s="3"/>
      <c r="H49" s="3"/>
      <c r="I49" s="3"/>
      <c r="J49" s="3"/>
      <c r="K49" s="3"/>
      <c r="P49" s="334"/>
      <c r="Q49" s="334"/>
    </row>
    <row r="50" spans="1:17" outlineLevel="1" x14ac:dyDescent="0.35">
      <c r="A50" s="333">
        <f t="shared" si="1"/>
        <v>50</v>
      </c>
      <c r="C50" s="2"/>
      <c r="D50" s="7"/>
      <c r="E50" s="7"/>
      <c r="F50" s="3"/>
      <c r="G50" s="3"/>
      <c r="H50" s="3"/>
      <c r="I50" s="3"/>
      <c r="J50" s="21"/>
      <c r="K50" s="21"/>
      <c r="L50" s="21"/>
      <c r="M50" s="21"/>
      <c r="N50" s="21"/>
      <c r="O50" s="3"/>
      <c r="P50" s="334"/>
      <c r="Q50" s="334"/>
    </row>
    <row r="51" spans="1:17" outlineLevel="1" x14ac:dyDescent="0.35">
      <c r="A51" s="333">
        <f t="shared" si="1"/>
        <v>51</v>
      </c>
      <c r="C51" s="24" t="s">
        <v>512</v>
      </c>
      <c r="D51" s="25"/>
      <c r="E51" s="25"/>
      <c r="F51" s="26"/>
      <c r="G51" s="26"/>
      <c r="H51" s="26"/>
      <c r="I51" s="26"/>
      <c r="J51" s="26"/>
      <c r="K51" s="26"/>
      <c r="P51" s="334"/>
      <c r="Q51" s="334"/>
    </row>
    <row r="52" spans="1:17" outlineLevel="1" x14ac:dyDescent="0.35">
      <c r="A52" s="333">
        <f t="shared" si="1"/>
        <v>52</v>
      </c>
      <c r="C52" s="2"/>
      <c r="D52" s="7" t="s">
        <v>639</v>
      </c>
      <c r="E52" s="391"/>
      <c r="F52" s="1" t="s">
        <v>38</v>
      </c>
      <c r="G52" s="3"/>
      <c r="I52" s="3" t="s">
        <v>638</v>
      </c>
      <c r="J52" s="353"/>
      <c r="K52" s="1" t="s">
        <v>38</v>
      </c>
      <c r="P52" s="334"/>
      <c r="Q52" s="334"/>
    </row>
    <row r="53" spans="1:17" outlineLevel="1" x14ac:dyDescent="0.35">
      <c r="A53" s="333">
        <f t="shared" si="1"/>
        <v>53</v>
      </c>
      <c r="C53" s="16"/>
      <c r="D53" s="7" t="s">
        <v>640</v>
      </c>
      <c r="E53" s="391"/>
      <c r="F53" s="1" t="s">
        <v>38</v>
      </c>
      <c r="G53" s="8" t="str">
        <f>+IF(E53="","",IF(E52&gt;E53,"ERROR! No puede ser el destete mayor a la preñez",""))</f>
        <v/>
      </c>
      <c r="I53" s="14" t="s">
        <v>51</v>
      </c>
      <c r="J53" s="365"/>
      <c r="K53" s="1" t="s">
        <v>52</v>
      </c>
      <c r="P53" s="334"/>
      <c r="Q53" s="334"/>
    </row>
    <row r="54" spans="1:17" outlineLevel="1" x14ac:dyDescent="0.35">
      <c r="A54" s="333">
        <f t="shared" si="1"/>
        <v>54</v>
      </c>
      <c r="C54" s="16"/>
      <c r="D54" s="7" t="s">
        <v>643</v>
      </c>
      <c r="E54" s="367"/>
      <c r="H54" s="3"/>
      <c r="I54" s="3" t="s">
        <v>642</v>
      </c>
      <c r="J54" s="353"/>
      <c r="K54" s="1" t="s">
        <v>38</v>
      </c>
      <c r="P54" s="334"/>
      <c r="Q54" s="334"/>
    </row>
    <row r="55" spans="1:17" outlineLevel="1" x14ac:dyDescent="0.35">
      <c r="A55" s="333">
        <f t="shared" si="1"/>
        <v>55</v>
      </c>
      <c r="C55" s="16"/>
      <c r="D55" s="7" t="s">
        <v>641</v>
      </c>
      <c r="E55" s="367"/>
      <c r="F55" s="1" t="s">
        <v>34</v>
      </c>
      <c r="H55" s="3"/>
      <c r="P55" s="334"/>
      <c r="Q55" s="334"/>
    </row>
    <row r="56" spans="1:17" outlineLevel="1" x14ac:dyDescent="0.35">
      <c r="A56" s="333">
        <f t="shared" si="1"/>
        <v>56</v>
      </c>
      <c r="I56" s="2" t="s">
        <v>645</v>
      </c>
      <c r="J56" s="2" t="s">
        <v>646</v>
      </c>
      <c r="P56" s="334"/>
      <c r="Q56" s="334"/>
    </row>
    <row r="57" spans="1:17" outlineLevel="1" x14ac:dyDescent="0.35">
      <c r="A57" s="333">
        <f t="shared" si="1"/>
        <v>57</v>
      </c>
      <c r="D57" s="3" t="s">
        <v>58</v>
      </c>
      <c r="E57" s="28"/>
      <c r="F57" s="1" t="s">
        <v>59</v>
      </c>
      <c r="H57" s="3" t="s">
        <v>647</v>
      </c>
      <c r="I57" s="389"/>
      <c r="J57" s="366"/>
      <c r="P57" s="334"/>
      <c r="Q57" s="334"/>
    </row>
    <row r="58" spans="1:17" outlineLevel="1" x14ac:dyDescent="0.35">
      <c r="A58" s="333">
        <f t="shared" si="1"/>
        <v>58</v>
      </c>
      <c r="D58" s="3" t="s">
        <v>644</v>
      </c>
      <c r="E58" s="28"/>
      <c r="H58" s="3" t="s">
        <v>648</v>
      </c>
      <c r="I58" s="389"/>
      <c r="J58" s="366"/>
      <c r="P58" s="334"/>
      <c r="Q58" s="334"/>
    </row>
    <row r="59" spans="1:17" outlineLevel="1" x14ac:dyDescent="0.35">
      <c r="A59" s="333">
        <f t="shared" si="1"/>
        <v>59</v>
      </c>
      <c r="F59" s="27"/>
      <c r="G59" s="27"/>
      <c r="P59" s="334"/>
      <c r="Q59" s="334"/>
    </row>
    <row r="60" spans="1:17" outlineLevel="1" x14ac:dyDescent="0.35">
      <c r="A60" s="333">
        <f t="shared" si="1"/>
        <v>60</v>
      </c>
      <c r="C60" s="59" t="s">
        <v>192</v>
      </c>
      <c r="D60" s="27"/>
      <c r="E60" s="18" t="s">
        <v>189</v>
      </c>
      <c r="F60" s="18" t="s">
        <v>190</v>
      </c>
      <c r="G60" s="18" t="s">
        <v>191</v>
      </c>
      <c r="H60" s="18" t="s">
        <v>113</v>
      </c>
      <c r="I60" s="18" t="s">
        <v>193</v>
      </c>
      <c r="P60" s="334"/>
      <c r="Q60" s="334"/>
    </row>
    <row r="61" spans="1:17" outlineLevel="1" x14ac:dyDescent="0.35">
      <c r="A61" s="333">
        <f t="shared" si="1"/>
        <v>61</v>
      </c>
      <c r="D61" s="3" t="s">
        <v>188</v>
      </c>
      <c r="E61" s="28"/>
      <c r="F61" s="28"/>
      <c r="G61" s="28"/>
      <c r="H61" s="28"/>
      <c r="I61" s="28"/>
      <c r="P61" s="334"/>
      <c r="Q61" s="334"/>
    </row>
    <row r="62" spans="1:17" x14ac:dyDescent="0.35">
      <c r="A62" s="333">
        <f t="shared" si="1"/>
        <v>62</v>
      </c>
      <c r="P62" s="334"/>
      <c r="Q62" s="334"/>
    </row>
    <row r="63" spans="1:17" x14ac:dyDescent="0.35">
      <c r="A63" s="333">
        <f t="shared" si="1"/>
        <v>63</v>
      </c>
      <c r="B63" s="348" t="s">
        <v>60</v>
      </c>
      <c r="C63" s="348"/>
      <c r="D63" s="348"/>
      <c r="E63" s="348"/>
      <c r="F63" s="348"/>
      <c r="G63" s="348"/>
      <c r="H63" s="349"/>
      <c r="I63" s="349"/>
      <c r="J63" s="349"/>
      <c r="K63" s="349"/>
      <c r="L63" s="349"/>
      <c r="M63" s="349"/>
      <c r="N63" s="350"/>
      <c r="O63" s="350"/>
      <c r="P63" s="334"/>
      <c r="Q63" s="334"/>
    </row>
    <row r="64" spans="1:17" outlineLevel="2" x14ac:dyDescent="0.35">
      <c r="A64" s="333">
        <f t="shared" si="1"/>
        <v>64</v>
      </c>
      <c r="B64" s="8"/>
      <c r="C64" s="354" t="s">
        <v>513</v>
      </c>
      <c r="D64" s="17"/>
      <c r="E64" s="8"/>
      <c r="L64" s="368"/>
      <c r="M64" s="368"/>
      <c r="N64" s="369"/>
      <c r="O64" s="369"/>
      <c r="P64" s="334"/>
      <c r="Q64" s="334"/>
    </row>
    <row r="65" spans="1:17" outlineLevel="2" x14ac:dyDescent="0.35">
      <c r="A65" s="333">
        <f t="shared" si="1"/>
        <v>65</v>
      </c>
      <c r="C65" s="370" t="s">
        <v>574</v>
      </c>
      <c r="N65" s="1"/>
      <c r="P65" s="334"/>
      <c r="Q65" s="334"/>
    </row>
    <row r="66" spans="1:17" outlineLevel="2" x14ac:dyDescent="0.35">
      <c r="A66" s="333">
        <f t="shared" si="1"/>
        <v>66</v>
      </c>
      <c r="N66" s="1"/>
      <c r="O66" s="1"/>
      <c r="P66" s="334"/>
      <c r="Q66" s="334"/>
    </row>
    <row r="67" spans="1:17" outlineLevel="2" x14ac:dyDescent="0.35">
      <c r="A67" s="333">
        <f t="shared" ref="A67:A130" si="2">+A66+1</f>
        <v>67</v>
      </c>
      <c r="C67" s="60"/>
      <c r="D67" s="60" t="s">
        <v>61</v>
      </c>
      <c r="H67" s="29" t="s">
        <v>567</v>
      </c>
      <c r="I67" s="29"/>
      <c r="N67" s="1"/>
      <c r="O67" s="1"/>
      <c r="P67" s="334"/>
      <c r="Q67" s="334"/>
    </row>
    <row r="68" spans="1:17" outlineLevel="2" x14ac:dyDescent="0.35">
      <c r="A68" s="333">
        <f t="shared" si="2"/>
        <v>68</v>
      </c>
      <c r="D68" s="3" t="s">
        <v>40</v>
      </c>
      <c r="E68" s="28"/>
      <c r="F68" s="1" t="s">
        <v>41</v>
      </c>
      <c r="I68" s="3" t="s">
        <v>40</v>
      </c>
      <c r="J68" s="28"/>
      <c r="K68" s="1" t="s">
        <v>41</v>
      </c>
      <c r="O68" s="1"/>
      <c r="P68" s="334"/>
      <c r="Q68" s="334"/>
    </row>
    <row r="69" spans="1:17" outlineLevel="2" x14ac:dyDescent="0.35">
      <c r="A69" s="333">
        <f t="shared" si="2"/>
        <v>69</v>
      </c>
      <c r="D69" s="3"/>
      <c r="I69" s="3"/>
      <c r="P69" s="334"/>
      <c r="Q69" s="334"/>
    </row>
    <row r="70" spans="1:17" outlineLevel="2" x14ac:dyDescent="0.35">
      <c r="A70" s="333">
        <f t="shared" si="2"/>
        <v>70</v>
      </c>
      <c r="D70" s="7" t="s">
        <v>43</v>
      </c>
      <c r="E70" s="28"/>
      <c r="F70" s="16" t="s">
        <v>518</v>
      </c>
      <c r="I70" s="7" t="s">
        <v>43</v>
      </c>
      <c r="J70" s="28"/>
      <c r="K70" s="16" t="s">
        <v>518</v>
      </c>
      <c r="P70" s="334"/>
      <c r="Q70" s="334"/>
    </row>
    <row r="71" spans="1:17" outlineLevel="2" x14ac:dyDescent="0.35">
      <c r="A71" s="333">
        <f t="shared" si="2"/>
        <v>71</v>
      </c>
      <c r="D71" s="3" t="s">
        <v>43</v>
      </c>
      <c r="E71" s="28"/>
      <c r="F71" s="1" t="s">
        <v>41</v>
      </c>
      <c r="I71" s="3" t="s">
        <v>43</v>
      </c>
      <c r="J71" s="28"/>
      <c r="K71" s="1" t="s">
        <v>41</v>
      </c>
      <c r="P71" s="334"/>
      <c r="Q71" s="334"/>
    </row>
    <row r="72" spans="1:17" outlineLevel="2" x14ac:dyDescent="0.35">
      <c r="A72" s="333">
        <f t="shared" si="2"/>
        <v>72</v>
      </c>
      <c r="D72" s="371" t="s">
        <v>194</v>
      </c>
      <c r="E72" s="357"/>
      <c r="F72" s="1" t="s">
        <v>62</v>
      </c>
      <c r="I72" s="371" t="s">
        <v>194</v>
      </c>
      <c r="J72" s="357"/>
      <c r="K72" s="1" t="s">
        <v>62</v>
      </c>
      <c r="P72" s="334"/>
      <c r="Q72" s="334"/>
    </row>
    <row r="73" spans="1:17" outlineLevel="2" x14ac:dyDescent="0.35">
      <c r="A73" s="333">
        <f t="shared" si="2"/>
        <v>73</v>
      </c>
      <c r="D73" s="372" t="s">
        <v>68</v>
      </c>
      <c r="E73" s="373" t="e">
        <f>+E68/E70/365</f>
        <v>#DIV/0!</v>
      </c>
      <c r="F73" s="1" t="s">
        <v>69</v>
      </c>
      <c r="I73" s="372" t="s">
        <v>68</v>
      </c>
      <c r="J73" s="373" t="e">
        <f>+J68/J70/365</f>
        <v>#DIV/0!</v>
      </c>
      <c r="K73" s="1" t="s">
        <v>69</v>
      </c>
      <c r="P73" s="334"/>
      <c r="Q73" s="334"/>
    </row>
    <row r="74" spans="1:17" outlineLevel="2" x14ac:dyDescent="0.35">
      <c r="A74" s="333">
        <f t="shared" si="2"/>
        <v>74</v>
      </c>
      <c r="D74" s="372" t="s">
        <v>39</v>
      </c>
      <c r="E74" s="373" t="e">
        <f>E68/E71</f>
        <v>#DIV/0!</v>
      </c>
      <c r="I74" s="372" t="s">
        <v>39</v>
      </c>
      <c r="J74" s="373" t="e">
        <f>+J68/J71</f>
        <v>#DIV/0!</v>
      </c>
      <c r="P74" s="334"/>
      <c r="Q74" s="334"/>
    </row>
    <row r="75" spans="1:17" outlineLevel="2" x14ac:dyDescent="0.35">
      <c r="A75" s="333">
        <f t="shared" si="2"/>
        <v>75</v>
      </c>
      <c r="D75" s="14" t="s">
        <v>519</v>
      </c>
      <c r="E75" s="374" t="e">
        <f>+E68/E70</f>
        <v>#DIV/0!</v>
      </c>
      <c r="I75" s="14" t="s">
        <v>519</v>
      </c>
      <c r="J75" s="374" t="e">
        <f>+J68/J70</f>
        <v>#DIV/0!</v>
      </c>
      <c r="P75" s="334"/>
      <c r="Q75" s="334"/>
    </row>
    <row r="76" spans="1:17" outlineLevel="2" x14ac:dyDescent="0.35">
      <c r="A76" s="333">
        <f t="shared" si="2"/>
        <v>76</v>
      </c>
      <c r="P76" s="334"/>
      <c r="Q76" s="334"/>
    </row>
    <row r="77" spans="1:17" outlineLevel="2" x14ac:dyDescent="0.35">
      <c r="A77" s="333">
        <f t="shared" si="2"/>
        <v>77</v>
      </c>
      <c r="C77" s="308" t="s">
        <v>573</v>
      </c>
      <c r="H77" s="308" t="s">
        <v>572</v>
      </c>
      <c r="P77" s="334"/>
      <c r="Q77" s="334"/>
    </row>
    <row r="78" spans="1:17" outlineLevel="2" x14ac:dyDescent="0.35">
      <c r="A78" s="333">
        <f t="shared" si="2"/>
        <v>78</v>
      </c>
      <c r="C78" s="309" t="s">
        <v>565</v>
      </c>
      <c r="H78" s="309" t="s">
        <v>565</v>
      </c>
      <c r="P78" s="334"/>
      <c r="Q78" s="334"/>
    </row>
    <row r="79" spans="1:17" outlineLevel="2" x14ac:dyDescent="0.35">
      <c r="A79" s="333">
        <f t="shared" si="2"/>
        <v>79</v>
      </c>
      <c r="D79" s="1" t="s">
        <v>522</v>
      </c>
      <c r="E79" s="375"/>
      <c r="I79" s="1" t="s">
        <v>522</v>
      </c>
      <c r="J79" s="375"/>
      <c r="P79" s="334"/>
      <c r="Q79" s="334"/>
    </row>
    <row r="80" spans="1:17" outlineLevel="2" x14ac:dyDescent="0.35">
      <c r="A80" s="333">
        <f t="shared" si="2"/>
        <v>80</v>
      </c>
      <c r="I80" s="14" t="s">
        <v>566</v>
      </c>
      <c r="J80" s="28"/>
      <c r="P80" s="334"/>
      <c r="Q80" s="334"/>
    </row>
    <row r="81" spans="1:17" outlineLevel="2" x14ac:dyDescent="0.35">
      <c r="A81" s="333">
        <f t="shared" si="2"/>
        <v>81</v>
      </c>
      <c r="D81" s="1" t="s">
        <v>520</v>
      </c>
      <c r="E81" s="28"/>
      <c r="F81" s="1" t="s">
        <v>59</v>
      </c>
      <c r="I81" s="1" t="s">
        <v>520</v>
      </c>
      <c r="J81" s="28"/>
      <c r="K81" s="1" t="s">
        <v>59</v>
      </c>
      <c r="P81" s="334"/>
      <c r="Q81" s="334"/>
    </row>
    <row r="82" spans="1:17" outlineLevel="2" x14ac:dyDescent="0.35">
      <c r="A82" s="333">
        <f t="shared" si="2"/>
        <v>82</v>
      </c>
      <c r="D82" s="1" t="s">
        <v>521</v>
      </c>
      <c r="E82" s="28"/>
      <c r="F82" s="1" t="s">
        <v>59</v>
      </c>
      <c r="I82" s="1" t="s">
        <v>521</v>
      </c>
      <c r="J82" s="28"/>
      <c r="K82" s="1" t="s">
        <v>59</v>
      </c>
      <c r="P82" s="334"/>
      <c r="Q82" s="334"/>
    </row>
    <row r="83" spans="1:17" outlineLevel="2" x14ac:dyDescent="0.35">
      <c r="A83" s="333">
        <f t="shared" si="2"/>
        <v>83</v>
      </c>
      <c r="D83" s="372" t="s">
        <v>523</v>
      </c>
      <c r="E83" s="376"/>
      <c r="I83" s="372" t="s">
        <v>523</v>
      </c>
      <c r="J83" s="376"/>
      <c r="P83" s="334"/>
      <c r="Q83" s="334"/>
    </row>
    <row r="84" spans="1:17" outlineLevel="2" x14ac:dyDescent="0.35">
      <c r="A84" s="333">
        <f t="shared" si="2"/>
        <v>84</v>
      </c>
      <c r="D84" s="372" t="s">
        <v>66</v>
      </c>
      <c r="E84" s="377"/>
      <c r="F84" s="1" t="s">
        <v>67</v>
      </c>
      <c r="I84" s="372" t="s">
        <v>66</v>
      </c>
      <c r="J84" s="377"/>
      <c r="K84" s="1" t="s">
        <v>67</v>
      </c>
      <c r="P84" s="334"/>
      <c r="Q84" s="334"/>
    </row>
    <row r="85" spans="1:17" outlineLevel="2" x14ac:dyDescent="0.35">
      <c r="A85" s="333">
        <f t="shared" si="2"/>
        <v>85</v>
      </c>
      <c r="D85" s="378"/>
      <c r="E85" s="3"/>
      <c r="F85" s="379"/>
      <c r="G85" s="16"/>
      <c r="H85" s="16"/>
      <c r="I85" s="16"/>
      <c r="J85" s="7"/>
      <c r="K85" s="379"/>
      <c r="P85" s="334"/>
      <c r="Q85" s="334"/>
    </row>
    <row r="86" spans="1:17" x14ac:dyDescent="0.35">
      <c r="A86" s="333">
        <f t="shared" si="2"/>
        <v>86</v>
      </c>
      <c r="B86" s="348" t="s">
        <v>70</v>
      </c>
      <c r="C86" s="348"/>
      <c r="D86" s="348"/>
      <c r="E86" s="348"/>
      <c r="F86" s="348"/>
      <c r="G86" s="348"/>
      <c r="H86" s="349"/>
      <c r="I86" s="349"/>
      <c r="J86" s="349"/>
      <c r="K86" s="349"/>
      <c r="L86" s="349"/>
      <c r="M86" s="349"/>
      <c r="N86" s="350"/>
      <c r="O86" s="350"/>
      <c r="P86" s="334"/>
      <c r="Q86" s="334"/>
    </row>
    <row r="87" spans="1:17" outlineLevel="1" x14ac:dyDescent="0.35">
      <c r="A87" s="333">
        <f t="shared" si="2"/>
        <v>87</v>
      </c>
      <c r="B87" s="8"/>
      <c r="C87" s="354" t="s">
        <v>71</v>
      </c>
      <c r="D87" s="17"/>
      <c r="E87" s="8"/>
      <c r="F87" s="380"/>
      <c r="G87" s="380"/>
      <c r="H87" s="368"/>
      <c r="I87" s="368"/>
      <c r="J87" s="368"/>
      <c r="K87" s="368"/>
      <c r="L87" s="368"/>
      <c r="M87" s="368"/>
      <c r="N87" s="369"/>
      <c r="O87" s="369"/>
      <c r="P87" s="334"/>
      <c r="Q87" s="334"/>
    </row>
    <row r="88" spans="1:17" outlineLevel="1" x14ac:dyDescent="0.35">
      <c r="A88" s="333">
        <f t="shared" si="2"/>
        <v>88</v>
      </c>
      <c r="B88" s="380"/>
      <c r="D88" s="380"/>
      <c r="E88" s="380"/>
      <c r="F88" s="380"/>
      <c r="G88" s="380"/>
      <c r="H88" s="368"/>
      <c r="I88" s="368"/>
      <c r="J88" s="368"/>
      <c r="K88" s="368"/>
      <c r="L88" s="368"/>
      <c r="M88" s="368"/>
      <c r="N88" s="369"/>
      <c r="O88" s="369"/>
      <c r="P88" s="334"/>
      <c r="Q88" s="334"/>
    </row>
    <row r="89" spans="1:17" outlineLevel="1" x14ac:dyDescent="0.35">
      <c r="A89" s="333">
        <f t="shared" si="2"/>
        <v>89</v>
      </c>
      <c r="B89" s="380"/>
      <c r="C89" s="354"/>
      <c r="D89" s="380"/>
      <c r="E89" s="380"/>
      <c r="F89" s="380"/>
      <c r="G89" s="381" t="s">
        <v>72</v>
      </c>
      <c r="H89" s="382"/>
      <c r="I89" s="368"/>
      <c r="J89" s="368"/>
      <c r="K89" s="368"/>
      <c r="L89" s="368"/>
      <c r="M89" s="368"/>
      <c r="N89" s="369"/>
      <c r="O89" s="369"/>
      <c r="P89" s="334"/>
    </row>
    <row r="90" spans="1:17" outlineLevel="1" x14ac:dyDescent="0.35">
      <c r="A90" s="333">
        <f t="shared" si="2"/>
        <v>90</v>
      </c>
      <c r="B90" s="380"/>
      <c r="C90" s="354" t="s">
        <v>661</v>
      </c>
      <c r="D90" s="380"/>
      <c r="E90" s="380"/>
      <c r="F90" s="380"/>
      <c r="G90" s="381" t="s">
        <v>73</v>
      </c>
      <c r="H90" s="383"/>
      <c r="I90" s="368"/>
      <c r="J90" s="368"/>
      <c r="K90" s="368"/>
      <c r="L90" s="368"/>
      <c r="M90" s="368"/>
      <c r="N90" s="369"/>
      <c r="O90" s="369"/>
      <c r="P90" s="334"/>
    </row>
    <row r="91" spans="1:17" outlineLevel="1" x14ac:dyDescent="0.35">
      <c r="A91" s="333">
        <f t="shared" si="2"/>
        <v>91</v>
      </c>
      <c r="P91" s="334"/>
    </row>
    <row r="92" spans="1:17" outlineLevel="1" x14ac:dyDescent="0.35">
      <c r="A92" s="333">
        <f t="shared" si="2"/>
        <v>92</v>
      </c>
      <c r="D92" s="29" t="s">
        <v>74</v>
      </c>
      <c r="G92" s="30"/>
      <c r="H92" s="31"/>
      <c r="I92" s="29" t="s">
        <v>75</v>
      </c>
      <c r="P92" s="334"/>
    </row>
    <row r="93" spans="1:17" outlineLevel="1" x14ac:dyDescent="0.35">
      <c r="A93" s="333">
        <f t="shared" si="2"/>
        <v>93</v>
      </c>
      <c r="D93" s="371"/>
      <c r="G93" s="30"/>
      <c r="H93" s="31"/>
      <c r="P93" s="334"/>
    </row>
    <row r="94" spans="1:17" outlineLevel="1" x14ac:dyDescent="0.35">
      <c r="A94" s="333">
        <f t="shared" si="2"/>
        <v>94</v>
      </c>
      <c r="D94" s="372" t="s">
        <v>63</v>
      </c>
      <c r="E94" s="28"/>
      <c r="F94" s="1" t="s">
        <v>64</v>
      </c>
      <c r="G94" s="30"/>
      <c r="I94" s="3" t="s">
        <v>40</v>
      </c>
      <c r="J94" s="28"/>
      <c r="K94" s="1" t="s">
        <v>41</v>
      </c>
      <c r="M94" s="10"/>
      <c r="P94" s="334"/>
    </row>
    <row r="95" spans="1:17" ht="18" customHeight="1" outlineLevel="1" x14ac:dyDescent="0.35">
      <c r="A95" s="333">
        <f t="shared" si="2"/>
        <v>95</v>
      </c>
      <c r="D95" s="3"/>
      <c r="E95" s="3"/>
      <c r="G95" s="30"/>
      <c r="I95" s="3"/>
      <c r="M95" s="10"/>
      <c r="P95" s="334"/>
    </row>
    <row r="96" spans="1:17" outlineLevel="1" x14ac:dyDescent="0.35">
      <c r="A96" s="333">
        <f t="shared" si="2"/>
        <v>96</v>
      </c>
      <c r="D96" s="14" t="s">
        <v>519</v>
      </c>
      <c r="E96" s="28"/>
      <c r="F96" s="1" t="s">
        <v>655</v>
      </c>
      <c r="G96" s="30"/>
      <c r="I96" s="14" t="s">
        <v>519</v>
      </c>
      <c r="J96" s="28"/>
      <c r="K96" s="16" t="s">
        <v>518</v>
      </c>
      <c r="M96" s="10"/>
      <c r="P96" s="334"/>
    </row>
    <row r="97" spans="1:17 16382:16382" outlineLevel="1" x14ac:dyDescent="0.35">
      <c r="A97" s="333">
        <f t="shared" si="2"/>
        <v>97</v>
      </c>
      <c r="D97" s="372" t="s">
        <v>660</v>
      </c>
      <c r="E97" s="397"/>
      <c r="F97" s="1" t="s">
        <v>69</v>
      </c>
      <c r="G97" s="30"/>
      <c r="I97" s="372" t="s">
        <v>660</v>
      </c>
      <c r="J97" s="397"/>
      <c r="K97" s="1" t="s">
        <v>41</v>
      </c>
      <c r="P97" s="334"/>
    </row>
    <row r="98" spans="1:17 16382:16382" outlineLevel="1" x14ac:dyDescent="0.35">
      <c r="A98" s="333">
        <f t="shared" si="2"/>
        <v>98</v>
      </c>
      <c r="D98" s="371" t="s">
        <v>194</v>
      </c>
      <c r="E98" s="357"/>
      <c r="F98" s="1" t="s">
        <v>62</v>
      </c>
      <c r="G98" s="30"/>
      <c r="I98" s="371" t="s">
        <v>194</v>
      </c>
      <c r="J98" s="357"/>
      <c r="K98" s="1" t="s">
        <v>62</v>
      </c>
      <c r="P98" s="334"/>
    </row>
    <row r="99" spans="1:17 16382:16382" outlineLevel="1" x14ac:dyDescent="0.35">
      <c r="A99" s="333">
        <f t="shared" si="2"/>
        <v>99</v>
      </c>
      <c r="D99" s="372" t="s">
        <v>76</v>
      </c>
      <c r="E99" s="357"/>
      <c r="F99" s="1" t="s">
        <v>77</v>
      </c>
      <c r="G99" s="30"/>
      <c r="I99" s="372" t="s">
        <v>76</v>
      </c>
      <c r="J99" s="357"/>
      <c r="K99" s="1" t="s">
        <v>77</v>
      </c>
      <c r="P99" s="334"/>
    </row>
    <row r="100" spans="1:17 16382:16382" outlineLevel="1" x14ac:dyDescent="0.35">
      <c r="A100" s="333">
        <f t="shared" si="2"/>
        <v>100</v>
      </c>
      <c r="D100" s="372"/>
      <c r="E100" s="372"/>
      <c r="F100" s="372"/>
      <c r="G100" s="30"/>
      <c r="P100" s="334"/>
    </row>
    <row r="101" spans="1:17 16382:16382" outlineLevel="1" x14ac:dyDescent="0.35">
      <c r="A101" s="333">
        <f t="shared" si="2"/>
        <v>101</v>
      </c>
      <c r="C101" s="10"/>
      <c r="D101" s="14" t="s">
        <v>551</v>
      </c>
      <c r="E101" s="393" t="e">
        <f>+E99/E94</f>
        <v>#DIV/0!</v>
      </c>
      <c r="F101" s="372"/>
      <c r="G101" s="30"/>
      <c r="I101" s="14" t="s">
        <v>551</v>
      </c>
      <c r="J101" s="393" t="e">
        <f>+J99/J94</f>
        <v>#DIV/0!</v>
      </c>
      <c r="P101" s="334"/>
    </row>
    <row r="102" spans="1:17 16382:16382" outlineLevel="1" x14ac:dyDescent="0.35">
      <c r="A102" s="333">
        <f t="shared" si="2"/>
        <v>102</v>
      </c>
      <c r="D102" s="372"/>
      <c r="G102" s="30"/>
      <c r="P102" s="334"/>
    </row>
    <row r="103" spans="1:17 16382:16382" outlineLevel="1" x14ac:dyDescent="0.35">
      <c r="A103" s="333">
        <f t="shared" si="2"/>
        <v>103</v>
      </c>
      <c r="G103" s="30"/>
      <c r="P103" s="334"/>
    </row>
    <row r="104" spans="1:17 16382:16382" outlineLevel="1" x14ac:dyDescent="0.35">
      <c r="A104" s="333">
        <f t="shared" si="2"/>
        <v>104</v>
      </c>
      <c r="D104" s="308" t="s">
        <v>563</v>
      </c>
      <c r="G104" s="30"/>
      <c r="P104" s="334"/>
    </row>
    <row r="105" spans="1:17 16382:16382" outlineLevel="1" x14ac:dyDescent="0.35">
      <c r="A105" s="333">
        <f t="shared" si="2"/>
        <v>105</v>
      </c>
      <c r="C105" s="309" t="s">
        <v>564</v>
      </c>
      <c r="D105" s="308"/>
      <c r="G105" s="30"/>
      <c r="I105" s="308" t="s">
        <v>568</v>
      </c>
      <c r="P105" s="334"/>
    </row>
    <row r="106" spans="1:17 16382:16382" outlineLevel="2" x14ac:dyDescent="0.35">
      <c r="A106" s="333">
        <f t="shared" si="2"/>
        <v>106</v>
      </c>
      <c r="B106" s="309"/>
      <c r="G106" s="30"/>
      <c r="H106" s="1" t="s">
        <v>564</v>
      </c>
      <c r="P106" s="334"/>
      <c r="Q106" s="334"/>
    </row>
    <row r="107" spans="1:17 16382:16382" outlineLevel="1" x14ac:dyDescent="0.35">
      <c r="A107" s="333">
        <f t="shared" si="2"/>
        <v>107</v>
      </c>
      <c r="D107" s="1" t="s">
        <v>522</v>
      </c>
      <c r="E107" s="375"/>
      <c r="G107" s="30"/>
      <c r="I107" s="1" t="s">
        <v>522</v>
      </c>
      <c r="J107" s="375"/>
      <c r="P107" s="334"/>
      <c r="XFB107" s="1"/>
    </row>
    <row r="108" spans="1:17 16382:16382" outlineLevel="1" x14ac:dyDescent="0.35">
      <c r="A108" s="333">
        <f t="shared" si="2"/>
        <v>108</v>
      </c>
      <c r="G108" s="30"/>
      <c r="I108" s="14" t="s">
        <v>566</v>
      </c>
      <c r="J108" s="28"/>
      <c r="P108" s="334"/>
      <c r="XFB108" s="1"/>
    </row>
    <row r="109" spans="1:17 16382:16382" outlineLevel="1" x14ac:dyDescent="0.35">
      <c r="A109" s="333">
        <f t="shared" si="2"/>
        <v>109</v>
      </c>
      <c r="D109" s="1" t="s">
        <v>520</v>
      </c>
      <c r="E109" s="28"/>
      <c r="F109" s="1" t="s">
        <v>59</v>
      </c>
      <c r="G109" s="30"/>
      <c r="I109" s="1" t="s">
        <v>520</v>
      </c>
      <c r="J109" s="28"/>
      <c r="K109" s="1" t="s">
        <v>59</v>
      </c>
      <c r="P109" s="334"/>
    </row>
    <row r="110" spans="1:17 16382:16382" outlineLevel="1" x14ac:dyDescent="0.35">
      <c r="A110" s="333">
        <f t="shared" si="2"/>
        <v>110</v>
      </c>
      <c r="D110" s="1" t="s">
        <v>521</v>
      </c>
      <c r="E110" s="28"/>
      <c r="F110" s="1" t="s">
        <v>59</v>
      </c>
      <c r="G110" s="30"/>
      <c r="I110" s="1" t="s">
        <v>521</v>
      </c>
      <c r="J110" s="28"/>
      <c r="K110" s="1" t="s">
        <v>59</v>
      </c>
      <c r="P110" s="334"/>
    </row>
    <row r="111" spans="1:17 16382:16382" ht="15" customHeight="1" outlineLevel="1" x14ac:dyDescent="0.35">
      <c r="A111" s="333">
        <f t="shared" si="2"/>
        <v>111</v>
      </c>
      <c r="G111" s="30"/>
      <c r="P111" s="334"/>
    </row>
    <row r="112" spans="1:17 16382:16382" ht="15" customHeight="1" outlineLevel="1" x14ac:dyDescent="0.35">
      <c r="A112" s="333">
        <f t="shared" si="2"/>
        <v>112</v>
      </c>
      <c r="C112" s="10"/>
      <c r="D112" s="384" t="s">
        <v>540</v>
      </c>
      <c r="E112" s="1" t="s">
        <v>67</v>
      </c>
      <c r="G112" s="30"/>
      <c r="I112" s="384" t="s">
        <v>540</v>
      </c>
      <c r="J112" s="1" t="s">
        <v>67</v>
      </c>
      <c r="P112" s="334"/>
    </row>
    <row r="113" spans="1:16" outlineLevel="1" x14ac:dyDescent="0.35">
      <c r="A113" s="333">
        <f t="shared" si="2"/>
        <v>113</v>
      </c>
      <c r="D113" s="372" t="s">
        <v>78</v>
      </c>
      <c r="E113" s="385"/>
      <c r="G113" s="30"/>
      <c r="I113" s="372" t="s">
        <v>78</v>
      </c>
      <c r="J113" s="385"/>
      <c r="P113" s="334"/>
    </row>
    <row r="114" spans="1:16" outlineLevel="1" x14ac:dyDescent="0.35">
      <c r="A114" s="333">
        <f t="shared" si="2"/>
        <v>114</v>
      </c>
      <c r="D114" s="14" t="s">
        <v>79</v>
      </c>
      <c r="E114" s="385"/>
      <c r="G114" s="30"/>
      <c r="I114" s="14" t="s">
        <v>79</v>
      </c>
      <c r="J114" s="385"/>
      <c r="P114" s="334"/>
    </row>
    <row r="115" spans="1:16" outlineLevel="1" x14ac:dyDescent="0.35">
      <c r="A115" s="333">
        <f t="shared" si="2"/>
        <v>115</v>
      </c>
      <c r="D115" s="14" t="s">
        <v>80</v>
      </c>
      <c r="E115" s="385"/>
      <c r="G115" s="30"/>
      <c r="I115" s="14" t="s">
        <v>80</v>
      </c>
      <c r="J115" s="385"/>
      <c r="P115" s="334"/>
    </row>
    <row r="116" spans="1:16" outlineLevel="1" x14ac:dyDescent="0.35">
      <c r="A116" s="333">
        <f t="shared" si="2"/>
        <v>116</v>
      </c>
      <c r="D116" s="14" t="s">
        <v>81</v>
      </c>
      <c r="E116" s="385"/>
      <c r="G116" s="30"/>
      <c r="I116" s="14" t="s">
        <v>81</v>
      </c>
      <c r="J116" s="385"/>
      <c r="P116" s="334"/>
    </row>
    <row r="117" spans="1:16" outlineLevel="1" x14ac:dyDescent="0.35">
      <c r="A117" s="333">
        <f t="shared" si="2"/>
        <v>117</v>
      </c>
      <c r="D117" s="14" t="s">
        <v>82</v>
      </c>
      <c r="E117" s="385"/>
      <c r="G117" s="30"/>
      <c r="I117" s="14" t="s">
        <v>82</v>
      </c>
      <c r="J117" s="385"/>
      <c r="P117" s="334"/>
    </row>
    <row r="118" spans="1:16" outlineLevel="1" x14ac:dyDescent="0.35">
      <c r="A118" s="333">
        <f t="shared" si="2"/>
        <v>118</v>
      </c>
      <c r="D118" s="14" t="s">
        <v>83</v>
      </c>
      <c r="E118" s="385"/>
      <c r="G118" s="30"/>
      <c r="H118" s="31"/>
      <c r="I118" s="14" t="s">
        <v>83</v>
      </c>
      <c r="J118" s="385"/>
      <c r="P118" s="334"/>
    </row>
    <row r="119" spans="1:16" outlineLevel="1" x14ac:dyDescent="0.35">
      <c r="A119" s="333">
        <f t="shared" si="2"/>
        <v>119</v>
      </c>
      <c r="G119" s="33"/>
      <c r="P119" s="334"/>
    </row>
    <row r="120" spans="1:16" outlineLevel="1" x14ac:dyDescent="0.35">
      <c r="A120" s="333">
        <f t="shared" si="2"/>
        <v>120</v>
      </c>
      <c r="C120" s="2"/>
      <c r="D120" s="386" t="s">
        <v>84</v>
      </c>
      <c r="E120" s="387" t="str">
        <f>IFERROR(E94/(E94+E68),"")</f>
        <v/>
      </c>
      <c r="G120" s="33"/>
      <c r="I120" s="386" t="s">
        <v>85</v>
      </c>
      <c r="J120" s="387" t="str">
        <f>IFERROR(J94/(J94+J68),"")</f>
        <v/>
      </c>
      <c r="M120" s="16"/>
      <c r="N120" s="1"/>
      <c r="P120" s="334"/>
    </row>
    <row r="121" spans="1:16" outlineLevel="1" x14ac:dyDescent="0.35">
      <c r="A121" s="333">
        <f t="shared" si="2"/>
        <v>121</v>
      </c>
      <c r="D121" s="386" t="s">
        <v>86</v>
      </c>
      <c r="E121" s="388" t="str">
        <f>IF(E120="","",1-E120)</f>
        <v/>
      </c>
      <c r="G121" s="33"/>
      <c r="I121" s="386" t="s">
        <v>87</v>
      </c>
      <c r="J121" s="388" t="str">
        <f>IF(J120="","",1-J120)</f>
        <v/>
      </c>
      <c r="M121" s="16"/>
      <c r="N121" s="1"/>
      <c r="P121" s="334"/>
    </row>
    <row r="122" spans="1:16" outlineLevel="1" x14ac:dyDescent="0.35">
      <c r="A122" s="333">
        <f t="shared" si="2"/>
        <v>122</v>
      </c>
      <c r="G122" s="33"/>
      <c r="M122" s="16"/>
      <c r="N122" s="1"/>
      <c r="P122" s="334"/>
    </row>
    <row r="123" spans="1:16" outlineLevel="1" x14ac:dyDescent="0.35">
      <c r="A123" s="333">
        <f t="shared" si="2"/>
        <v>123</v>
      </c>
      <c r="E123" s="378"/>
      <c r="F123" s="16"/>
      <c r="G123" s="16"/>
      <c r="J123" s="378"/>
      <c r="K123" s="16"/>
      <c r="L123" s="378"/>
      <c r="M123" s="16"/>
      <c r="N123" s="1"/>
      <c r="P123" s="334"/>
    </row>
    <row r="124" spans="1:16" x14ac:dyDescent="0.35">
      <c r="A124" s="333">
        <f t="shared" si="2"/>
        <v>124</v>
      </c>
      <c r="C124" s="403" t="s">
        <v>552</v>
      </c>
      <c r="D124" s="403"/>
      <c r="E124" s="403"/>
      <c r="F124" s="403"/>
      <c r="G124" s="403"/>
      <c r="H124" s="403"/>
      <c r="I124" s="403"/>
      <c r="J124" s="403"/>
      <c r="K124" s="403"/>
      <c r="L124" s="403"/>
      <c r="M124" s="403"/>
      <c r="N124" s="403"/>
      <c r="P124" s="334"/>
    </row>
    <row r="125" spans="1:16" x14ac:dyDescent="0.35">
      <c r="A125" s="333">
        <f t="shared" si="2"/>
        <v>125</v>
      </c>
      <c r="C125" s="401"/>
      <c r="D125" s="401"/>
      <c r="E125" s="401"/>
      <c r="F125" s="401"/>
      <c r="G125" s="401"/>
      <c r="H125" s="401"/>
      <c r="I125" s="401"/>
      <c r="J125" s="401"/>
      <c r="K125" s="401"/>
      <c r="L125" s="401"/>
      <c r="M125" s="401"/>
      <c r="N125" s="401"/>
      <c r="P125" s="334"/>
    </row>
    <row r="126" spans="1:16" x14ac:dyDescent="0.35">
      <c r="A126" s="333">
        <f t="shared" si="2"/>
        <v>126</v>
      </c>
      <c r="C126" s="402"/>
      <c r="D126" s="402"/>
      <c r="E126" s="402"/>
      <c r="F126" s="402"/>
      <c r="G126" s="402"/>
      <c r="H126" s="402"/>
      <c r="I126" s="402"/>
      <c r="J126" s="402"/>
      <c r="K126" s="402"/>
      <c r="L126" s="402"/>
      <c r="M126" s="402"/>
      <c r="N126" s="402"/>
      <c r="P126" s="334"/>
    </row>
    <row r="127" spans="1:16" x14ac:dyDescent="0.35">
      <c r="A127" s="333">
        <f t="shared" si="2"/>
        <v>127</v>
      </c>
      <c r="C127" s="402"/>
      <c r="D127" s="402"/>
      <c r="E127" s="402"/>
      <c r="F127" s="402"/>
      <c r="G127" s="402"/>
      <c r="H127" s="402"/>
      <c r="I127" s="402"/>
      <c r="J127" s="402"/>
      <c r="K127" s="402"/>
      <c r="L127" s="402"/>
      <c r="M127" s="402"/>
      <c r="N127" s="402"/>
      <c r="P127" s="334"/>
    </row>
    <row r="128" spans="1:16" x14ac:dyDescent="0.35">
      <c r="A128" s="333">
        <f t="shared" si="2"/>
        <v>128</v>
      </c>
      <c r="C128" s="402"/>
      <c r="D128" s="402"/>
      <c r="E128" s="402"/>
      <c r="F128" s="402"/>
      <c r="G128" s="402"/>
      <c r="H128" s="402"/>
      <c r="I128" s="402"/>
      <c r="J128" s="402"/>
      <c r="K128" s="402"/>
      <c r="L128" s="402"/>
      <c r="M128" s="402"/>
      <c r="N128" s="402"/>
      <c r="P128" s="334"/>
    </row>
    <row r="129" spans="1:16" x14ac:dyDescent="0.35">
      <c r="A129" s="333">
        <f t="shared" si="2"/>
        <v>129</v>
      </c>
      <c r="C129" s="402"/>
      <c r="D129" s="402"/>
      <c r="E129" s="402"/>
      <c r="F129" s="402"/>
      <c r="G129" s="402"/>
      <c r="H129" s="402"/>
      <c r="I129" s="402"/>
      <c r="J129" s="402"/>
      <c r="K129" s="402"/>
      <c r="L129" s="402"/>
      <c r="M129" s="402"/>
      <c r="N129" s="402"/>
      <c r="P129" s="334"/>
    </row>
    <row r="130" spans="1:16" x14ac:dyDescent="0.35">
      <c r="A130" s="333">
        <f t="shared" si="2"/>
        <v>130</v>
      </c>
      <c r="C130" s="402"/>
      <c r="D130" s="402"/>
      <c r="E130" s="402"/>
      <c r="F130" s="402"/>
      <c r="G130" s="402"/>
      <c r="H130" s="402"/>
      <c r="I130" s="402"/>
      <c r="J130" s="402"/>
      <c r="K130" s="402"/>
      <c r="L130" s="402"/>
      <c r="M130" s="402"/>
      <c r="N130" s="402"/>
      <c r="P130" s="334"/>
    </row>
    <row r="131" spans="1:16" x14ac:dyDescent="0.35">
      <c r="A131" s="333">
        <f t="shared" ref="A131:O135" si="3">+A130+1</f>
        <v>131</v>
      </c>
      <c r="C131" s="402"/>
      <c r="D131" s="402"/>
      <c r="E131" s="402"/>
      <c r="F131" s="402"/>
      <c r="G131" s="402"/>
      <c r="H131" s="402"/>
      <c r="I131" s="402"/>
      <c r="J131" s="402"/>
      <c r="K131" s="402"/>
      <c r="L131" s="402"/>
      <c r="M131" s="402"/>
      <c r="N131" s="402"/>
      <c r="P131" s="334"/>
    </row>
    <row r="132" spans="1:16" x14ac:dyDescent="0.35">
      <c r="A132" s="333">
        <f t="shared" si="3"/>
        <v>132</v>
      </c>
      <c r="C132" s="402"/>
      <c r="D132" s="402"/>
      <c r="E132" s="402"/>
      <c r="F132" s="402"/>
      <c r="G132" s="402"/>
      <c r="H132" s="402"/>
      <c r="I132" s="402"/>
      <c r="J132" s="402"/>
      <c r="K132" s="402"/>
      <c r="L132" s="402"/>
      <c r="M132" s="402"/>
      <c r="N132" s="402"/>
      <c r="P132" s="334"/>
    </row>
    <row r="133" spans="1:16" x14ac:dyDescent="0.35">
      <c r="A133" s="333">
        <f t="shared" si="3"/>
        <v>133</v>
      </c>
      <c r="P133" s="334"/>
    </row>
    <row r="134" spans="1:16" ht="14.5" x14ac:dyDescent="0.35">
      <c r="A134" s="333">
        <f t="shared" si="3"/>
        <v>134</v>
      </c>
      <c r="B134" s="333">
        <f t="shared" si="3"/>
        <v>1</v>
      </c>
      <c r="C134" s="333">
        <f t="shared" si="3"/>
        <v>1</v>
      </c>
      <c r="D134" s="333">
        <f t="shared" si="3"/>
        <v>1</v>
      </c>
      <c r="E134" s="333">
        <f t="shared" si="3"/>
        <v>1</v>
      </c>
      <c r="F134" s="333">
        <f t="shared" si="3"/>
        <v>1</v>
      </c>
      <c r="G134" s="333">
        <f t="shared" si="3"/>
        <v>1</v>
      </c>
      <c r="H134" s="333">
        <f t="shared" si="3"/>
        <v>1</v>
      </c>
      <c r="I134" s="333">
        <f t="shared" si="3"/>
        <v>1</v>
      </c>
      <c r="J134" s="333">
        <f t="shared" si="3"/>
        <v>1</v>
      </c>
      <c r="K134" s="333">
        <f t="shared" si="3"/>
        <v>1</v>
      </c>
      <c r="L134" s="333">
        <f t="shared" si="3"/>
        <v>1</v>
      </c>
      <c r="M134" s="333">
        <f t="shared" si="3"/>
        <v>1</v>
      </c>
      <c r="N134" s="333">
        <f t="shared" si="3"/>
        <v>1</v>
      </c>
      <c r="O134" s="333">
        <f t="shared" si="3"/>
        <v>1</v>
      </c>
      <c r="P134" s="334"/>
    </row>
    <row r="135" spans="1:16" ht="14.5" x14ac:dyDescent="0.35">
      <c r="A135" s="333">
        <f t="shared" si="3"/>
        <v>135</v>
      </c>
      <c r="B135" s="333">
        <f t="shared" si="3"/>
        <v>2</v>
      </c>
      <c r="C135" s="333">
        <f t="shared" si="3"/>
        <v>2</v>
      </c>
      <c r="D135" s="333">
        <f t="shared" si="3"/>
        <v>2</v>
      </c>
      <c r="E135" s="333">
        <f t="shared" si="3"/>
        <v>2</v>
      </c>
      <c r="F135" s="333">
        <f t="shared" si="3"/>
        <v>2</v>
      </c>
      <c r="G135" s="333">
        <f t="shared" si="3"/>
        <v>2</v>
      </c>
      <c r="H135" s="333">
        <f t="shared" si="3"/>
        <v>2</v>
      </c>
      <c r="I135" s="333">
        <f t="shared" si="3"/>
        <v>2</v>
      </c>
      <c r="J135" s="333">
        <f t="shared" si="3"/>
        <v>2</v>
      </c>
      <c r="K135" s="333">
        <f t="shared" si="3"/>
        <v>2</v>
      </c>
      <c r="L135" s="333">
        <f t="shared" si="3"/>
        <v>2</v>
      </c>
      <c r="M135" s="333">
        <f t="shared" si="3"/>
        <v>2</v>
      </c>
      <c r="N135" s="333">
        <f t="shared" si="3"/>
        <v>2</v>
      </c>
      <c r="O135" s="333">
        <f t="shared" si="3"/>
        <v>2</v>
      </c>
      <c r="P135" s="334"/>
    </row>
  </sheetData>
  <sheetProtection sheet="1" objects="1" scenarios="1" selectLockedCells="1"/>
  <protectedRanges>
    <protectedRange sqref="G37" name="Rango1"/>
  </protectedRanges>
  <dataConsolidate/>
  <mergeCells count="6">
    <mergeCell ref="C125:N132"/>
    <mergeCell ref="I5:J5"/>
    <mergeCell ref="M11:O12"/>
    <mergeCell ref="M13:O14"/>
    <mergeCell ref="M15:O16"/>
    <mergeCell ref="C124:N124"/>
  </mergeCells>
  <conditionalFormatting sqref="J12">
    <cfRule type="expression" dxfId="35" priority="3">
      <formula>$J$11&gt;1</formula>
    </cfRule>
  </conditionalFormatting>
  <conditionalFormatting sqref="J14">
    <cfRule type="expression" dxfId="34" priority="2">
      <formula>$J$13&gt;1</formula>
    </cfRule>
  </conditionalFormatting>
  <conditionalFormatting sqref="J16">
    <cfRule type="expression" dxfId="33" priority="1">
      <formula>$J$15&gt;1</formula>
    </cfRule>
  </conditionalFormatting>
  <dataValidations count="62">
    <dataValidation type="list" allowBlank="1" showInputMessage="1" showErrorMessage="1" prompt="Servicio '15" sqref="J57:J58">
      <formula1>duracion</formula1>
    </dataValidation>
    <dataValidation type="list" allowBlank="1" showInputMessage="1" showErrorMessage="1" prompt="Servicio '15" sqref="I58">
      <formula1>fechaservicio</formula1>
    </dataValidation>
    <dataValidation allowBlank="1" showInputMessage="1" showErrorMessage="1" prompt="Tiempo desde la primer labor del verdeo/diferido hasta cambio de uso del lote (no sólo tiempo que fue pastoreado)." sqref="J14"/>
    <dataValidation allowBlank="1" showInputMessage="1" showErrorMessage="1" prompt="Tiempo desde la primer labor del verdeo hasta cambio de uso del lote (no sólo tiempo que fue pastoreado)." sqref="J12"/>
    <dataValidation type="list" allowBlank="1" showInputMessage="1" showErrorMessage="1" sqref="J83 E83">
      <formula1>RRFF</formula1>
    </dataValidation>
    <dataValidation allowBlank="1" showInputMessage="1" showErrorMessage="1" prompt="Vaquillonas de 1° servicio preñadas 17´/ vaquillonas de 1° s. entoradas en 16´" sqref="E45"/>
    <dataValidation allowBlank="1" showInputMessage="1" showErrorMessage="1" prompt="Vacas y vaquillonas preñadas sobre vientres entoradas en servicio 15´" sqref="E53"/>
    <dataValidation allowBlank="1" showInputMessage="1" showErrorMessage="1" prompt="Terneros destetados 17´sobre vientres entorados en servicio´15" sqref="E52"/>
    <dataValidation allowBlank="1" showErrorMessage="1" prompt="Superficie de monte productivos del establecimiento" sqref="J16"/>
    <dataValidation allowBlank="1" showErrorMessage="1" sqref="J19"/>
    <dataValidation allowBlank="1" showInputMessage="1" showErrorMessage="1" prompt="Superfice de rastrojos pastoreados. En la celda contigua se calculará las has asignadas a dicho recurso según las Normas CREA." sqref="J15"/>
    <dataValidation allowBlank="1" showInputMessage="1" showErrorMessage="1" prompt="Superfice sembrada (tal cual) con verdeos de verano para consumo fresco o diferido. En la celda contigua se calculará las has asignadas a dicho recurso según las Normas CREA." sqref="J13"/>
    <dataValidation allowBlank="1" showInputMessage="1" showErrorMessage="1" prompt="Superficie del establecimiento en producción." sqref="E11"/>
    <dataValidation allowBlank="1" showInputMessage="1" showErrorMessage="1" prompt="Superficie de suelo de la unidad de producción en agricultura, propias y alquiladas." sqref="E12"/>
    <dataValidation type="list" allowBlank="1" showInputMessage="1" showErrorMessage="1" sqref="G6">
      <formula1>MP</formula1>
    </dataValidation>
    <dataValidation allowBlank="1" showInputMessage="1" showErrorMessage="1" prompt="Praderas implantadas en la campaña en análisis." sqref="E18"/>
    <dataValidation allowBlank="1" showInputMessage="1" showErrorMessage="1" prompt="Stock bovino al 30 de junio 2017 (todo lo que está en el establecimiento)" sqref="E27"/>
    <dataValidation allowBlank="1" showInputMessage="1" showErrorMessage="1" prompt="Producción de carne (kg totales) = SALIDAS (kg vendidos,  traslados, consumo del eto.) - ENTRADAS (kg por compra o traslados de otras procedencias) + DIF. INVENTARIO (en Kg)" sqref="E28 J68 E68 E94 J94"/>
    <dataValidation allowBlank="1" showInputMessage="1" showErrorMessage="1" prompt="Cantidad de Vaquillonas de 1 en servicio en 2016" sqref="E46"/>
    <dataValidation allowBlank="1" showInputMessage="1" showErrorMessage="1" prompt="Nro de cabezas muertas/cabezas ingresadas" sqref="E30"/>
    <dataValidation allowBlank="1" showInputMessage="1" showErrorMessage="1" prompt="Superficie de campo natural de la unidad de producción" sqref="E15"/>
    <dataValidation allowBlank="1" showInputMessage="1" showErrorMessage="1" prompt="Superficie de praderas perennes ya implantadas" sqref="E17"/>
    <dataValidation allowBlank="1" showInputMessage="1" showErrorMessage="1" prompt="Superfice sembrada con verdeos de invierno tal cual. En la celda contigua se calculará las has asignadas a dicho recurso según las Normas CREA." sqref="J11"/>
    <dataValidation allowBlank="1" showInputMessage="1" showErrorMessage="1" prompt="Superficie de monte productivos de la unidad de producción" sqref="E16"/>
    <dataValidation allowBlank="1" showInputMessage="1" showErrorMessage="1" prompt="Stock bovino al 1 de julio 2016 (todo lo que está en el establecimiento)" sqref="E26"/>
    <dataValidation allowBlank="1" showInputMessage="1" showErrorMessage="1" prompt="Ponderar en función de la cantidad de tiempo que se le dedica a la ganadería. Se tiene en cuenta el personal de maquinaria que le presta un servicio a la ganadería." sqref="E33 H90"/>
    <dataValidation allowBlank="1" showInputMessage="1" showErrorMessage="1" prompt="Incluye vacas y vaquillonas" sqref="E54:E55"/>
    <dataValidation allowBlank="1" showInputMessage="1" showErrorMessage="1" prompt="Este indicador no debe ser tenido en cuenta en producciones a corral" sqref="J27 J29"/>
    <dataValidation allowBlank="1" showInputMessage="1" showErrorMessage="1" prompt="Vacas preñadas 17´sobre vacas entoradas servicio 16´" sqref="E41"/>
    <dataValidation type="list" allowBlank="1" showErrorMessage="1" sqref="E61:I61">
      <formula1>cruz</formula1>
    </dataValidation>
    <dataValidation type="list" allowBlank="1" showInputMessage="1" showErrorMessage="1" prompt="Región donde se encuentra el establecimiento, independientemente del CREA al que pertenezca el establecimiento." sqref="F6">
      <formula1>Crea</formula1>
    </dataValidation>
    <dataValidation type="list" allowBlank="1" showInputMessage="1" showErrorMessage="1" sqref="J53">
      <formula1>edadservicio</formula1>
    </dataValidation>
    <dataValidation allowBlank="1" showInputMessage="1" showErrorMessage="1" prompt="% de vaquillonas inseminadas en la campaña (Vaquillona Inseminadas/Vaquillonas en Servicio)" sqref="J54"/>
    <dataValidation allowBlank="1" showInputMessage="1" showErrorMessage="1" prompt="% de vacas inseminadas en la campaña vacas Inseminadas/Vacas en Servicio)" sqref="J52"/>
    <dataValidation allowBlank="1" showInputMessage="1" showErrorMessage="1" prompt="Peso medio de destete '17" sqref="E57"/>
    <dataValidation type="list" allowBlank="1" showInputMessage="1" showErrorMessage="1" prompt="Servicio '15_x000a_" sqref="I57">
      <formula1>fechaservicio</formula1>
    </dataValidation>
    <dataValidation allowBlank="1" showInputMessage="1" showErrorMessage="1" prompt="Capacidad máxima instantanea" sqref="H89"/>
    <dataValidation allowBlank="1" showInputMessage="1" showErrorMessage="1" prompt="Ingrese un valor estimativo promedio de venta de la hectárea donde está realizando la ganadería." sqref="J21"/>
    <dataValidation type="list" allowBlank="1" showInputMessage="1" showErrorMessage="1" sqref="E79 J79 J107 E107">
      <formula1>MH</formula1>
    </dataValidation>
    <dataValidation type="list" allowBlank="1" showInputMessage="1" showErrorMessage="1" sqref="J81 J109">
      <formula1>PET</formula1>
    </dataValidation>
    <dataValidation type="list" allowBlank="1" showInputMessage="1" showErrorMessage="1" sqref="J82 J110">
      <formula1>PST</formula1>
    </dataValidation>
    <dataValidation type="list" allowBlank="1" showInputMessage="1" showErrorMessage="1" sqref="E81 E109">
      <formula1>PER</formula1>
    </dataValidation>
    <dataValidation type="list" allowBlank="1" showInputMessage="1" showErrorMessage="1" sqref="E82 E110">
      <formula1>PSR</formula1>
    </dataValidation>
    <dataValidation allowBlank="1" showInputMessage="1" showErrorMessage="1" prompt="Stock medio en recría: promedio de los valores de stock mensual en cabezas para el ejercicio." sqref="E70"/>
    <dataValidation type="list" allowBlank="1" showInputMessage="1" showErrorMessage="1" sqref="E114 J114">
      <formula1>CC</formula1>
    </dataValidation>
    <dataValidation type="list" allowBlank="1" showInputMessage="1" showErrorMessage="1" sqref="E115:E118 E113 J115:J118 J113">
      <formula1>Dieta</formula1>
    </dataValidation>
    <dataValidation type="list" allowBlank="1" showInputMessage="1" showErrorMessage="1" sqref="J80 J108">
      <formula1>sino</formula1>
    </dataValidation>
    <dataValidation allowBlank="1" showInputMessage="1" showErrorMessage="1" prompt="Superficie en en ganadería con aptitud agrícola (clase I a IV) propias y alquiladas." sqref="J20"/>
    <dataValidation allowBlank="1" showInputMessage="1" showErrorMessage="1" prompt="Si la empresa tiene más de un establecimiento, llenar una planilla por cada campo." sqref="D6"/>
    <dataValidation allowBlank="1" showInputMessage="1" showErrorMessage="1" prompt="Tiempo promedio de la recría. Si hay distintos lotes/rodeos, poner la duración ponderada." sqref="E72 E98"/>
    <dataValidation allowBlank="1" showInputMessage="1" showErrorMessage="1" prompt="Tiempo promedio de la terminación. Si hay distintos lotes/rodeos, poner la duración ponderada." sqref="J72 J98"/>
    <dataValidation type="list" allowBlank="1" showInputMessage="1" showErrorMessage="1" prompt="% de la dieta en MS suplementada" sqref="E84 J84">
      <formula1>supl</formula1>
    </dataValidation>
    <dataValidation type="list" allowBlank="1" showInputMessage="1" showErrorMessage="1" prompt="Edad promedio al destete '17. Si hubo diferentes destetes, poner una edad promedio. Si merece aclaraciones, anotarlas en observaciones. " sqref="E58">
      <formula1>Destete</formula1>
    </dataValidation>
    <dataValidation allowBlank="1" showInputMessage="1" showErrorMessage="1" prompt="Kilos de materia seca ofrecidos en los corrales de recría" sqref="E99"/>
    <dataValidation allowBlank="1" showInputMessage="1" showErrorMessage="1" prompt="Kilos de materia seca ofrecidos en los corrales de terminación." sqref="J99"/>
    <dataValidation allowBlank="1" showInputMessage="1" showErrorMessage="1" prompt="Promedio de los valores de stock mensual en kg para el ejercicio (incluye corrales). Los terneros al pie de la madre se deben contabilizar como stock para el cálculo de carga." sqref="E32"/>
    <dataValidation allowBlank="1" showInputMessage="1" showErrorMessage="1" prompt="Promedio de los valores de stock mensual en cabezas para el ejercicio (incluye corrales). Los terneros al pie de la madre se deben contabilizar para el cálculo de carga." sqref="E31"/>
    <dataValidation allowBlank="1" showInputMessage="1" showErrorMessage="1" prompt="Stock medio en recría: promedio de los valores de stock mensual en kilos totales para el ejercicio." sqref="E71"/>
    <dataValidation allowBlank="1" showInputMessage="1" showErrorMessage="1" prompt="Stock medio en terminación: promedio de los valores de stock mensual en cabezas para el ejercicio." sqref="J70"/>
    <dataValidation allowBlank="1" showInputMessage="1" showErrorMessage="1" prompt="Stock medio en terminación: promedio de los valores de stock mensual en kilos totales para el ejercicio." sqref="J71"/>
    <dataValidation allowBlank="1" showErrorMessage="1" prompt="Kilos de materia seca ofrecidos en total" sqref="E96 J96"/>
    <dataValidation allowBlank="1" showInputMessage="1" showErrorMessage="1" prompt="Aumento diario de peso vivo promedio" sqref="J97 E97"/>
  </dataValidations>
  <hyperlinks>
    <hyperlink ref="G95" location="'1 (prop.sup)'!F115" display="Ir a cálculo desbaste"/>
    <hyperlink ref="G95:G96" location="'1'!D118" display="Ir a cálculo desbaste"/>
    <hyperlink ref="L95:L96" location="'1'!D118" display="Ir a cálculo desbaste"/>
    <hyperlink ref="L95" location="'1 (prop.sup)'!F115" display="Ir a cálculo desbaste"/>
  </hyperlinks>
  <pageMargins left="0.25" right="0.25" top="0.75" bottom="0.75" header="0.3" footer="0.3"/>
  <pageSetup paperSize="9" scale="48" fitToHeight="0" orientation="portrait" verticalDpi="599" r:id="rId1"/>
  <rowBreaks count="1" manualBreakCount="1">
    <brk id="60" min="1" max="12"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B135"/>
  <sheetViews>
    <sheetView showGridLines="0" zoomScale="90" zoomScaleNormal="90" workbookViewId="0">
      <pane xSplit="1" ySplit="1" topLeftCell="B2" activePane="bottomRight" state="frozen"/>
      <selection activeCell="B21" sqref="B21"/>
      <selection pane="topRight" activeCell="B21" sqref="B21"/>
      <selection pane="bottomLeft" activeCell="B21" sqref="B21"/>
      <selection pane="bottomRight" activeCell="C6" sqref="C6"/>
    </sheetView>
  </sheetViews>
  <sheetFormatPr baseColWidth="10" defaultColWidth="0" defaultRowHeight="15.5" customHeight="1" zeroHeight="1" outlineLevelRow="2" x14ac:dyDescent="0.35"/>
  <cols>
    <col min="1" max="1" width="5" style="330" customWidth="1"/>
    <col min="2" max="2" width="11.81640625" style="1" customWidth="1"/>
    <col min="3" max="3" width="16" style="1" customWidth="1"/>
    <col min="4" max="4" width="18.54296875" style="1" customWidth="1"/>
    <col min="5" max="6" width="14.54296875" style="1" customWidth="1"/>
    <col min="7" max="7" width="12.1796875" style="1" customWidth="1"/>
    <col min="8" max="8" width="16.26953125" style="1" customWidth="1"/>
    <col min="9" max="10" width="14.54296875" style="1" customWidth="1"/>
    <col min="11" max="12" width="13.453125" style="1" customWidth="1"/>
    <col min="13" max="13" width="14.54296875" style="1" customWidth="1"/>
    <col min="14" max="15" width="11.453125" style="69" customWidth="1"/>
    <col min="16" max="16" width="5.54296875" style="69" customWidth="1"/>
    <col min="17" max="17" width="11.453125" style="69" hidden="1"/>
    <col min="18" max="16382" width="0" style="69" hidden="1"/>
    <col min="16383" max="16384" width="11.453125" style="69" hidden="1"/>
  </cols>
  <sheetData>
    <row r="1" spans="1:17" s="333" customFormat="1" ht="14.5" x14ac:dyDescent="0.35">
      <c r="A1" s="333">
        <v>1</v>
      </c>
      <c r="B1" s="333">
        <f t="shared" ref="B1:P1" si="0">+A1+1</f>
        <v>2</v>
      </c>
      <c r="C1" s="333">
        <f t="shared" si="0"/>
        <v>3</v>
      </c>
      <c r="D1" s="333">
        <f t="shared" si="0"/>
        <v>4</v>
      </c>
      <c r="E1" s="333">
        <f t="shared" si="0"/>
        <v>5</v>
      </c>
      <c r="F1" s="333">
        <f t="shared" si="0"/>
        <v>6</v>
      </c>
      <c r="G1" s="333">
        <f t="shared" si="0"/>
        <v>7</v>
      </c>
      <c r="H1" s="333">
        <f t="shared" si="0"/>
        <v>8</v>
      </c>
      <c r="I1" s="333">
        <f t="shared" si="0"/>
        <v>9</v>
      </c>
      <c r="J1" s="333">
        <f t="shared" si="0"/>
        <v>10</v>
      </c>
      <c r="K1" s="333">
        <f t="shared" si="0"/>
        <v>11</v>
      </c>
      <c r="L1" s="333">
        <f t="shared" si="0"/>
        <v>12</v>
      </c>
      <c r="M1" s="333">
        <f t="shared" si="0"/>
        <v>13</v>
      </c>
      <c r="N1" s="333">
        <f t="shared" si="0"/>
        <v>14</v>
      </c>
      <c r="O1" s="333">
        <f t="shared" si="0"/>
        <v>15</v>
      </c>
      <c r="P1" s="333">
        <f t="shared" si="0"/>
        <v>16</v>
      </c>
    </row>
    <row r="2" spans="1:17" x14ac:dyDescent="0.35">
      <c r="A2" s="333">
        <f>+A1+1</f>
        <v>2</v>
      </c>
      <c r="P2" s="334"/>
      <c r="Q2" s="334"/>
    </row>
    <row r="3" spans="1:17" x14ac:dyDescent="0.35">
      <c r="A3" s="333">
        <f t="shared" ref="A3:A66" si="1">+A2+1</f>
        <v>3</v>
      </c>
      <c r="B3" s="335" t="s">
        <v>0</v>
      </c>
      <c r="C3" s="336"/>
      <c r="D3" s="58"/>
      <c r="E3" s="302"/>
      <c r="F3" s="337" t="s">
        <v>1</v>
      </c>
      <c r="G3" s="58"/>
      <c r="H3" s="303"/>
      <c r="I3" s="337" t="s">
        <v>2</v>
      </c>
      <c r="J3" s="58"/>
      <c r="K3" s="58"/>
      <c r="L3" s="336"/>
      <c r="M3" s="336"/>
      <c r="N3" s="338"/>
      <c r="O3" s="339"/>
      <c r="P3" s="334"/>
      <c r="Q3" s="334"/>
    </row>
    <row r="4" spans="1:17" x14ac:dyDescent="0.35">
      <c r="A4" s="333">
        <f t="shared" si="1"/>
        <v>4</v>
      </c>
      <c r="B4" s="340"/>
      <c r="C4" s="340"/>
      <c r="E4" s="336"/>
      <c r="F4" s="336"/>
      <c r="G4" s="336"/>
      <c r="H4" s="336"/>
      <c r="I4" s="336"/>
      <c r="J4" s="336"/>
      <c r="K4" s="336"/>
      <c r="L4" s="336"/>
      <c r="M4" s="336"/>
      <c r="N4" s="338"/>
      <c r="O4" s="338"/>
      <c r="P4" s="334"/>
      <c r="Q4" s="334"/>
    </row>
    <row r="5" spans="1:17" ht="29" x14ac:dyDescent="0.35">
      <c r="A5" s="333">
        <f t="shared" si="1"/>
        <v>5</v>
      </c>
      <c r="B5" s="341" t="s">
        <v>3</v>
      </c>
      <c r="C5" s="342" t="s">
        <v>4</v>
      </c>
      <c r="D5" s="341" t="s">
        <v>5</v>
      </c>
      <c r="E5" s="342" t="s">
        <v>6</v>
      </c>
      <c r="F5" s="342" t="s">
        <v>7</v>
      </c>
      <c r="G5" s="343" t="s">
        <v>8</v>
      </c>
      <c r="H5" s="344" t="s">
        <v>9</v>
      </c>
      <c r="I5" s="404" t="s">
        <v>10</v>
      </c>
      <c r="J5" s="405"/>
      <c r="N5" s="345"/>
      <c r="P5" s="334"/>
      <c r="Q5" s="334"/>
    </row>
    <row r="6" spans="1:17" x14ac:dyDescent="0.35">
      <c r="A6" s="333">
        <f t="shared" si="1"/>
        <v>6</v>
      </c>
      <c r="B6" s="310" t="s">
        <v>649</v>
      </c>
      <c r="C6" s="346"/>
      <c r="D6" s="346"/>
      <c r="E6" s="347"/>
      <c r="F6" s="346"/>
      <c r="G6" s="347"/>
      <c r="H6" s="347"/>
      <c r="I6" s="347"/>
      <c r="J6" s="347"/>
      <c r="N6" s="338"/>
      <c r="O6" s="338"/>
      <c r="P6" s="334"/>
      <c r="Q6" s="334"/>
    </row>
    <row r="7" spans="1:17" x14ac:dyDescent="0.35">
      <c r="A7" s="333">
        <f t="shared" si="1"/>
        <v>7</v>
      </c>
      <c r="P7" s="334"/>
      <c r="Q7" s="334"/>
    </row>
    <row r="8" spans="1:17" x14ac:dyDescent="0.35">
      <c r="A8" s="333">
        <f t="shared" si="1"/>
        <v>8</v>
      </c>
      <c r="B8" s="348" t="s">
        <v>13</v>
      </c>
      <c r="C8" s="348"/>
      <c r="D8" s="348"/>
      <c r="E8" s="348"/>
      <c r="F8" s="348"/>
      <c r="G8" s="348"/>
      <c r="H8" s="349"/>
      <c r="I8" s="349"/>
      <c r="J8" s="349"/>
      <c r="K8" s="349"/>
      <c r="L8" s="349"/>
      <c r="M8" s="349"/>
      <c r="N8" s="350"/>
      <c r="O8" s="350"/>
      <c r="P8" s="334"/>
      <c r="Q8" s="334"/>
    </row>
    <row r="9" spans="1:17" x14ac:dyDescent="0.35">
      <c r="A9" s="333">
        <f t="shared" si="1"/>
        <v>9</v>
      </c>
      <c r="P9" s="334"/>
      <c r="Q9" s="334"/>
    </row>
    <row r="10" spans="1:17" x14ac:dyDescent="0.35">
      <c r="A10" s="333">
        <f t="shared" si="1"/>
        <v>10</v>
      </c>
      <c r="C10" s="2"/>
      <c r="D10" s="2" t="s">
        <v>14</v>
      </c>
      <c r="G10" s="2"/>
      <c r="I10" s="56" t="s">
        <v>17</v>
      </c>
      <c r="J10" s="69"/>
      <c r="K10" s="69"/>
      <c r="L10" s="2" t="s">
        <v>18</v>
      </c>
      <c r="M10" s="4"/>
      <c r="P10" s="334"/>
      <c r="Q10" s="334"/>
    </row>
    <row r="11" spans="1:17" ht="18" customHeight="1" x14ac:dyDescent="0.35">
      <c r="A11" s="333">
        <f t="shared" si="1"/>
        <v>11</v>
      </c>
      <c r="D11" s="3" t="s">
        <v>15</v>
      </c>
      <c r="E11" s="28"/>
      <c r="F11" s="1" t="s">
        <v>16</v>
      </c>
      <c r="I11" s="3" t="s">
        <v>19</v>
      </c>
      <c r="J11" s="28"/>
      <c r="K11" s="1" t="s">
        <v>16</v>
      </c>
      <c r="L11" s="5" t="str">
        <f>IF(J11*J12/12=0,"",J11*J12/12)</f>
        <v/>
      </c>
      <c r="M11" s="406" t="s">
        <v>656</v>
      </c>
      <c r="N11" s="406"/>
      <c r="O11" s="406"/>
      <c r="P11" s="334"/>
      <c r="Q11" s="334"/>
    </row>
    <row r="12" spans="1:17" x14ac:dyDescent="0.35">
      <c r="A12" s="333">
        <f t="shared" si="1"/>
        <v>12</v>
      </c>
      <c r="D12" s="3" t="s">
        <v>514</v>
      </c>
      <c r="E12" s="28"/>
      <c r="F12" s="1" t="s">
        <v>16</v>
      </c>
      <c r="I12" s="3" t="str">
        <f>+IF(J11&gt;1,"Tiempo ocupado por verdeo de invierno","")</f>
        <v/>
      </c>
      <c r="J12" s="351"/>
      <c r="K12" s="6" t="str">
        <f>+IF($J$11&gt;1,"meses","")</f>
        <v/>
      </c>
      <c r="L12" s="69"/>
      <c r="M12" s="406"/>
      <c r="N12" s="406"/>
      <c r="O12" s="406"/>
      <c r="P12" s="334"/>
      <c r="Q12" s="334"/>
    </row>
    <row r="13" spans="1:17" ht="18" customHeight="1" x14ac:dyDescent="0.35">
      <c r="A13" s="333">
        <f t="shared" si="1"/>
        <v>13</v>
      </c>
      <c r="I13" s="3" t="s">
        <v>22</v>
      </c>
      <c r="J13" s="28"/>
      <c r="K13" s="1" t="s">
        <v>16</v>
      </c>
      <c r="L13" s="5" t="str">
        <f>IF(J13*J14/12=0,"",J13*J14/12)</f>
        <v/>
      </c>
      <c r="M13" s="406" t="s">
        <v>657</v>
      </c>
      <c r="N13" s="406"/>
      <c r="O13" s="406"/>
      <c r="P13" s="334"/>
      <c r="Q13" s="334"/>
    </row>
    <row r="14" spans="1:17" x14ac:dyDescent="0.35">
      <c r="A14" s="333">
        <f t="shared" si="1"/>
        <v>14</v>
      </c>
      <c r="C14" s="2"/>
      <c r="D14" s="2" t="s">
        <v>21</v>
      </c>
      <c r="I14" s="3" t="str">
        <f>+IF(J13&gt;1,"Tiempo ocupado por verdeo de verano y diferido","")</f>
        <v/>
      </c>
      <c r="J14" s="351"/>
      <c r="K14" s="6" t="str">
        <f>+IF($J$13&gt;1,"meses","")</f>
        <v/>
      </c>
      <c r="L14" s="69"/>
      <c r="M14" s="406"/>
      <c r="N14" s="406"/>
      <c r="O14" s="406"/>
      <c r="P14" s="334"/>
      <c r="Q14" s="334"/>
    </row>
    <row r="15" spans="1:17" ht="18" customHeight="1" x14ac:dyDescent="0.35">
      <c r="A15" s="333">
        <f t="shared" si="1"/>
        <v>15</v>
      </c>
      <c r="D15" s="3" t="s">
        <v>24</v>
      </c>
      <c r="E15" s="28"/>
      <c r="F15" s="1" t="s">
        <v>16</v>
      </c>
      <c r="I15" s="3" t="s">
        <v>26</v>
      </c>
      <c r="J15" s="28"/>
      <c r="K15" s="1" t="s">
        <v>16</v>
      </c>
      <c r="L15" s="5" t="str">
        <f>IF(J15*J16/12=0,"",J15*J16/12)</f>
        <v/>
      </c>
      <c r="M15" s="406" t="s">
        <v>658</v>
      </c>
      <c r="N15" s="406"/>
      <c r="O15" s="406"/>
      <c r="P15" s="334"/>
      <c r="Q15" s="334"/>
    </row>
    <row r="16" spans="1:17" x14ac:dyDescent="0.35">
      <c r="A16" s="333">
        <f t="shared" si="1"/>
        <v>16</v>
      </c>
      <c r="B16" s="8"/>
      <c r="D16" s="7" t="s">
        <v>25</v>
      </c>
      <c r="E16" s="28"/>
      <c r="F16" s="1" t="s">
        <v>16</v>
      </c>
      <c r="I16" s="3" t="str">
        <f>+IF(J15&gt;1,"Tiempo de ocupación de rastrojos y otros  ","")</f>
        <v/>
      </c>
      <c r="J16" s="351"/>
      <c r="K16" s="6" t="str">
        <f>+IF($J$15&gt;1,"meses","")</f>
        <v/>
      </c>
      <c r="L16" s="69"/>
      <c r="M16" s="406"/>
      <c r="N16" s="406"/>
      <c r="O16" s="406"/>
      <c r="P16" s="334"/>
      <c r="Q16" s="334"/>
    </row>
    <row r="17" spans="1:17" x14ac:dyDescent="0.35">
      <c r="A17" s="333">
        <f t="shared" si="1"/>
        <v>17</v>
      </c>
      <c r="D17" s="3" t="s">
        <v>28</v>
      </c>
      <c r="E17" s="28"/>
      <c r="F17" s="1" t="s">
        <v>16</v>
      </c>
      <c r="M17" s="396"/>
      <c r="N17" s="352"/>
      <c r="O17" s="352"/>
      <c r="P17" s="334"/>
      <c r="Q17" s="334"/>
    </row>
    <row r="18" spans="1:17" x14ac:dyDescent="0.35">
      <c r="A18" s="333">
        <f t="shared" si="1"/>
        <v>18</v>
      </c>
      <c r="D18" s="3" t="s">
        <v>29</v>
      </c>
      <c r="E18" s="28"/>
      <c r="F18" s="1" t="s">
        <v>16</v>
      </c>
      <c r="G18" s="10"/>
      <c r="H18" s="11"/>
      <c r="I18" s="57" t="s">
        <v>30</v>
      </c>
      <c r="J18" s="10"/>
      <c r="K18" s="10"/>
      <c r="P18" s="334"/>
      <c r="Q18" s="334"/>
    </row>
    <row r="19" spans="1:17" x14ac:dyDescent="0.35">
      <c r="A19" s="333">
        <f t="shared" si="1"/>
        <v>19</v>
      </c>
      <c r="C19" s="1" t="s">
        <v>9</v>
      </c>
      <c r="D19" s="329"/>
      <c r="E19" s="329"/>
      <c r="F19" s="1" t="s">
        <v>16</v>
      </c>
      <c r="G19" s="10"/>
      <c r="H19" s="10"/>
      <c r="I19" s="7" t="s">
        <v>31</v>
      </c>
      <c r="J19" s="12">
        <f>+SUM(E15:E20,L11,L13,L15)</f>
        <v>0</v>
      </c>
      <c r="K19" s="10" t="s">
        <v>16</v>
      </c>
      <c r="P19" s="334"/>
      <c r="Q19" s="334"/>
    </row>
    <row r="20" spans="1:17" x14ac:dyDescent="0.35">
      <c r="A20" s="333">
        <f t="shared" si="1"/>
        <v>20</v>
      </c>
      <c r="C20" s="1" t="s">
        <v>9</v>
      </c>
      <c r="D20" s="329"/>
      <c r="E20" s="329"/>
      <c r="F20" s="1" t="s">
        <v>16</v>
      </c>
      <c r="G20" s="10"/>
      <c r="H20" s="10"/>
      <c r="I20" s="3" t="s">
        <v>575</v>
      </c>
      <c r="J20" s="353"/>
      <c r="K20" s="3"/>
      <c r="L20" s="8"/>
      <c r="P20" s="334"/>
      <c r="Q20" s="334"/>
    </row>
    <row r="21" spans="1:17" x14ac:dyDescent="0.35">
      <c r="A21" s="333">
        <f t="shared" si="1"/>
        <v>21</v>
      </c>
      <c r="H21" s="311"/>
      <c r="I21" s="7" t="s">
        <v>517</v>
      </c>
      <c r="J21" s="28"/>
      <c r="K21" s="331" t="s">
        <v>515</v>
      </c>
      <c r="L21" s="8"/>
      <c r="P21" s="334"/>
      <c r="Q21" s="334"/>
    </row>
    <row r="22" spans="1:17" x14ac:dyDescent="0.35">
      <c r="A22" s="333">
        <f t="shared" si="1"/>
        <v>22</v>
      </c>
      <c r="G22" s="10"/>
      <c r="H22" s="10"/>
      <c r="I22" s="3"/>
      <c r="J22" s="3"/>
      <c r="K22" s="3"/>
      <c r="L22" s="8"/>
      <c r="P22" s="334"/>
      <c r="Q22" s="334"/>
    </row>
    <row r="23" spans="1:17" x14ac:dyDescent="0.35">
      <c r="A23" s="333">
        <f t="shared" si="1"/>
        <v>23</v>
      </c>
      <c r="G23" s="10"/>
      <c r="H23" s="10"/>
      <c r="I23" s="3"/>
      <c r="J23" s="3"/>
      <c r="K23" s="3"/>
      <c r="L23" s="8"/>
      <c r="P23" s="334"/>
      <c r="Q23" s="334"/>
    </row>
    <row r="24" spans="1:17" x14ac:dyDescent="0.35">
      <c r="A24" s="333">
        <f t="shared" si="1"/>
        <v>24</v>
      </c>
      <c r="B24" s="348" t="s">
        <v>32</v>
      </c>
      <c r="C24" s="348"/>
      <c r="D24" s="348"/>
      <c r="E24" s="348"/>
      <c r="F24" s="348"/>
      <c r="G24" s="348"/>
      <c r="H24" s="349"/>
      <c r="I24" s="349"/>
      <c r="J24" s="349"/>
      <c r="K24" s="349"/>
      <c r="L24" s="349"/>
      <c r="M24" s="349"/>
      <c r="N24" s="350"/>
      <c r="O24" s="350"/>
      <c r="P24" s="334"/>
      <c r="Q24" s="334"/>
    </row>
    <row r="25" spans="1:17" x14ac:dyDescent="0.35">
      <c r="A25" s="333">
        <f t="shared" si="1"/>
        <v>25</v>
      </c>
      <c r="O25" s="13"/>
      <c r="P25" s="334"/>
      <c r="Q25" s="334"/>
    </row>
    <row r="26" spans="1:17" x14ac:dyDescent="0.35">
      <c r="A26" s="333">
        <f t="shared" si="1"/>
        <v>26</v>
      </c>
      <c r="D26" s="3" t="s">
        <v>33</v>
      </c>
      <c r="E26" s="28"/>
      <c r="F26" s="1" t="s">
        <v>34</v>
      </c>
      <c r="J26" s="354" t="s">
        <v>35</v>
      </c>
      <c r="K26" s="69"/>
      <c r="P26" s="334"/>
      <c r="Q26" s="334"/>
    </row>
    <row r="27" spans="1:17" x14ac:dyDescent="0.35">
      <c r="A27" s="333">
        <f t="shared" si="1"/>
        <v>27</v>
      </c>
      <c r="D27" s="3" t="s">
        <v>36</v>
      </c>
      <c r="E27" s="28"/>
      <c r="F27" s="1" t="s">
        <v>34</v>
      </c>
      <c r="J27" s="67" t="str">
        <f>+IFERROR(E28/J19,"")</f>
        <v/>
      </c>
      <c r="K27" s="1" t="s">
        <v>187</v>
      </c>
      <c r="P27" s="334"/>
      <c r="Q27" s="334"/>
    </row>
    <row r="28" spans="1:17" x14ac:dyDescent="0.35">
      <c r="A28" s="333">
        <f t="shared" si="1"/>
        <v>28</v>
      </c>
      <c r="D28" s="3" t="s">
        <v>40</v>
      </c>
      <c r="E28" s="28"/>
      <c r="F28" s="1" t="s">
        <v>41</v>
      </c>
      <c r="J28" s="68" t="str">
        <f>+IFERROR(E28/(E31),"")</f>
        <v/>
      </c>
      <c r="K28" s="1" t="s">
        <v>516</v>
      </c>
      <c r="P28" s="334"/>
      <c r="Q28" s="334"/>
    </row>
    <row r="29" spans="1:17" x14ac:dyDescent="0.35">
      <c r="A29" s="333">
        <f t="shared" si="1"/>
        <v>29</v>
      </c>
      <c r="J29" s="68" t="str">
        <f>+IFERROR(E32/J19,"")</f>
        <v/>
      </c>
      <c r="K29" s="15" t="s">
        <v>186</v>
      </c>
      <c r="P29" s="334"/>
      <c r="Q29" s="334"/>
    </row>
    <row r="30" spans="1:17" x14ac:dyDescent="0.35">
      <c r="A30" s="333">
        <f t="shared" si="1"/>
        <v>30</v>
      </c>
      <c r="D30" s="3" t="s">
        <v>37</v>
      </c>
      <c r="E30" s="353"/>
      <c r="F30" s="1" t="s">
        <v>38</v>
      </c>
      <c r="J30" s="355" t="str">
        <f>+IFERROR(E28/E32,"")</f>
        <v/>
      </c>
      <c r="K30" s="6" t="s">
        <v>39</v>
      </c>
      <c r="P30" s="334"/>
      <c r="Q30" s="334"/>
    </row>
    <row r="31" spans="1:17" x14ac:dyDescent="0.35">
      <c r="A31" s="333">
        <f t="shared" si="1"/>
        <v>31</v>
      </c>
      <c r="D31" s="7" t="s">
        <v>43</v>
      </c>
      <c r="E31" s="28"/>
      <c r="F31" s="16" t="s">
        <v>518</v>
      </c>
      <c r="J31" s="356" t="str">
        <f>+IFERROR(E28/E33,"")</f>
        <v/>
      </c>
      <c r="K31" s="15" t="s">
        <v>42</v>
      </c>
      <c r="P31" s="334"/>
      <c r="Q31" s="334"/>
    </row>
    <row r="32" spans="1:17" x14ac:dyDescent="0.35">
      <c r="A32" s="333">
        <f t="shared" si="1"/>
        <v>32</v>
      </c>
      <c r="D32" s="3" t="s">
        <v>43</v>
      </c>
      <c r="E32" s="28"/>
      <c r="F32" s="1" t="s">
        <v>41</v>
      </c>
      <c r="M32" s="69"/>
      <c r="P32" s="334"/>
      <c r="Q32" s="334"/>
    </row>
    <row r="33" spans="1:17" ht="17.25" customHeight="1" x14ac:dyDescent="0.35">
      <c r="A33" s="333">
        <f t="shared" si="1"/>
        <v>33</v>
      </c>
      <c r="D33" s="14" t="s">
        <v>44</v>
      </c>
      <c r="E33" s="390"/>
      <c r="M33" s="69"/>
      <c r="P33" s="334"/>
      <c r="Q33" s="334"/>
    </row>
    <row r="34" spans="1:17" x14ac:dyDescent="0.35">
      <c r="A34" s="333">
        <f t="shared" si="1"/>
        <v>34</v>
      </c>
      <c r="P34" s="334"/>
      <c r="Q34" s="334"/>
    </row>
    <row r="35" spans="1:17" x14ac:dyDescent="0.35">
      <c r="A35" s="333">
        <f t="shared" si="1"/>
        <v>35</v>
      </c>
      <c r="B35" s="348" t="s">
        <v>45</v>
      </c>
      <c r="C35" s="348"/>
      <c r="D35" s="348"/>
      <c r="E35" s="348"/>
      <c r="F35" s="348"/>
      <c r="G35" s="348"/>
      <c r="H35" s="349"/>
      <c r="I35" s="349"/>
      <c r="J35" s="349"/>
      <c r="K35" s="349"/>
      <c r="L35" s="349"/>
      <c r="M35" s="349"/>
      <c r="N35" s="350"/>
      <c r="O35" s="350"/>
      <c r="P35" s="334"/>
      <c r="Q35" s="334"/>
    </row>
    <row r="36" spans="1:17" outlineLevel="1" x14ac:dyDescent="0.35">
      <c r="A36" s="333">
        <f t="shared" si="1"/>
        <v>36</v>
      </c>
      <c r="B36" s="8"/>
      <c r="C36" s="8"/>
      <c r="D36" s="17"/>
      <c r="E36" s="8"/>
      <c r="P36" s="334"/>
      <c r="Q36" s="334"/>
    </row>
    <row r="37" spans="1:17" outlineLevel="1" x14ac:dyDescent="0.35">
      <c r="A37" s="333">
        <f t="shared" si="1"/>
        <v>37</v>
      </c>
      <c r="G37" s="358">
        <v>2015</v>
      </c>
      <c r="H37" s="358">
        <f>+G37+1</f>
        <v>2016</v>
      </c>
      <c r="I37" s="358">
        <f>+H37+1</f>
        <v>2017</v>
      </c>
      <c r="P37" s="334"/>
      <c r="Q37" s="334"/>
    </row>
    <row r="38" spans="1:17" outlineLevel="1" x14ac:dyDescent="0.35">
      <c r="A38" s="333">
        <f t="shared" si="1"/>
        <v>38</v>
      </c>
      <c r="G38" s="359" t="s">
        <v>46</v>
      </c>
      <c r="H38" s="360" t="s">
        <v>47</v>
      </c>
      <c r="I38" s="361" t="s">
        <v>48</v>
      </c>
      <c r="P38" s="334"/>
      <c r="Q38" s="334"/>
    </row>
    <row r="39" spans="1:17" outlineLevel="1" x14ac:dyDescent="0.35">
      <c r="A39" s="333">
        <f t="shared" si="1"/>
        <v>39</v>
      </c>
      <c r="G39" s="362"/>
      <c r="H39" s="363" t="s">
        <v>46</v>
      </c>
      <c r="I39" s="364" t="s">
        <v>47</v>
      </c>
      <c r="M39" s="18"/>
      <c r="N39" s="79"/>
      <c r="P39" s="334"/>
      <c r="Q39" s="334"/>
    </row>
    <row r="40" spans="1:17" outlineLevel="1" x14ac:dyDescent="0.35">
      <c r="A40" s="333">
        <f t="shared" si="1"/>
        <v>40</v>
      </c>
      <c r="C40" s="19" t="s">
        <v>49</v>
      </c>
      <c r="D40" s="16"/>
      <c r="P40" s="334"/>
      <c r="Q40" s="334"/>
    </row>
    <row r="41" spans="1:17" outlineLevel="1" x14ac:dyDescent="0.35">
      <c r="A41" s="333">
        <f t="shared" si="1"/>
        <v>41</v>
      </c>
      <c r="C41" s="16"/>
      <c r="D41" s="7" t="s">
        <v>632</v>
      </c>
      <c r="E41" s="391"/>
      <c r="F41" s="1" t="s">
        <v>38</v>
      </c>
      <c r="N41" s="1"/>
      <c r="O41" s="1"/>
      <c r="P41" s="334"/>
      <c r="Q41" s="334"/>
    </row>
    <row r="42" spans="1:17" outlineLevel="1" x14ac:dyDescent="0.35">
      <c r="A42" s="333">
        <f t="shared" si="1"/>
        <v>42</v>
      </c>
      <c r="C42" s="16"/>
      <c r="D42" s="7" t="s">
        <v>633</v>
      </c>
      <c r="E42" s="28"/>
      <c r="F42" s="1" t="s">
        <v>34</v>
      </c>
      <c r="N42" s="1"/>
      <c r="O42" s="1"/>
      <c r="P42" s="334"/>
      <c r="Q42" s="334"/>
    </row>
    <row r="43" spans="1:17" outlineLevel="1" x14ac:dyDescent="0.35">
      <c r="A43" s="333">
        <f t="shared" si="1"/>
        <v>43</v>
      </c>
      <c r="C43" s="20"/>
      <c r="D43" s="20"/>
      <c r="E43" s="21"/>
      <c r="F43" s="21"/>
      <c r="G43" s="21"/>
      <c r="H43" s="21"/>
      <c r="I43" s="21"/>
      <c r="J43" s="21"/>
      <c r="K43" s="21"/>
      <c r="L43" s="21"/>
      <c r="M43" s="21"/>
      <c r="N43" s="21"/>
      <c r="O43" s="1"/>
      <c r="P43" s="334"/>
      <c r="Q43" s="334"/>
    </row>
    <row r="44" spans="1:17" outlineLevel="1" x14ac:dyDescent="0.35">
      <c r="A44" s="333">
        <f t="shared" si="1"/>
        <v>44</v>
      </c>
      <c r="C44" s="19" t="s">
        <v>50</v>
      </c>
      <c r="K44" s="22"/>
      <c r="N44" s="1"/>
      <c r="O44" s="1"/>
      <c r="P44" s="334"/>
      <c r="Q44" s="334"/>
    </row>
    <row r="45" spans="1:17" outlineLevel="1" x14ac:dyDescent="0.35">
      <c r="A45" s="333">
        <f t="shared" si="1"/>
        <v>45</v>
      </c>
      <c r="C45" s="19"/>
      <c r="D45" s="3" t="s">
        <v>634</v>
      </c>
      <c r="E45" s="391"/>
      <c r="F45" s="1" t="s">
        <v>38</v>
      </c>
      <c r="N45" s="1"/>
      <c r="O45" s="1"/>
      <c r="P45" s="334"/>
      <c r="Q45" s="334"/>
    </row>
    <row r="46" spans="1:17" outlineLevel="1" x14ac:dyDescent="0.35">
      <c r="A46" s="333">
        <f t="shared" si="1"/>
        <v>46</v>
      </c>
      <c r="D46" s="3" t="s">
        <v>635</v>
      </c>
      <c r="E46" s="28"/>
      <c r="F46" s="1" t="s">
        <v>34</v>
      </c>
      <c r="N46" s="1"/>
      <c r="O46" s="1"/>
      <c r="P46" s="334"/>
      <c r="Q46" s="334"/>
    </row>
    <row r="47" spans="1:17" outlineLevel="1" x14ac:dyDescent="0.35">
      <c r="A47" s="333">
        <f t="shared" si="1"/>
        <v>47</v>
      </c>
      <c r="C47" s="21"/>
      <c r="D47" s="23"/>
      <c r="E47" s="23"/>
      <c r="F47" s="23"/>
      <c r="G47" s="23"/>
      <c r="H47" s="23"/>
      <c r="I47" s="23"/>
      <c r="J47" s="21"/>
      <c r="K47" s="21"/>
      <c r="L47" s="21"/>
      <c r="M47" s="21"/>
      <c r="N47" s="21"/>
      <c r="O47" s="1"/>
      <c r="P47" s="334"/>
      <c r="Q47" s="334"/>
    </row>
    <row r="48" spans="1:17" outlineLevel="1" x14ac:dyDescent="0.35">
      <c r="A48" s="333">
        <f t="shared" si="1"/>
        <v>48</v>
      </c>
      <c r="C48" s="2" t="s">
        <v>636</v>
      </c>
      <c r="D48" s="3"/>
      <c r="E48" s="3"/>
      <c r="F48" s="3"/>
      <c r="G48" s="3"/>
      <c r="H48" s="3"/>
      <c r="I48" s="3"/>
      <c r="J48" s="3"/>
      <c r="K48" s="3"/>
      <c r="N48" s="1"/>
      <c r="O48" s="1"/>
      <c r="P48" s="334"/>
      <c r="Q48" s="334"/>
    </row>
    <row r="49" spans="1:17" outlineLevel="1" x14ac:dyDescent="0.35">
      <c r="A49" s="333">
        <f t="shared" si="1"/>
        <v>49</v>
      </c>
      <c r="C49" s="2"/>
      <c r="D49" s="7" t="s">
        <v>637</v>
      </c>
      <c r="E49" s="392" t="str">
        <f>IF(E41*E42=0,"",IF(E45*E46=0,"",(E41*(E42/(E42+E46)))+(E45*(E46/(E46+E42)))))</f>
        <v/>
      </c>
      <c r="F49" s="6"/>
      <c r="G49" s="3"/>
      <c r="H49" s="3"/>
      <c r="I49" s="3"/>
      <c r="J49" s="3"/>
      <c r="K49" s="3"/>
      <c r="P49" s="334"/>
      <c r="Q49" s="334"/>
    </row>
    <row r="50" spans="1:17" outlineLevel="1" x14ac:dyDescent="0.35">
      <c r="A50" s="333">
        <f t="shared" si="1"/>
        <v>50</v>
      </c>
      <c r="C50" s="2"/>
      <c r="D50" s="7"/>
      <c r="E50" s="7"/>
      <c r="F50" s="3"/>
      <c r="G50" s="3"/>
      <c r="H50" s="3"/>
      <c r="I50" s="3"/>
      <c r="J50" s="21"/>
      <c r="K50" s="21"/>
      <c r="L50" s="21"/>
      <c r="M50" s="21"/>
      <c r="N50" s="21"/>
      <c r="O50" s="3"/>
      <c r="P50" s="334"/>
      <c r="Q50" s="334"/>
    </row>
    <row r="51" spans="1:17" outlineLevel="1" x14ac:dyDescent="0.35">
      <c r="A51" s="333">
        <f t="shared" si="1"/>
        <v>51</v>
      </c>
      <c r="C51" s="24" t="s">
        <v>512</v>
      </c>
      <c r="D51" s="25"/>
      <c r="E51" s="25"/>
      <c r="F51" s="26"/>
      <c r="G51" s="26"/>
      <c r="H51" s="26"/>
      <c r="I51" s="26"/>
      <c r="J51" s="26"/>
      <c r="K51" s="26"/>
      <c r="P51" s="334"/>
      <c r="Q51" s="334"/>
    </row>
    <row r="52" spans="1:17" outlineLevel="1" x14ac:dyDescent="0.35">
      <c r="A52" s="333">
        <f t="shared" si="1"/>
        <v>52</v>
      </c>
      <c r="C52" s="2"/>
      <c r="D52" s="7" t="s">
        <v>639</v>
      </c>
      <c r="E52" s="391"/>
      <c r="F52" s="1" t="s">
        <v>38</v>
      </c>
      <c r="G52" s="3"/>
      <c r="I52" s="3" t="s">
        <v>638</v>
      </c>
      <c r="J52" s="353"/>
      <c r="K52" s="1" t="s">
        <v>38</v>
      </c>
      <c r="P52" s="334"/>
      <c r="Q52" s="334"/>
    </row>
    <row r="53" spans="1:17" outlineLevel="1" x14ac:dyDescent="0.35">
      <c r="A53" s="333">
        <f t="shared" si="1"/>
        <v>53</v>
      </c>
      <c r="C53" s="16"/>
      <c r="D53" s="7" t="s">
        <v>640</v>
      </c>
      <c r="E53" s="391"/>
      <c r="F53" s="1" t="s">
        <v>38</v>
      </c>
      <c r="G53" s="8" t="str">
        <f>+IF(E53="","",IF(E52&gt;E53,"ERROR! No puede ser el destete mayor a la preñez",""))</f>
        <v/>
      </c>
      <c r="I53" s="14" t="s">
        <v>51</v>
      </c>
      <c r="J53" s="365"/>
      <c r="K53" s="1" t="s">
        <v>52</v>
      </c>
      <c r="P53" s="334"/>
      <c r="Q53" s="334"/>
    </row>
    <row r="54" spans="1:17" outlineLevel="1" x14ac:dyDescent="0.35">
      <c r="A54" s="333">
        <f t="shared" si="1"/>
        <v>54</v>
      </c>
      <c r="C54" s="16"/>
      <c r="D54" s="7" t="s">
        <v>643</v>
      </c>
      <c r="E54" s="367"/>
      <c r="H54" s="3"/>
      <c r="I54" s="3" t="s">
        <v>642</v>
      </c>
      <c r="J54" s="353"/>
      <c r="K54" s="1" t="s">
        <v>38</v>
      </c>
      <c r="P54" s="334"/>
      <c r="Q54" s="334"/>
    </row>
    <row r="55" spans="1:17" outlineLevel="1" x14ac:dyDescent="0.35">
      <c r="A55" s="333">
        <f t="shared" si="1"/>
        <v>55</v>
      </c>
      <c r="C55" s="16"/>
      <c r="D55" s="7" t="s">
        <v>641</v>
      </c>
      <c r="E55" s="367"/>
      <c r="F55" s="1" t="s">
        <v>34</v>
      </c>
      <c r="H55" s="3"/>
      <c r="P55" s="334"/>
      <c r="Q55" s="334"/>
    </row>
    <row r="56" spans="1:17" outlineLevel="1" x14ac:dyDescent="0.35">
      <c r="A56" s="333">
        <f t="shared" si="1"/>
        <v>56</v>
      </c>
      <c r="I56" s="2" t="s">
        <v>645</v>
      </c>
      <c r="J56" s="2" t="s">
        <v>646</v>
      </c>
      <c r="P56" s="334"/>
      <c r="Q56" s="334"/>
    </row>
    <row r="57" spans="1:17" outlineLevel="1" x14ac:dyDescent="0.35">
      <c r="A57" s="333">
        <f t="shared" si="1"/>
        <v>57</v>
      </c>
      <c r="D57" s="3" t="s">
        <v>58</v>
      </c>
      <c r="E57" s="28"/>
      <c r="F57" s="1" t="s">
        <v>59</v>
      </c>
      <c r="H57" s="3" t="s">
        <v>647</v>
      </c>
      <c r="I57" s="389"/>
      <c r="J57" s="366"/>
      <c r="P57" s="334"/>
      <c r="Q57" s="334"/>
    </row>
    <row r="58" spans="1:17" outlineLevel="1" x14ac:dyDescent="0.35">
      <c r="A58" s="333">
        <f t="shared" si="1"/>
        <v>58</v>
      </c>
      <c r="D58" s="3" t="s">
        <v>644</v>
      </c>
      <c r="E58" s="28"/>
      <c r="H58" s="3" t="s">
        <v>648</v>
      </c>
      <c r="I58" s="389"/>
      <c r="J58" s="366"/>
      <c r="P58" s="334"/>
      <c r="Q58" s="334"/>
    </row>
    <row r="59" spans="1:17" outlineLevel="1" x14ac:dyDescent="0.35">
      <c r="A59" s="333">
        <f t="shared" si="1"/>
        <v>59</v>
      </c>
      <c r="F59" s="27"/>
      <c r="G59" s="27"/>
      <c r="P59" s="334"/>
      <c r="Q59" s="334"/>
    </row>
    <row r="60" spans="1:17" outlineLevel="1" x14ac:dyDescent="0.35">
      <c r="A60" s="333">
        <f t="shared" si="1"/>
        <v>60</v>
      </c>
      <c r="C60" s="59" t="s">
        <v>192</v>
      </c>
      <c r="D60" s="27"/>
      <c r="E60" s="18" t="s">
        <v>189</v>
      </c>
      <c r="F60" s="18" t="s">
        <v>190</v>
      </c>
      <c r="G60" s="18" t="s">
        <v>191</v>
      </c>
      <c r="H60" s="18" t="s">
        <v>113</v>
      </c>
      <c r="I60" s="18" t="s">
        <v>193</v>
      </c>
      <c r="P60" s="334"/>
      <c r="Q60" s="334"/>
    </row>
    <row r="61" spans="1:17" outlineLevel="1" x14ac:dyDescent="0.35">
      <c r="A61" s="333">
        <f t="shared" si="1"/>
        <v>61</v>
      </c>
      <c r="D61" s="3" t="s">
        <v>188</v>
      </c>
      <c r="E61" s="28"/>
      <c r="F61" s="28"/>
      <c r="G61" s="28"/>
      <c r="H61" s="28"/>
      <c r="I61" s="28"/>
      <c r="P61" s="334"/>
      <c r="Q61" s="334"/>
    </row>
    <row r="62" spans="1:17" x14ac:dyDescent="0.35">
      <c r="A62" s="333">
        <f t="shared" si="1"/>
        <v>62</v>
      </c>
      <c r="P62" s="334"/>
      <c r="Q62" s="334"/>
    </row>
    <row r="63" spans="1:17" x14ac:dyDescent="0.35">
      <c r="A63" s="333">
        <f t="shared" si="1"/>
        <v>63</v>
      </c>
      <c r="B63" s="348" t="s">
        <v>60</v>
      </c>
      <c r="C63" s="348"/>
      <c r="D63" s="348"/>
      <c r="E63" s="348"/>
      <c r="F63" s="348"/>
      <c r="G63" s="348"/>
      <c r="H63" s="349"/>
      <c r="I63" s="349"/>
      <c r="J63" s="349"/>
      <c r="K63" s="349"/>
      <c r="L63" s="349"/>
      <c r="M63" s="349"/>
      <c r="N63" s="350"/>
      <c r="O63" s="350"/>
      <c r="P63" s="334"/>
      <c r="Q63" s="334"/>
    </row>
    <row r="64" spans="1:17" outlineLevel="2" x14ac:dyDescent="0.35">
      <c r="A64" s="333">
        <f t="shared" si="1"/>
        <v>64</v>
      </c>
      <c r="B64" s="8"/>
      <c r="C64" s="354" t="s">
        <v>513</v>
      </c>
      <c r="D64" s="17"/>
      <c r="E64" s="8"/>
      <c r="L64" s="368"/>
      <c r="M64" s="368"/>
      <c r="N64" s="369"/>
      <c r="O64" s="369"/>
      <c r="P64" s="334"/>
      <c r="Q64" s="334"/>
    </row>
    <row r="65" spans="1:17" outlineLevel="2" x14ac:dyDescent="0.35">
      <c r="A65" s="333">
        <f t="shared" si="1"/>
        <v>65</v>
      </c>
      <c r="C65" s="370" t="s">
        <v>574</v>
      </c>
      <c r="N65" s="1"/>
      <c r="P65" s="334"/>
      <c r="Q65" s="334"/>
    </row>
    <row r="66" spans="1:17" outlineLevel="2" x14ac:dyDescent="0.35">
      <c r="A66" s="333">
        <f t="shared" si="1"/>
        <v>66</v>
      </c>
      <c r="N66" s="1"/>
      <c r="O66" s="1"/>
      <c r="P66" s="334"/>
      <c r="Q66" s="334"/>
    </row>
    <row r="67" spans="1:17" outlineLevel="2" x14ac:dyDescent="0.35">
      <c r="A67" s="333">
        <f t="shared" ref="A67:A130" si="2">+A66+1</f>
        <v>67</v>
      </c>
      <c r="C67" s="60"/>
      <c r="D67" s="60" t="s">
        <v>61</v>
      </c>
      <c r="H67" s="29" t="s">
        <v>567</v>
      </c>
      <c r="I67" s="29"/>
      <c r="N67" s="1"/>
      <c r="O67" s="1"/>
      <c r="P67" s="334"/>
      <c r="Q67" s="334"/>
    </row>
    <row r="68" spans="1:17" outlineLevel="2" x14ac:dyDescent="0.35">
      <c r="A68" s="333">
        <f t="shared" si="2"/>
        <v>68</v>
      </c>
      <c r="D68" s="3" t="s">
        <v>40</v>
      </c>
      <c r="E68" s="28"/>
      <c r="F68" s="1" t="s">
        <v>41</v>
      </c>
      <c r="I68" s="3" t="s">
        <v>40</v>
      </c>
      <c r="J68" s="28"/>
      <c r="K68" s="1" t="s">
        <v>41</v>
      </c>
      <c r="O68" s="1"/>
      <c r="P68" s="334"/>
      <c r="Q68" s="334"/>
    </row>
    <row r="69" spans="1:17" outlineLevel="2" x14ac:dyDescent="0.35">
      <c r="A69" s="333">
        <f t="shared" si="2"/>
        <v>69</v>
      </c>
      <c r="D69" s="3"/>
      <c r="I69" s="3"/>
      <c r="P69" s="334"/>
      <c r="Q69" s="334"/>
    </row>
    <row r="70" spans="1:17" outlineLevel="2" x14ac:dyDescent="0.35">
      <c r="A70" s="333">
        <f t="shared" si="2"/>
        <v>70</v>
      </c>
      <c r="D70" s="7" t="s">
        <v>43</v>
      </c>
      <c r="E70" s="28"/>
      <c r="F70" s="16" t="s">
        <v>518</v>
      </c>
      <c r="I70" s="7" t="s">
        <v>43</v>
      </c>
      <c r="J70" s="28"/>
      <c r="K70" s="16" t="s">
        <v>518</v>
      </c>
      <c r="P70" s="334"/>
      <c r="Q70" s="334"/>
    </row>
    <row r="71" spans="1:17" outlineLevel="2" x14ac:dyDescent="0.35">
      <c r="A71" s="333">
        <f t="shared" si="2"/>
        <v>71</v>
      </c>
      <c r="D71" s="3" t="s">
        <v>43</v>
      </c>
      <c r="E71" s="28"/>
      <c r="F71" s="1" t="s">
        <v>41</v>
      </c>
      <c r="I71" s="3" t="s">
        <v>43</v>
      </c>
      <c r="J71" s="28"/>
      <c r="K71" s="1" t="s">
        <v>41</v>
      </c>
      <c r="P71" s="334"/>
      <c r="Q71" s="334"/>
    </row>
    <row r="72" spans="1:17" outlineLevel="2" x14ac:dyDescent="0.35">
      <c r="A72" s="333">
        <f t="shared" si="2"/>
        <v>72</v>
      </c>
      <c r="D72" s="371" t="s">
        <v>194</v>
      </c>
      <c r="E72" s="357"/>
      <c r="F72" s="1" t="s">
        <v>62</v>
      </c>
      <c r="I72" s="371" t="s">
        <v>194</v>
      </c>
      <c r="J72" s="357"/>
      <c r="K72" s="1" t="s">
        <v>62</v>
      </c>
      <c r="P72" s="334"/>
      <c r="Q72" s="334"/>
    </row>
    <row r="73" spans="1:17" outlineLevel="2" x14ac:dyDescent="0.35">
      <c r="A73" s="333">
        <f t="shared" si="2"/>
        <v>73</v>
      </c>
      <c r="D73" s="372" t="s">
        <v>68</v>
      </c>
      <c r="E73" s="373" t="e">
        <f>+E68/E70/365</f>
        <v>#DIV/0!</v>
      </c>
      <c r="F73" s="1" t="s">
        <v>69</v>
      </c>
      <c r="I73" s="372" t="s">
        <v>68</v>
      </c>
      <c r="J73" s="373" t="e">
        <f>+J68/J70/365</f>
        <v>#DIV/0!</v>
      </c>
      <c r="K73" s="1" t="s">
        <v>69</v>
      </c>
      <c r="P73" s="334"/>
      <c r="Q73" s="334"/>
    </row>
    <row r="74" spans="1:17" outlineLevel="2" x14ac:dyDescent="0.35">
      <c r="A74" s="333">
        <f t="shared" si="2"/>
        <v>74</v>
      </c>
      <c r="D74" s="372" t="s">
        <v>39</v>
      </c>
      <c r="E74" s="373" t="e">
        <f>E68/E71</f>
        <v>#DIV/0!</v>
      </c>
      <c r="I74" s="372" t="s">
        <v>39</v>
      </c>
      <c r="J74" s="373" t="e">
        <f>+J68/J71</f>
        <v>#DIV/0!</v>
      </c>
      <c r="P74" s="334"/>
      <c r="Q74" s="334"/>
    </row>
    <row r="75" spans="1:17" outlineLevel="2" x14ac:dyDescent="0.35">
      <c r="A75" s="333">
        <f t="shared" si="2"/>
        <v>75</v>
      </c>
      <c r="D75" s="14" t="s">
        <v>519</v>
      </c>
      <c r="E75" s="374" t="e">
        <f>+E68/E70</f>
        <v>#DIV/0!</v>
      </c>
      <c r="I75" s="14" t="s">
        <v>519</v>
      </c>
      <c r="J75" s="374" t="e">
        <f>+J68/J70</f>
        <v>#DIV/0!</v>
      </c>
      <c r="P75" s="334"/>
      <c r="Q75" s="334"/>
    </row>
    <row r="76" spans="1:17" outlineLevel="2" x14ac:dyDescent="0.35">
      <c r="A76" s="333">
        <f t="shared" si="2"/>
        <v>76</v>
      </c>
      <c r="P76" s="334"/>
      <c r="Q76" s="334"/>
    </row>
    <row r="77" spans="1:17" outlineLevel="2" x14ac:dyDescent="0.35">
      <c r="A77" s="333">
        <f t="shared" si="2"/>
        <v>77</v>
      </c>
      <c r="C77" s="308" t="s">
        <v>573</v>
      </c>
      <c r="H77" s="308" t="s">
        <v>572</v>
      </c>
      <c r="P77" s="334"/>
      <c r="Q77" s="334"/>
    </row>
    <row r="78" spans="1:17" outlineLevel="2" x14ac:dyDescent="0.35">
      <c r="A78" s="333">
        <f t="shared" si="2"/>
        <v>78</v>
      </c>
      <c r="C78" s="309" t="s">
        <v>565</v>
      </c>
      <c r="H78" s="309" t="s">
        <v>565</v>
      </c>
      <c r="P78" s="334"/>
      <c r="Q78" s="334"/>
    </row>
    <row r="79" spans="1:17" outlineLevel="2" x14ac:dyDescent="0.35">
      <c r="A79" s="333">
        <f t="shared" si="2"/>
        <v>79</v>
      </c>
      <c r="D79" s="1" t="s">
        <v>522</v>
      </c>
      <c r="E79" s="375"/>
      <c r="I79" s="1" t="s">
        <v>522</v>
      </c>
      <c r="J79" s="375"/>
      <c r="P79" s="334"/>
      <c r="Q79" s="334"/>
    </row>
    <row r="80" spans="1:17" outlineLevel="2" x14ac:dyDescent="0.35">
      <c r="A80" s="333">
        <f t="shared" si="2"/>
        <v>80</v>
      </c>
      <c r="I80" s="14" t="s">
        <v>566</v>
      </c>
      <c r="J80" s="28"/>
      <c r="P80" s="334"/>
      <c r="Q80" s="334"/>
    </row>
    <row r="81" spans="1:17" outlineLevel="2" x14ac:dyDescent="0.35">
      <c r="A81" s="333">
        <f t="shared" si="2"/>
        <v>81</v>
      </c>
      <c r="D81" s="1" t="s">
        <v>520</v>
      </c>
      <c r="E81" s="28"/>
      <c r="F81" s="1" t="s">
        <v>59</v>
      </c>
      <c r="I81" s="1" t="s">
        <v>520</v>
      </c>
      <c r="J81" s="28"/>
      <c r="K81" s="1" t="s">
        <v>59</v>
      </c>
      <c r="P81" s="334"/>
      <c r="Q81" s="334"/>
    </row>
    <row r="82" spans="1:17" outlineLevel="2" x14ac:dyDescent="0.35">
      <c r="A82" s="333">
        <f t="shared" si="2"/>
        <v>82</v>
      </c>
      <c r="D82" s="1" t="s">
        <v>521</v>
      </c>
      <c r="E82" s="28"/>
      <c r="F82" s="1" t="s">
        <v>59</v>
      </c>
      <c r="I82" s="1" t="s">
        <v>521</v>
      </c>
      <c r="J82" s="28"/>
      <c r="K82" s="1" t="s">
        <v>59</v>
      </c>
      <c r="P82" s="334"/>
      <c r="Q82" s="334"/>
    </row>
    <row r="83" spans="1:17" outlineLevel="2" x14ac:dyDescent="0.35">
      <c r="A83" s="333">
        <f t="shared" si="2"/>
        <v>83</v>
      </c>
      <c r="D83" s="372" t="s">
        <v>523</v>
      </c>
      <c r="E83" s="376"/>
      <c r="I83" s="372" t="s">
        <v>523</v>
      </c>
      <c r="J83" s="376"/>
      <c r="P83" s="334"/>
      <c r="Q83" s="334"/>
    </row>
    <row r="84" spans="1:17" outlineLevel="2" x14ac:dyDescent="0.35">
      <c r="A84" s="333">
        <f t="shared" si="2"/>
        <v>84</v>
      </c>
      <c r="D84" s="372" t="s">
        <v>66</v>
      </c>
      <c r="E84" s="377"/>
      <c r="F84" s="1" t="s">
        <v>67</v>
      </c>
      <c r="I84" s="372" t="s">
        <v>66</v>
      </c>
      <c r="J84" s="377"/>
      <c r="K84" s="1" t="s">
        <v>67</v>
      </c>
      <c r="P84" s="334"/>
      <c r="Q84" s="334"/>
    </row>
    <row r="85" spans="1:17" outlineLevel="2" x14ac:dyDescent="0.35">
      <c r="A85" s="333">
        <f t="shared" si="2"/>
        <v>85</v>
      </c>
      <c r="D85" s="378"/>
      <c r="E85" s="3"/>
      <c r="F85" s="379"/>
      <c r="G85" s="16"/>
      <c r="H85" s="16"/>
      <c r="I85" s="16"/>
      <c r="J85" s="7"/>
      <c r="K85" s="379"/>
      <c r="P85" s="334"/>
      <c r="Q85" s="334"/>
    </row>
    <row r="86" spans="1:17" x14ac:dyDescent="0.35">
      <c r="A86" s="333">
        <f t="shared" si="2"/>
        <v>86</v>
      </c>
      <c r="B86" s="348" t="s">
        <v>70</v>
      </c>
      <c r="C86" s="348"/>
      <c r="D86" s="348"/>
      <c r="E86" s="348"/>
      <c r="F86" s="348"/>
      <c r="G86" s="348"/>
      <c r="H86" s="349"/>
      <c r="I86" s="349"/>
      <c r="J86" s="349"/>
      <c r="K86" s="349"/>
      <c r="L86" s="349"/>
      <c r="M86" s="349"/>
      <c r="N86" s="350"/>
      <c r="O86" s="350"/>
      <c r="P86" s="334"/>
      <c r="Q86" s="334"/>
    </row>
    <row r="87" spans="1:17" outlineLevel="1" x14ac:dyDescent="0.35">
      <c r="A87" s="333">
        <f t="shared" si="2"/>
        <v>87</v>
      </c>
      <c r="B87" s="8"/>
      <c r="C87" s="354" t="s">
        <v>71</v>
      </c>
      <c r="D87" s="17"/>
      <c r="E87" s="8"/>
      <c r="F87" s="380"/>
      <c r="G87" s="380"/>
      <c r="H87" s="368"/>
      <c r="I87" s="368"/>
      <c r="J87" s="368"/>
      <c r="K87" s="368"/>
      <c r="L87" s="368"/>
      <c r="M87" s="368"/>
      <c r="N87" s="369"/>
      <c r="O87" s="369"/>
      <c r="P87" s="334"/>
      <c r="Q87" s="334"/>
    </row>
    <row r="88" spans="1:17" outlineLevel="1" x14ac:dyDescent="0.35">
      <c r="A88" s="333">
        <f t="shared" si="2"/>
        <v>88</v>
      </c>
      <c r="B88" s="380"/>
      <c r="D88" s="380"/>
      <c r="E88" s="380"/>
      <c r="F88" s="380"/>
      <c r="G88" s="380"/>
      <c r="H88" s="368"/>
      <c r="I88" s="368"/>
      <c r="J88" s="368"/>
      <c r="K88" s="368"/>
      <c r="L88" s="368"/>
      <c r="M88" s="368"/>
      <c r="N88" s="369"/>
      <c r="O88" s="369"/>
      <c r="P88" s="334"/>
      <c r="Q88" s="334"/>
    </row>
    <row r="89" spans="1:17" outlineLevel="1" x14ac:dyDescent="0.35">
      <c r="A89" s="333">
        <f t="shared" si="2"/>
        <v>89</v>
      </c>
      <c r="B89" s="380"/>
      <c r="C89" s="354"/>
      <c r="D89" s="380"/>
      <c r="E89" s="380"/>
      <c r="F89" s="380"/>
      <c r="G89" s="381" t="s">
        <v>72</v>
      </c>
      <c r="H89" s="382"/>
      <c r="I89" s="368"/>
      <c r="J89" s="368"/>
      <c r="K89" s="368"/>
      <c r="L89" s="368"/>
      <c r="M89" s="368"/>
      <c r="N89" s="369"/>
      <c r="O89" s="369"/>
      <c r="P89" s="334"/>
    </row>
    <row r="90" spans="1:17" outlineLevel="1" x14ac:dyDescent="0.35">
      <c r="A90" s="333">
        <f t="shared" si="2"/>
        <v>90</v>
      </c>
      <c r="B90" s="380"/>
      <c r="C90" s="354" t="s">
        <v>661</v>
      </c>
      <c r="D90" s="380"/>
      <c r="E90" s="380"/>
      <c r="F90" s="380"/>
      <c r="G90" s="381" t="s">
        <v>73</v>
      </c>
      <c r="H90" s="383"/>
      <c r="I90" s="368"/>
      <c r="J90" s="368"/>
      <c r="K90" s="368"/>
      <c r="L90" s="368"/>
      <c r="M90" s="368"/>
      <c r="N90" s="369"/>
      <c r="O90" s="369"/>
      <c r="P90" s="334"/>
    </row>
    <row r="91" spans="1:17" outlineLevel="1" x14ac:dyDescent="0.35">
      <c r="A91" s="333">
        <f t="shared" si="2"/>
        <v>91</v>
      </c>
      <c r="P91" s="334"/>
    </row>
    <row r="92" spans="1:17" outlineLevel="1" x14ac:dyDescent="0.35">
      <c r="A92" s="333">
        <f t="shared" si="2"/>
        <v>92</v>
      </c>
      <c r="D92" s="29" t="s">
        <v>74</v>
      </c>
      <c r="G92" s="30"/>
      <c r="H92" s="31"/>
      <c r="I92" s="29" t="s">
        <v>75</v>
      </c>
      <c r="P92" s="334"/>
    </row>
    <row r="93" spans="1:17" outlineLevel="1" x14ac:dyDescent="0.35">
      <c r="A93" s="333">
        <f t="shared" si="2"/>
        <v>93</v>
      </c>
      <c r="D93" s="371"/>
      <c r="G93" s="30"/>
      <c r="H93" s="31"/>
      <c r="P93" s="334"/>
    </row>
    <row r="94" spans="1:17" outlineLevel="1" x14ac:dyDescent="0.35">
      <c r="A94" s="333">
        <f t="shared" si="2"/>
        <v>94</v>
      </c>
      <c r="D94" s="372" t="s">
        <v>63</v>
      </c>
      <c r="E94" s="28"/>
      <c r="F94" s="1" t="s">
        <v>64</v>
      </c>
      <c r="G94" s="30"/>
      <c r="I94" s="3" t="s">
        <v>40</v>
      </c>
      <c r="J94" s="28"/>
      <c r="K94" s="1" t="s">
        <v>41</v>
      </c>
      <c r="M94" s="10"/>
      <c r="P94" s="334"/>
    </row>
    <row r="95" spans="1:17" ht="18" customHeight="1" outlineLevel="1" x14ac:dyDescent="0.35">
      <c r="A95" s="333">
        <f t="shared" si="2"/>
        <v>95</v>
      </c>
      <c r="D95" s="3"/>
      <c r="E95" s="3"/>
      <c r="G95" s="30"/>
      <c r="I95" s="3"/>
      <c r="M95" s="10"/>
      <c r="P95" s="334"/>
    </row>
    <row r="96" spans="1:17" outlineLevel="1" x14ac:dyDescent="0.35">
      <c r="A96" s="333">
        <f t="shared" si="2"/>
        <v>96</v>
      </c>
      <c r="D96" s="14" t="s">
        <v>519</v>
      </c>
      <c r="E96" s="28"/>
      <c r="F96" s="1" t="s">
        <v>655</v>
      </c>
      <c r="G96" s="30"/>
      <c r="I96" s="14" t="s">
        <v>519</v>
      </c>
      <c r="J96" s="28"/>
      <c r="K96" s="16" t="s">
        <v>518</v>
      </c>
      <c r="M96" s="10"/>
      <c r="P96" s="334"/>
    </row>
    <row r="97" spans="1:17 16382:16382" outlineLevel="1" x14ac:dyDescent="0.35">
      <c r="A97" s="333">
        <f t="shared" si="2"/>
        <v>97</v>
      </c>
      <c r="D97" s="372" t="s">
        <v>660</v>
      </c>
      <c r="E97" s="397"/>
      <c r="F97" s="1" t="s">
        <v>69</v>
      </c>
      <c r="G97" s="30"/>
      <c r="I97" s="372" t="s">
        <v>660</v>
      </c>
      <c r="J97" s="397"/>
      <c r="K97" s="1" t="s">
        <v>41</v>
      </c>
      <c r="P97" s="334"/>
    </row>
    <row r="98" spans="1:17 16382:16382" outlineLevel="1" x14ac:dyDescent="0.35">
      <c r="A98" s="333">
        <f t="shared" si="2"/>
        <v>98</v>
      </c>
      <c r="D98" s="371" t="s">
        <v>194</v>
      </c>
      <c r="E98" s="357"/>
      <c r="F98" s="1" t="s">
        <v>62</v>
      </c>
      <c r="G98" s="30"/>
      <c r="I98" s="371" t="s">
        <v>194</v>
      </c>
      <c r="J98" s="357"/>
      <c r="K98" s="1" t="s">
        <v>62</v>
      </c>
      <c r="P98" s="334"/>
    </row>
    <row r="99" spans="1:17 16382:16382" outlineLevel="1" x14ac:dyDescent="0.35">
      <c r="A99" s="333">
        <f t="shared" si="2"/>
        <v>99</v>
      </c>
      <c r="D99" s="372" t="s">
        <v>76</v>
      </c>
      <c r="E99" s="357"/>
      <c r="F99" s="1" t="s">
        <v>77</v>
      </c>
      <c r="G99" s="30"/>
      <c r="I99" s="372" t="s">
        <v>76</v>
      </c>
      <c r="J99" s="357"/>
      <c r="K99" s="1" t="s">
        <v>77</v>
      </c>
      <c r="P99" s="334"/>
    </row>
    <row r="100" spans="1:17 16382:16382" outlineLevel="1" x14ac:dyDescent="0.35">
      <c r="A100" s="333">
        <f t="shared" si="2"/>
        <v>100</v>
      </c>
      <c r="D100" s="372"/>
      <c r="E100" s="372"/>
      <c r="F100" s="372"/>
      <c r="G100" s="30"/>
      <c r="P100" s="334"/>
    </row>
    <row r="101" spans="1:17 16382:16382" outlineLevel="1" x14ac:dyDescent="0.35">
      <c r="A101" s="333">
        <f t="shared" si="2"/>
        <v>101</v>
      </c>
      <c r="C101" s="10"/>
      <c r="D101" s="14" t="s">
        <v>551</v>
      </c>
      <c r="E101" s="393" t="e">
        <f>+E99/E94</f>
        <v>#DIV/0!</v>
      </c>
      <c r="F101" s="372"/>
      <c r="G101" s="30"/>
      <c r="I101" s="14" t="s">
        <v>551</v>
      </c>
      <c r="J101" s="393" t="e">
        <f>+J99/J94</f>
        <v>#DIV/0!</v>
      </c>
      <c r="P101" s="334"/>
    </row>
    <row r="102" spans="1:17 16382:16382" outlineLevel="1" x14ac:dyDescent="0.35">
      <c r="A102" s="333">
        <f t="shared" si="2"/>
        <v>102</v>
      </c>
      <c r="D102" s="372"/>
      <c r="G102" s="30"/>
      <c r="P102" s="334"/>
    </row>
    <row r="103" spans="1:17 16382:16382" outlineLevel="1" x14ac:dyDescent="0.35">
      <c r="A103" s="333">
        <f t="shared" si="2"/>
        <v>103</v>
      </c>
      <c r="G103" s="30"/>
      <c r="P103" s="334"/>
    </row>
    <row r="104" spans="1:17 16382:16382" outlineLevel="1" x14ac:dyDescent="0.35">
      <c r="A104" s="333">
        <f t="shared" si="2"/>
        <v>104</v>
      </c>
      <c r="D104" s="308" t="s">
        <v>563</v>
      </c>
      <c r="G104" s="30"/>
      <c r="P104" s="334"/>
    </row>
    <row r="105" spans="1:17 16382:16382" outlineLevel="1" x14ac:dyDescent="0.35">
      <c r="A105" s="333">
        <f t="shared" si="2"/>
        <v>105</v>
      </c>
      <c r="C105" s="309" t="s">
        <v>564</v>
      </c>
      <c r="D105" s="308"/>
      <c r="G105" s="30"/>
      <c r="I105" s="308" t="s">
        <v>568</v>
      </c>
      <c r="P105" s="334"/>
    </row>
    <row r="106" spans="1:17 16382:16382" outlineLevel="2" x14ac:dyDescent="0.35">
      <c r="A106" s="333">
        <f t="shared" si="2"/>
        <v>106</v>
      </c>
      <c r="B106" s="309"/>
      <c r="G106" s="30"/>
      <c r="H106" s="1" t="s">
        <v>564</v>
      </c>
      <c r="P106" s="334"/>
      <c r="Q106" s="334"/>
    </row>
    <row r="107" spans="1:17 16382:16382" outlineLevel="1" x14ac:dyDescent="0.35">
      <c r="A107" s="333">
        <f t="shared" si="2"/>
        <v>107</v>
      </c>
      <c r="D107" s="1" t="s">
        <v>522</v>
      </c>
      <c r="E107" s="375"/>
      <c r="G107" s="30"/>
      <c r="I107" s="1" t="s">
        <v>522</v>
      </c>
      <c r="J107" s="375"/>
      <c r="P107" s="334"/>
      <c r="XFB107" s="1"/>
    </row>
    <row r="108" spans="1:17 16382:16382" outlineLevel="1" x14ac:dyDescent="0.35">
      <c r="A108" s="333">
        <f t="shared" si="2"/>
        <v>108</v>
      </c>
      <c r="G108" s="30"/>
      <c r="I108" s="14" t="s">
        <v>566</v>
      </c>
      <c r="J108" s="28"/>
      <c r="P108" s="334"/>
      <c r="XFB108" s="1"/>
    </row>
    <row r="109" spans="1:17 16382:16382" outlineLevel="1" x14ac:dyDescent="0.35">
      <c r="A109" s="333">
        <f t="shared" si="2"/>
        <v>109</v>
      </c>
      <c r="D109" s="1" t="s">
        <v>520</v>
      </c>
      <c r="E109" s="28"/>
      <c r="F109" s="1" t="s">
        <v>59</v>
      </c>
      <c r="G109" s="30"/>
      <c r="I109" s="1" t="s">
        <v>520</v>
      </c>
      <c r="J109" s="28"/>
      <c r="K109" s="1" t="s">
        <v>59</v>
      </c>
      <c r="P109" s="334"/>
    </row>
    <row r="110" spans="1:17 16382:16382" outlineLevel="1" x14ac:dyDescent="0.35">
      <c r="A110" s="333">
        <f t="shared" si="2"/>
        <v>110</v>
      </c>
      <c r="D110" s="1" t="s">
        <v>521</v>
      </c>
      <c r="E110" s="28"/>
      <c r="F110" s="1" t="s">
        <v>59</v>
      </c>
      <c r="G110" s="30"/>
      <c r="I110" s="1" t="s">
        <v>521</v>
      </c>
      <c r="J110" s="28"/>
      <c r="K110" s="1" t="s">
        <v>59</v>
      </c>
      <c r="P110" s="334"/>
    </row>
    <row r="111" spans="1:17 16382:16382" ht="15" customHeight="1" outlineLevel="1" x14ac:dyDescent="0.35">
      <c r="A111" s="333">
        <f t="shared" si="2"/>
        <v>111</v>
      </c>
      <c r="G111" s="30"/>
      <c r="P111" s="334"/>
    </row>
    <row r="112" spans="1:17 16382:16382" ht="15" customHeight="1" outlineLevel="1" x14ac:dyDescent="0.35">
      <c r="A112" s="333">
        <f t="shared" si="2"/>
        <v>112</v>
      </c>
      <c r="C112" s="10"/>
      <c r="D112" s="384" t="s">
        <v>540</v>
      </c>
      <c r="E112" s="1" t="s">
        <v>67</v>
      </c>
      <c r="G112" s="30"/>
      <c r="I112" s="384" t="s">
        <v>540</v>
      </c>
      <c r="J112" s="1" t="s">
        <v>67</v>
      </c>
      <c r="P112" s="334"/>
    </row>
    <row r="113" spans="1:16" outlineLevel="1" x14ac:dyDescent="0.35">
      <c r="A113" s="333">
        <f t="shared" si="2"/>
        <v>113</v>
      </c>
      <c r="D113" s="372" t="s">
        <v>78</v>
      </c>
      <c r="E113" s="385"/>
      <c r="G113" s="30"/>
      <c r="I113" s="372" t="s">
        <v>78</v>
      </c>
      <c r="J113" s="385"/>
      <c r="P113" s="334"/>
    </row>
    <row r="114" spans="1:16" outlineLevel="1" x14ac:dyDescent="0.35">
      <c r="A114" s="333">
        <f t="shared" si="2"/>
        <v>114</v>
      </c>
      <c r="D114" s="14" t="s">
        <v>79</v>
      </c>
      <c r="E114" s="385"/>
      <c r="G114" s="30"/>
      <c r="I114" s="14" t="s">
        <v>79</v>
      </c>
      <c r="J114" s="385"/>
      <c r="P114" s="334"/>
    </row>
    <row r="115" spans="1:16" outlineLevel="1" x14ac:dyDescent="0.35">
      <c r="A115" s="333">
        <f t="shared" si="2"/>
        <v>115</v>
      </c>
      <c r="D115" s="14" t="s">
        <v>80</v>
      </c>
      <c r="E115" s="385"/>
      <c r="G115" s="30"/>
      <c r="I115" s="14" t="s">
        <v>80</v>
      </c>
      <c r="J115" s="385"/>
      <c r="P115" s="334"/>
    </row>
    <row r="116" spans="1:16" outlineLevel="1" x14ac:dyDescent="0.35">
      <c r="A116" s="333">
        <f t="shared" si="2"/>
        <v>116</v>
      </c>
      <c r="D116" s="14" t="s">
        <v>81</v>
      </c>
      <c r="E116" s="385"/>
      <c r="G116" s="30"/>
      <c r="I116" s="14" t="s">
        <v>81</v>
      </c>
      <c r="J116" s="385"/>
      <c r="P116" s="334"/>
    </row>
    <row r="117" spans="1:16" outlineLevel="1" x14ac:dyDescent="0.35">
      <c r="A117" s="333">
        <f t="shared" si="2"/>
        <v>117</v>
      </c>
      <c r="D117" s="14" t="s">
        <v>82</v>
      </c>
      <c r="E117" s="385"/>
      <c r="G117" s="30"/>
      <c r="I117" s="14" t="s">
        <v>82</v>
      </c>
      <c r="J117" s="385"/>
      <c r="P117" s="334"/>
    </row>
    <row r="118" spans="1:16" outlineLevel="1" x14ac:dyDescent="0.35">
      <c r="A118" s="333">
        <f t="shared" si="2"/>
        <v>118</v>
      </c>
      <c r="D118" s="14" t="s">
        <v>83</v>
      </c>
      <c r="E118" s="385"/>
      <c r="G118" s="30"/>
      <c r="H118" s="31"/>
      <c r="I118" s="14" t="s">
        <v>83</v>
      </c>
      <c r="J118" s="385"/>
      <c r="P118" s="334"/>
    </row>
    <row r="119" spans="1:16" outlineLevel="1" x14ac:dyDescent="0.35">
      <c r="A119" s="333">
        <f t="shared" si="2"/>
        <v>119</v>
      </c>
      <c r="G119" s="33"/>
      <c r="P119" s="334"/>
    </row>
    <row r="120" spans="1:16" outlineLevel="1" x14ac:dyDescent="0.35">
      <c r="A120" s="333">
        <f t="shared" si="2"/>
        <v>120</v>
      </c>
      <c r="C120" s="2"/>
      <c r="D120" s="386" t="s">
        <v>84</v>
      </c>
      <c r="E120" s="387" t="str">
        <f>IFERROR(E94/(E94+E68),"")</f>
        <v/>
      </c>
      <c r="G120" s="33"/>
      <c r="I120" s="386" t="s">
        <v>85</v>
      </c>
      <c r="J120" s="387" t="str">
        <f>IFERROR(J94/(J94+J68),"")</f>
        <v/>
      </c>
      <c r="M120" s="16"/>
      <c r="N120" s="1"/>
      <c r="P120" s="334"/>
    </row>
    <row r="121" spans="1:16" outlineLevel="1" x14ac:dyDescent="0.35">
      <c r="A121" s="333">
        <f t="shared" si="2"/>
        <v>121</v>
      </c>
      <c r="D121" s="386" t="s">
        <v>86</v>
      </c>
      <c r="E121" s="388" t="str">
        <f>IF(E120="","",1-E120)</f>
        <v/>
      </c>
      <c r="G121" s="33"/>
      <c r="I121" s="386" t="s">
        <v>87</v>
      </c>
      <c r="J121" s="388" t="str">
        <f>IF(J120="","",1-J120)</f>
        <v/>
      </c>
      <c r="M121" s="16"/>
      <c r="N121" s="1"/>
      <c r="P121" s="334"/>
    </row>
    <row r="122" spans="1:16" outlineLevel="1" x14ac:dyDescent="0.35">
      <c r="A122" s="333">
        <f t="shared" si="2"/>
        <v>122</v>
      </c>
      <c r="G122" s="33"/>
      <c r="M122" s="16"/>
      <c r="N122" s="1"/>
      <c r="P122" s="334"/>
    </row>
    <row r="123" spans="1:16" outlineLevel="1" x14ac:dyDescent="0.35">
      <c r="A123" s="333">
        <f t="shared" si="2"/>
        <v>123</v>
      </c>
      <c r="E123" s="378"/>
      <c r="F123" s="16"/>
      <c r="G123" s="16"/>
      <c r="J123" s="378"/>
      <c r="K123" s="16"/>
      <c r="L123" s="378"/>
      <c r="M123" s="16"/>
      <c r="N123" s="1"/>
      <c r="P123" s="334"/>
    </row>
    <row r="124" spans="1:16" x14ac:dyDescent="0.35">
      <c r="A124" s="333">
        <f t="shared" si="2"/>
        <v>124</v>
      </c>
      <c r="C124" s="403" t="s">
        <v>552</v>
      </c>
      <c r="D124" s="403"/>
      <c r="E124" s="403"/>
      <c r="F124" s="403"/>
      <c r="G124" s="403"/>
      <c r="H124" s="403"/>
      <c r="I124" s="403"/>
      <c r="J124" s="403"/>
      <c r="K124" s="403"/>
      <c r="L124" s="403"/>
      <c r="M124" s="403"/>
      <c r="N124" s="403"/>
      <c r="P124" s="334"/>
    </row>
    <row r="125" spans="1:16" x14ac:dyDescent="0.35">
      <c r="A125" s="333">
        <f t="shared" si="2"/>
        <v>125</v>
      </c>
      <c r="C125" s="401"/>
      <c r="D125" s="401"/>
      <c r="E125" s="401"/>
      <c r="F125" s="401"/>
      <c r="G125" s="401"/>
      <c r="H125" s="401"/>
      <c r="I125" s="401"/>
      <c r="J125" s="401"/>
      <c r="K125" s="401"/>
      <c r="L125" s="401"/>
      <c r="M125" s="401"/>
      <c r="N125" s="401"/>
      <c r="P125" s="334"/>
    </row>
    <row r="126" spans="1:16" x14ac:dyDescent="0.35">
      <c r="A126" s="333">
        <f t="shared" si="2"/>
        <v>126</v>
      </c>
      <c r="C126" s="402"/>
      <c r="D126" s="402"/>
      <c r="E126" s="402"/>
      <c r="F126" s="402"/>
      <c r="G126" s="402"/>
      <c r="H126" s="402"/>
      <c r="I126" s="402"/>
      <c r="J126" s="402"/>
      <c r="K126" s="402"/>
      <c r="L126" s="402"/>
      <c r="M126" s="402"/>
      <c r="N126" s="402"/>
      <c r="P126" s="334"/>
    </row>
    <row r="127" spans="1:16" x14ac:dyDescent="0.35">
      <c r="A127" s="333">
        <f t="shared" si="2"/>
        <v>127</v>
      </c>
      <c r="C127" s="402"/>
      <c r="D127" s="402"/>
      <c r="E127" s="402"/>
      <c r="F127" s="402"/>
      <c r="G127" s="402"/>
      <c r="H127" s="402"/>
      <c r="I127" s="402"/>
      <c r="J127" s="402"/>
      <c r="K127" s="402"/>
      <c r="L127" s="402"/>
      <c r="M127" s="402"/>
      <c r="N127" s="402"/>
      <c r="P127" s="334"/>
    </row>
    <row r="128" spans="1:16" x14ac:dyDescent="0.35">
      <c r="A128" s="333">
        <f t="shared" si="2"/>
        <v>128</v>
      </c>
      <c r="C128" s="402"/>
      <c r="D128" s="402"/>
      <c r="E128" s="402"/>
      <c r="F128" s="402"/>
      <c r="G128" s="402"/>
      <c r="H128" s="402"/>
      <c r="I128" s="402"/>
      <c r="J128" s="402"/>
      <c r="K128" s="402"/>
      <c r="L128" s="402"/>
      <c r="M128" s="402"/>
      <c r="N128" s="402"/>
      <c r="P128" s="334"/>
    </row>
    <row r="129" spans="1:16" x14ac:dyDescent="0.35">
      <c r="A129" s="333">
        <f t="shared" si="2"/>
        <v>129</v>
      </c>
      <c r="C129" s="402"/>
      <c r="D129" s="402"/>
      <c r="E129" s="402"/>
      <c r="F129" s="402"/>
      <c r="G129" s="402"/>
      <c r="H129" s="402"/>
      <c r="I129" s="402"/>
      <c r="J129" s="402"/>
      <c r="K129" s="402"/>
      <c r="L129" s="402"/>
      <c r="M129" s="402"/>
      <c r="N129" s="402"/>
      <c r="P129" s="334"/>
    </row>
    <row r="130" spans="1:16" x14ac:dyDescent="0.35">
      <c r="A130" s="333">
        <f t="shared" si="2"/>
        <v>130</v>
      </c>
      <c r="C130" s="402"/>
      <c r="D130" s="402"/>
      <c r="E130" s="402"/>
      <c r="F130" s="402"/>
      <c r="G130" s="402"/>
      <c r="H130" s="402"/>
      <c r="I130" s="402"/>
      <c r="J130" s="402"/>
      <c r="K130" s="402"/>
      <c r="L130" s="402"/>
      <c r="M130" s="402"/>
      <c r="N130" s="402"/>
      <c r="P130" s="334"/>
    </row>
    <row r="131" spans="1:16" x14ac:dyDescent="0.35">
      <c r="A131" s="333">
        <f t="shared" ref="A131:O135" si="3">+A130+1</f>
        <v>131</v>
      </c>
      <c r="C131" s="402"/>
      <c r="D131" s="402"/>
      <c r="E131" s="402"/>
      <c r="F131" s="402"/>
      <c r="G131" s="402"/>
      <c r="H131" s="402"/>
      <c r="I131" s="402"/>
      <c r="J131" s="402"/>
      <c r="K131" s="402"/>
      <c r="L131" s="402"/>
      <c r="M131" s="402"/>
      <c r="N131" s="402"/>
      <c r="P131" s="334"/>
    </row>
    <row r="132" spans="1:16" x14ac:dyDescent="0.35">
      <c r="A132" s="333">
        <f t="shared" si="3"/>
        <v>132</v>
      </c>
      <c r="C132" s="402"/>
      <c r="D132" s="402"/>
      <c r="E132" s="402"/>
      <c r="F132" s="402"/>
      <c r="G132" s="402"/>
      <c r="H132" s="402"/>
      <c r="I132" s="402"/>
      <c r="J132" s="402"/>
      <c r="K132" s="402"/>
      <c r="L132" s="402"/>
      <c r="M132" s="402"/>
      <c r="N132" s="402"/>
      <c r="P132" s="334"/>
    </row>
    <row r="133" spans="1:16" x14ac:dyDescent="0.35">
      <c r="A133" s="333">
        <f t="shared" si="3"/>
        <v>133</v>
      </c>
      <c r="P133" s="334"/>
    </row>
    <row r="134" spans="1:16" ht="14.5" x14ac:dyDescent="0.35">
      <c r="A134" s="333">
        <f t="shared" si="3"/>
        <v>134</v>
      </c>
      <c r="B134" s="333">
        <f t="shared" si="3"/>
        <v>1</v>
      </c>
      <c r="C134" s="333">
        <f t="shared" si="3"/>
        <v>1</v>
      </c>
      <c r="D134" s="333">
        <f t="shared" si="3"/>
        <v>1</v>
      </c>
      <c r="E134" s="333">
        <f t="shared" si="3"/>
        <v>1</v>
      </c>
      <c r="F134" s="333">
        <f t="shared" si="3"/>
        <v>1</v>
      </c>
      <c r="G134" s="333">
        <f t="shared" si="3"/>
        <v>1</v>
      </c>
      <c r="H134" s="333">
        <f t="shared" si="3"/>
        <v>1</v>
      </c>
      <c r="I134" s="333">
        <f t="shared" si="3"/>
        <v>1</v>
      </c>
      <c r="J134" s="333">
        <f t="shared" si="3"/>
        <v>1</v>
      </c>
      <c r="K134" s="333">
        <f t="shared" si="3"/>
        <v>1</v>
      </c>
      <c r="L134" s="333">
        <f t="shared" si="3"/>
        <v>1</v>
      </c>
      <c r="M134" s="333">
        <f t="shared" si="3"/>
        <v>1</v>
      </c>
      <c r="N134" s="333">
        <f t="shared" si="3"/>
        <v>1</v>
      </c>
      <c r="O134" s="333">
        <f t="shared" si="3"/>
        <v>1</v>
      </c>
      <c r="P134" s="334"/>
    </row>
    <row r="135" spans="1:16" ht="14.5" x14ac:dyDescent="0.35">
      <c r="A135" s="333">
        <f t="shared" si="3"/>
        <v>135</v>
      </c>
      <c r="B135" s="333">
        <f t="shared" si="3"/>
        <v>2</v>
      </c>
      <c r="C135" s="333">
        <f t="shared" si="3"/>
        <v>2</v>
      </c>
      <c r="D135" s="333">
        <f t="shared" si="3"/>
        <v>2</v>
      </c>
      <c r="E135" s="333">
        <f t="shared" si="3"/>
        <v>2</v>
      </c>
      <c r="F135" s="333">
        <f t="shared" si="3"/>
        <v>2</v>
      </c>
      <c r="G135" s="333">
        <f t="shared" si="3"/>
        <v>2</v>
      </c>
      <c r="H135" s="333">
        <f t="shared" si="3"/>
        <v>2</v>
      </c>
      <c r="I135" s="333">
        <f t="shared" si="3"/>
        <v>2</v>
      </c>
      <c r="J135" s="333">
        <f t="shared" si="3"/>
        <v>2</v>
      </c>
      <c r="K135" s="333">
        <f t="shared" si="3"/>
        <v>2</v>
      </c>
      <c r="L135" s="333">
        <f t="shared" si="3"/>
        <v>2</v>
      </c>
      <c r="M135" s="333">
        <f t="shared" si="3"/>
        <v>2</v>
      </c>
      <c r="N135" s="333">
        <f t="shared" si="3"/>
        <v>2</v>
      </c>
      <c r="O135" s="333">
        <f t="shared" si="3"/>
        <v>2</v>
      </c>
      <c r="P135" s="334"/>
    </row>
  </sheetData>
  <sheetProtection sheet="1" objects="1" scenarios="1" selectLockedCells="1"/>
  <protectedRanges>
    <protectedRange sqref="G37" name="Rango1"/>
  </protectedRanges>
  <dataConsolidate/>
  <mergeCells count="6">
    <mergeCell ref="C125:N132"/>
    <mergeCell ref="I5:J5"/>
    <mergeCell ref="M11:O12"/>
    <mergeCell ref="M13:O14"/>
    <mergeCell ref="M15:O16"/>
    <mergeCell ref="C124:N124"/>
  </mergeCells>
  <conditionalFormatting sqref="J12">
    <cfRule type="expression" dxfId="32" priority="3">
      <formula>$J$11&gt;1</formula>
    </cfRule>
  </conditionalFormatting>
  <conditionalFormatting sqref="J14">
    <cfRule type="expression" dxfId="31" priority="2">
      <formula>$J$13&gt;1</formula>
    </cfRule>
  </conditionalFormatting>
  <conditionalFormatting sqref="J16">
    <cfRule type="expression" dxfId="30" priority="1">
      <formula>$J$15&gt;1</formula>
    </cfRule>
  </conditionalFormatting>
  <dataValidations count="62">
    <dataValidation allowBlank="1" showInputMessage="1" showErrorMessage="1" prompt="Aumento diario de peso vivo promedio" sqref="J97 E97"/>
    <dataValidation allowBlank="1" showErrorMessage="1" prompt="Kilos de materia seca ofrecidos en total" sqref="E96 J96"/>
    <dataValidation allowBlank="1" showInputMessage="1" showErrorMessage="1" prompt="Stock medio en terminación: promedio de los valores de stock mensual en kilos totales para el ejercicio." sqref="J71"/>
    <dataValidation allowBlank="1" showInputMessage="1" showErrorMessage="1" prompt="Stock medio en terminación: promedio de los valores de stock mensual en cabezas para el ejercicio." sqref="J70"/>
    <dataValidation allowBlank="1" showInputMessage="1" showErrorMessage="1" prompt="Stock medio en recría: promedio de los valores de stock mensual en kilos totales para el ejercicio." sqref="E71"/>
    <dataValidation allowBlank="1" showInputMessage="1" showErrorMessage="1" prompt="Promedio de los valores de stock mensual en cabezas para el ejercicio (incluye corrales). Los terneros al pie de la madre se deben contabilizar para el cálculo de carga." sqref="E31"/>
    <dataValidation allowBlank="1" showInputMessage="1" showErrorMessage="1" prompt="Promedio de los valores de stock mensual en kg para el ejercicio (incluye corrales). Los terneros al pie de la madre se deben contabilizar como stock para el cálculo de carga." sqref="E32"/>
    <dataValidation allowBlank="1" showInputMessage="1" showErrorMessage="1" prompt="Kilos de materia seca ofrecidos en los corrales de terminación." sqref="J99"/>
    <dataValidation allowBlank="1" showInputMessage="1" showErrorMessage="1" prompt="Kilos de materia seca ofrecidos en los corrales de recría" sqref="E99"/>
    <dataValidation type="list" allowBlank="1" showInputMessage="1" showErrorMessage="1" prompt="Edad promedio al destete '17. Si hubo diferentes destetes, poner una edad promedio. Si merece aclaraciones, anotarlas en observaciones. " sqref="E58">
      <formula1>Destete</formula1>
    </dataValidation>
    <dataValidation type="list" allowBlank="1" showInputMessage="1" showErrorMessage="1" prompt="% de la dieta en MS suplementada" sqref="E84 J84">
      <formula1>supl</formula1>
    </dataValidation>
    <dataValidation allowBlank="1" showInputMessage="1" showErrorMessage="1" prompt="Tiempo promedio de la terminación. Si hay distintos lotes/rodeos, poner la duración ponderada." sqref="J72 J98"/>
    <dataValidation allowBlank="1" showInputMessage="1" showErrorMessage="1" prompt="Tiempo promedio de la recría. Si hay distintos lotes/rodeos, poner la duración ponderada." sqref="E72 E98"/>
    <dataValidation allowBlank="1" showInputMessage="1" showErrorMessage="1" prompt="Si la empresa tiene más de un establecimiento, llenar una planilla por cada campo." sqref="D6"/>
    <dataValidation allowBlank="1" showInputMessage="1" showErrorMessage="1" prompt="Superficie en en ganadería con aptitud agrícola (clase I a IV) propias y alquiladas." sqref="J20"/>
    <dataValidation type="list" allowBlank="1" showInputMessage="1" showErrorMessage="1" sqref="J80 J108">
      <formula1>sino</formula1>
    </dataValidation>
    <dataValidation type="list" allowBlank="1" showInputMessage="1" showErrorMessage="1" sqref="E115:E118 E113 J115:J118 J113">
      <formula1>Dieta</formula1>
    </dataValidation>
    <dataValidation type="list" allowBlank="1" showInputMessage="1" showErrorMessage="1" sqref="E114 J114">
      <formula1>CC</formula1>
    </dataValidation>
    <dataValidation allowBlank="1" showInputMessage="1" showErrorMessage="1" prompt="Stock medio en recría: promedio de los valores de stock mensual en cabezas para el ejercicio." sqref="E70"/>
    <dataValidation type="list" allowBlank="1" showInputMessage="1" showErrorMessage="1" sqref="E82 E110">
      <formula1>PSR</formula1>
    </dataValidation>
    <dataValidation type="list" allowBlank="1" showInputMessage="1" showErrorMessage="1" sqref="E81 E109">
      <formula1>PER</formula1>
    </dataValidation>
    <dataValidation type="list" allowBlank="1" showInputMessage="1" showErrorMessage="1" sqref="J82 J110">
      <formula1>PST</formula1>
    </dataValidation>
    <dataValidation type="list" allowBlank="1" showInputMessage="1" showErrorMessage="1" sqref="J81 J109">
      <formula1>PET</formula1>
    </dataValidation>
    <dataValidation type="list" allowBlank="1" showInputMessage="1" showErrorMessage="1" sqref="E79 J79 J107 E107">
      <formula1>MH</formula1>
    </dataValidation>
    <dataValidation allowBlank="1" showInputMessage="1" showErrorMessage="1" prompt="Ingrese un valor estimativo promedio de venta de la hectárea donde está realizando la ganadería." sqref="J21"/>
    <dataValidation allowBlank="1" showInputMessage="1" showErrorMessage="1" prompt="Capacidad máxima instantanea" sqref="H89"/>
    <dataValidation type="list" allowBlank="1" showInputMessage="1" showErrorMessage="1" prompt="Servicio '15_x000a_" sqref="I57">
      <formula1>fechaservicio</formula1>
    </dataValidation>
    <dataValidation allowBlank="1" showInputMessage="1" showErrorMessage="1" prompt="Peso medio de destete '17" sqref="E57"/>
    <dataValidation allowBlank="1" showInputMessage="1" showErrorMessage="1" prompt="% de vacas inseminadas en la campaña vacas Inseminadas/Vacas en Servicio)" sqref="J52"/>
    <dataValidation allowBlank="1" showInputMessage="1" showErrorMessage="1" prompt="% de vaquillonas inseminadas en la campaña (Vaquillona Inseminadas/Vaquillonas en Servicio)" sqref="J54"/>
    <dataValidation type="list" allowBlank="1" showInputMessage="1" showErrorMessage="1" sqref="J53">
      <formula1>edadservicio</formula1>
    </dataValidation>
    <dataValidation type="list" allowBlank="1" showInputMessage="1" showErrorMessage="1" prompt="Región donde se encuentra el establecimiento, independientemente del CREA al que pertenezca el establecimiento." sqref="F6">
      <formula1>Crea</formula1>
    </dataValidation>
    <dataValidation type="list" allowBlank="1" showErrorMessage="1" sqref="E61:I61">
      <formula1>cruz</formula1>
    </dataValidation>
    <dataValidation allowBlank="1" showInputMessage="1" showErrorMessage="1" prompt="Vacas preñadas 17´sobre vacas entoradas servicio 16´" sqref="E41"/>
    <dataValidation allowBlank="1" showInputMessage="1" showErrorMessage="1" prompt="Este indicador no debe ser tenido en cuenta en producciones a corral" sqref="J27 J29"/>
    <dataValidation allowBlank="1" showInputMessage="1" showErrorMessage="1" prompt="Incluye vacas y vaquillonas" sqref="E54:E55"/>
    <dataValidation allowBlank="1" showInputMessage="1" showErrorMessage="1" prompt="Ponderar en función de la cantidad de tiempo que se le dedica a la ganadería. Se tiene en cuenta el personal de maquinaria que le presta un servicio a la ganadería." sqref="E33 H90"/>
    <dataValidation allowBlank="1" showInputMessage="1" showErrorMessage="1" prompt="Stock bovino al 1 de julio 2016 (todo lo que está en el establecimiento)" sqref="E26"/>
    <dataValidation allowBlank="1" showInputMessage="1" showErrorMessage="1" prompt="Superficie de monte productivos de la unidad de producción" sqref="E16"/>
    <dataValidation allowBlank="1" showInputMessage="1" showErrorMessage="1" prompt="Superfice sembrada con verdeos de invierno tal cual. En la celda contigua se calculará las has asignadas a dicho recurso según las Normas CREA." sqref="J11"/>
    <dataValidation allowBlank="1" showInputMessage="1" showErrorMessage="1" prompt="Superficie de praderas perennes ya implantadas" sqref="E17"/>
    <dataValidation allowBlank="1" showInputMessage="1" showErrorMessage="1" prompt="Superficie de campo natural de la unidad de producción" sqref="E15"/>
    <dataValidation allowBlank="1" showInputMessage="1" showErrorMessage="1" prompt="Nro de cabezas muertas/cabezas ingresadas" sqref="E30"/>
    <dataValidation allowBlank="1" showInputMessage="1" showErrorMessage="1" prompt="Cantidad de Vaquillonas de 1 en servicio en 2016" sqref="E46"/>
    <dataValidation allowBlank="1" showInputMessage="1" showErrorMessage="1" prompt="Producción de carne (kg totales) = SALIDAS (kg vendidos,  traslados, consumo del eto.) - ENTRADAS (kg por compra o traslados de otras procedencias) + DIF. INVENTARIO (en Kg)" sqref="E28 J68 E68 E94 J94"/>
    <dataValidation allowBlank="1" showInputMessage="1" showErrorMessage="1" prompt="Stock bovino al 30 de junio 2017 (todo lo que está en el establecimiento)" sqref="E27"/>
    <dataValidation allowBlank="1" showInputMessage="1" showErrorMessage="1" prompt="Praderas implantadas en la campaña en análisis." sqref="E18"/>
    <dataValidation type="list" allowBlank="1" showInputMessage="1" showErrorMessage="1" sqref="G6">
      <formula1>MP</formula1>
    </dataValidation>
    <dataValidation allowBlank="1" showInputMessage="1" showErrorMessage="1" prompt="Superficie de suelo de la unidad de producción en agricultura, propias y alquiladas." sqref="E12"/>
    <dataValidation allowBlank="1" showInputMessage="1" showErrorMessage="1" prompt="Superficie del establecimiento en producción." sqref="E11"/>
    <dataValidation allowBlank="1" showInputMessage="1" showErrorMessage="1" prompt="Superfice sembrada (tal cual) con verdeos de verano para consumo fresco o diferido. En la celda contigua se calculará las has asignadas a dicho recurso según las Normas CREA." sqref="J13"/>
    <dataValidation allowBlank="1" showInputMessage="1" showErrorMessage="1" prompt="Superfice de rastrojos pastoreados. En la celda contigua se calculará las has asignadas a dicho recurso según las Normas CREA." sqref="J15"/>
    <dataValidation allowBlank="1" showErrorMessage="1" sqref="J19"/>
    <dataValidation allowBlank="1" showErrorMessage="1" prompt="Superficie de monte productivos del establecimiento" sqref="J16"/>
    <dataValidation allowBlank="1" showInputMessage="1" showErrorMessage="1" prompt="Terneros destetados 17´sobre vientres entorados en servicio´15" sqref="E52"/>
    <dataValidation allowBlank="1" showInputMessage="1" showErrorMessage="1" prompt="Vacas y vaquillonas preñadas sobre vientres entoradas en servicio 15´" sqref="E53"/>
    <dataValidation allowBlank="1" showInputMessage="1" showErrorMessage="1" prompt="Vaquillonas de 1° servicio preñadas 17´/ vaquillonas de 1° s. entoradas en 16´" sqref="E45"/>
    <dataValidation type="list" allowBlank="1" showInputMessage="1" showErrorMessage="1" sqref="J83 E83">
      <formula1>RRFF</formula1>
    </dataValidation>
    <dataValidation allowBlank="1" showInputMessage="1" showErrorMessage="1" prompt="Tiempo desde la primer labor del verdeo hasta cambio de uso del lote (no sólo tiempo que fue pastoreado)." sqref="J12"/>
    <dataValidation allowBlank="1" showInputMessage="1" showErrorMessage="1" prompt="Tiempo desde la primer labor del verdeo/diferido hasta cambio de uso del lote (no sólo tiempo que fue pastoreado)." sqref="J14"/>
    <dataValidation type="list" allowBlank="1" showInputMessage="1" showErrorMessage="1" prompt="Servicio '15" sqref="I58">
      <formula1>fechaservicio</formula1>
    </dataValidation>
    <dataValidation type="list" allowBlank="1" showInputMessage="1" showErrorMessage="1" prompt="Servicio '15" sqref="J57:J58">
      <formula1>duracion</formula1>
    </dataValidation>
  </dataValidations>
  <hyperlinks>
    <hyperlink ref="G95" location="'1 (prop.sup)'!F115" display="Ir a cálculo desbaste"/>
    <hyperlink ref="G95:G96" location="'1'!D118" display="Ir a cálculo desbaste"/>
    <hyperlink ref="L95:L96" location="'1'!D118" display="Ir a cálculo desbaste"/>
    <hyperlink ref="L95" location="'1 (prop.sup)'!F115" display="Ir a cálculo desbaste"/>
  </hyperlinks>
  <pageMargins left="0.25" right="0.25" top="0.75" bottom="0.75" header="0.3" footer="0.3"/>
  <pageSetup paperSize="9" scale="48" fitToHeight="0" orientation="portrait" verticalDpi="599" r:id="rId1"/>
  <rowBreaks count="1" manualBreakCount="1">
    <brk id="60" min="1" max="12"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B135"/>
  <sheetViews>
    <sheetView showGridLines="0" zoomScale="90" zoomScaleNormal="90" workbookViewId="0">
      <pane xSplit="1" ySplit="1" topLeftCell="B3" activePane="bottomRight" state="frozen"/>
      <selection activeCell="B21" sqref="B21"/>
      <selection pane="topRight" activeCell="B21" sqref="B21"/>
      <selection pane="bottomLeft" activeCell="B21" sqref="B21"/>
      <selection pane="bottomRight" activeCell="J21" sqref="J21"/>
    </sheetView>
  </sheetViews>
  <sheetFormatPr baseColWidth="10" defaultColWidth="0" defaultRowHeight="15.5" customHeight="1" zeroHeight="1" outlineLevelRow="2" x14ac:dyDescent="0.35"/>
  <cols>
    <col min="1" max="1" width="5" style="330" customWidth="1"/>
    <col min="2" max="2" width="11.81640625" style="1" customWidth="1"/>
    <col min="3" max="3" width="16" style="1" customWidth="1"/>
    <col min="4" max="4" width="18.54296875" style="1" customWidth="1"/>
    <col min="5" max="6" width="14.54296875" style="1" customWidth="1"/>
    <col min="7" max="7" width="12.1796875" style="1" customWidth="1"/>
    <col min="8" max="8" width="16.26953125" style="1" customWidth="1"/>
    <col min="9" max="10" width="14.54296875" style="1" customWidth="1"/>
    <col min="11" max="12" width="13.453125" style="1" customWidth="1"/>
    <col min="13" max="13" width="14.54296875" style="1" customWidth="1"/>
    <col min="14" max="15" width="11.453125" style="69" customWidth="1"/>
    <col min="16" max="16" width="5.54296875" style="69" customWidth="1"/>
    <col min="17" max="17" width="11.453125" style="69" hidden="1"/>
    <col min="18" max="16382" width="0" style="69" hidden="1"/>
    <col min="16383" max="16384" width="11.453125" style="69" hidden="1"/>
  </cols>
  <sheetData>
    <row r="1" spans="1:17" s="333" customFormat="1" ht="14.5" x14ac:dyDescent="0.35">
      <c r="A1" s="333">
        <v>1</v>
      </c>
      <c r="B1" s="333">
        <f t="shared" ref="B1:P1" si="0">+A1+1</f>
        <v>2</v>
      </c>
      <c r="C1" s="333">
        <f t="shared" si="0"/>
        <v>3</v>
      </c>
      <c r="D1" s="333">
        <f t="shared" si="0"/>
        <v>4</v>
      </c>
      <c r="E1" s="333">
        <f t="shared" si="0"/>
        <v>5</v>
      </c>
      <c r="F1" s="333">
        <f t="shared" si="0"/>
        <v>6</v>
      </c>
      <c r="G1" s="333">
        <f t="shared" si="0"/>
        <v>7</v>
      </c>
      <c r="H1" s="333">
        <f t="shared" si="0"/>
        <v>8</v>
      </c>
      <c r="I1" s="333">
        <f t="shared" si="0"/>
        <v>9</v>
      </c>
      <c r="J1" s="333">
        <f t="shared" si="0"/>
        <v>10</v>
      </c>
      <c r="K1" s="333">
        <f t="shared" si="0"/>
        <v>11</v>
      </c>
      <c r="L1" s="333">
        <f t="shared" si="0"/>
        <v>12</v>
      </c>
      <c r="M1" s="333">
        <f t="shared" si="0"/>
        <v>13</v>
      </c>
      <c r="N1" s="333">
        <f t="shared" si="0"/>
        <v>14</v>
      </c>
      <c r="O1" s="333">
        <f t="shared" si="0"/>
        <v>15</v>
      </c>
      <c r="P1" s="333">
        <f t="shared" si="0"/>
        <v>16</v>
      </c>
    </row>
    <row r="2" spans="1:17" x14ac:dyDescent="0.35">
      <c r="A2" s="333">
        <f>+A1+1</f>
        <v>2</v>
      </c>
      <c r="P2" s="334"/>
      <c r="Q2" s="334"/>
    </row>
    <row r="3" spans="1:17" x14ac:dyDescent="0.35">
      <c r="A3" s="333">
        <f t="shared" ref="A3:A66" si="1">+A2+1</f>
        <v>3</v>
      </c>
      <c r="B3" s="335" t="s">
        <v>0</v>
      </c>
      <c r="C3" s="336"/>
      <c r="D3" s="58"/>
      <c r="E3" s="302"/>
      <c r="F3" s="337" t="s">
        <v>1</v>
      </c>
      <c r="G3" s="58"/>
      <c r="H3" s="303"/>
      <c r="I3" s="337" t="s">
        <v>2</v>
      </c>
      <c r="J3" s="58"/>
      <c r="K3" s="58"/>
      <c r="L3" s="336"/>
      <c r="M3" s="336"/>
      <c r="N3" s="338"/>
      <c r="O3" s="339"/>
      <c r="P3" s="334"/>
      <c r="Q3" s="334"/>
    </row>
    <row r="4" spans="1:17" x14ac:dyDescent="0.35">
      <c r="A4" s="333">
        <f t="shared" si="1"/>
        <v>4</v>
      </c>
      <c r="B4" s="340"/>
      <c r="C4" s="340"/>
      <c r="E4" s="336"/>
      <c r="F4" s="336"/>
      <c r="G4" s="336"/>
      <c r="H4" s="336"/>
      <c r="I4" s="336"/>
      <c r="J4" s="336"/>
      <c r="K4" s="336"/>
      <c r="L4" s="336"/>
      <c r="M4" s="336"/>
      <c r="N4" s="338"/>
      <c r="O4" s="338"/>
      <c r="P4" s="334"/>
      <c r="Q4" s="334"/>
    </row>
    <row r="5" spans="1:17" ht="29" x14ac:dyDescent="0.35">
      <c r="A5" s="333">
        <f t="shared" si="1"/>
        <v>5</v>
      </c>
      <c r="B5" s="341" t="s">
        <v>3</v>
      </c>
      <c r="C5" s="342" t="s">
        <v>4</v>
      </c>
      <c r="D5" s="341" t="s">
        <v>5</v>
      </c>
      <c r="E5" s="342" t="s">
        <v>6</v>
      </c>
      <c r="F5" s="342" t="s">
        <v>7</v>
      </c>
      <c r="G5" s="343" t="s">
        <v>8</v>
      </c>
      <c r="H5" s="344" t="s">
        <v>9</v>
      </c>
      <c r="I5" s="404" t="s">
        <v>10</v>
      </c>
      <c r="J5" s="405"/>
      <c r="N5" s="345"/>
      <c r="P5" s="334"/>
      <c r="Q5" s="334"/>
    </row>
    <row r="6" spans="1:17" x14ac:dyDescent="0.35">
      <c r="A6" s="333">
        <f t="shared" si="1"/>
        <v>6</v>
      </c>
      <c r="B6" s="310" t="s">
        <v>649</v>
      </c>
      <c r="C6" s="346"/>
      <c r="D6" s="346"/>
      <c r="E6" s="347"/>
      <c r="F6" s="346"/>
      <c r="G6" s="347"/>
      <c r="H6" s="347"/>
      <c r="I6" s="347"/>
      <c r="J6" s="347"/>
      <c r="N6" s="338"/>
      <c r="O6" s="338"/>
      <c r="P6" s="334"/>
      <c r="Q6" s="334"/>
    </row>
    <row r="7" spans="1:17" x14ac:dyDescent="0.35">
      <c r="A7" s="333">
        <f t="shared" si="1"/>
        <v>7</v>
      </c>
      <c r="P7" s="334"/>
      <c r="Q7" s="334"/>
    </row>
    <row r="8" spans="1:17" x14ac:dyDescent="0.35">
      <c r="A8" s="333">
        <f t="shared" si="1"/>
        <v>8</v>
      </c>
      <c r="B8" s="348" t="s">
        <v>13</v>
      </c>
      <c r="C8" s="348"/>
      <c r="D8" s="348"/>
      <c r="E8" s="348"/>
      <c r="F8" s="348"/>
      <c r="G8" s="348"/>
      <c r="H8" s="349"/>
      <c r="I8" s="349"/>
      <c r="J8" s="349"/>
      <c r="K8" s="349"/>
      <c r="L8" s="349"/>
      <c r="M8" s="349"/>
      <c r="N8" s="350"/>
      <c r="O8" s="350"/>
      <c r="P8" s="334"/>
      <c r="Q8" s="334"/>
    </row>
    <row r="9" spans="1:17" x14ac:dyDescent="0.35">
      <c r="A9" s="333">
        <f t="shared" si="1"/>
        <v>9</v>
      </c>
      <c r="P9" s="334"/>
      <c r="Q9" s="334"/>
    </row>
    <row r="10" spans="1:17" x14ac:dyDescent="0.35">
      <c r="A10" s="333">
        <f t="shared" si="1"/>
        <v>10</v>
      </c>
      <c r="C10" s="2"/>
      <c r="D10" s="2" t="s">
        <v>14</v>
      </c>
      <c r="G10" s="2"/>
      <c r="I10" s="56" t="s">
        <v>17</v>
      </c>
      <c r="J10" s="69"/>
      <c r="K10" s="69"/>
      <c r="L10" s="2" t="s">
        <v>18</v>
      </c>
      <c r="M10" s="4"/>
      <c r="P10" s="334"/>
      <c r="Q10" s="334"/>
    </row>
    <row r="11" spans="1:17" ht="18" customHeight="1" x14ac:dyDescent="0.35">
      <c r="A11" s="333">
        <f t="shared" si="1"/>
        <v>11</v>
      </c>
      <c r="D11" s="3" t="s">
        <v>15</v>
      </c>
      <c r="E11" s="28"/>
      <c r="F11" s="1" t="s">
        <v>16</v>
      </c>
      <c r="I11" s="3" t="s">
        <v>19</v>
      </c>
      <c r="J11" s="28"/>
      <c r="K11" s="1" t="s">
        <v>16</v>
      </c>
      <c r="L11" s="5" t="str">
        <f>IF(J11*J12/12=0,"",J11*J12/12)</f>
        <v/>
      </c>
      <c r="M11" s="406" t="s">
        <v>656</v>
      </c>
      <c r="N11" s="406"/>
      <c r="O11" s="406"/>
      <c r="P11" s="334"/>
      <c r="Q11" s="334"/>
    </row>
    <row r="12" spans="1:17" x14ac:dyDescent="0.35">
      <c r="A12" s="333">
        <f t="shared" si="1"/>
        <v>12</v>
      </c>
      <c r="D12" s="3" t="s">
        <v>514</v>
      </c>
      <c r="E12" s="28"/>
      <c r="F12" s="1" t="s">
        <v>16</v>
      </c>
      <c r="I12" s="3" t="str">
        <f>+IF(J11&gt;1,"Tiempo ocupado por verdeo de invierno","")</f>
        <v/>
      </c>
      <c r="J12" s="351"/>
      <c r="K12" s="6" t="str">
        <f>+IF($J$11&gt;1,"meses","")</f>
        <v/>
      </c>
      <c r="L12" s="69"/>
      <c r="M12" s="406"/>
      <c r="N12" s="406"/>
      <c r="O12" s="406"/>
      <c r="P12" s="334"/>
      <c r="Q12" s="334"/>
    </row>
    <row r="13" spans="1:17" ht="18" customHeight="1" x14ac:dyDescent="0.35">
      <c r="A13" s="333">
        <f t="shared" si="1"/>
        <v>13</v>
      </c>
      <c r="I13" s="3" t="s">
        <v>22</v>
      </c>
      <c r="J13" s="28"/>
      <c r="K13" s="1" t="s">
        <v>16</v>
      </c>
      <c r="L13" s="5" t="str">
        <f>IF(J13*J14/12=0,"",J13*J14/12)</f>
        <v/>
      </c>
      <c r="M13" s="406" t="s">
        <v>657</v>
      </c>
      <c r="N13" s="406"/>
      <c r="O13" s="406"/>
      <c r="P13" s="334"/>
      <c r="Q13" s="334"/>
    </row>
    <row r="14" spans="1:17" x14ac:dyDescent="0.35">
      <c r="A14" s="333">
        <f t="shared" si="1"/>
        <v>14</v>
      </c>
      <c r="C14" s="2"/>
      <c r="D14" s="2" t="s">
        <v>21</v>
      </c>
      <c r="I14" s="3" t="str">
        <f>+IF(J13&gt;1,"Tiempo ocupado por verdeo de verano y diferido","")</f>
        <v/>
      </c>
      <c r="J14" s="351"/>
      <c r="K14" s="6" t="str">
        <f>+IF($J$13&gt;1,"meses","")</f>
        <v/>
      </c>
      <c r="L14" s="69"/>
      <c r="M14" s="406"/>
      <c r="N14" s="406"/>
      <c r="O14" s="406"/>
      <c r="P14" s="334"/>
      <c r="Q14" s="334"/>
    </row>
    <row r="15" spans="1:17" ht="18" customHeight="1" x14ac:dyDescent="0.35">
      <c r="A15" s="333">
        <f t="shared" si="1"/>
        <v>15</v>
      </c>
      <c r="D15" s="3" t="s">
        <v>24</v>
      </c>
      <c r="E15" s="28"/>
      <c r="F15" s="1" t="s">
        <v>16</v>
      </c>
      <c r="I15" s="3" t="s">
        <v>26</v>
      </c>
      <c r="J15" s="28"/>
      <c r="K15" s="1" t="s">
        <v>16</v>
      </c>
      <c r="L15" s="5" t="str">
        <f>IF(J15*J16/12=0,"",J15*J16/12)</f>
        <v/>
      </c>
      <c r="M15" s="406" t="s">
        <v>658</v>
      </c>
      <c r="N15" s="406"/>
      <c r="O15" s="406"/>
      <c r="P15" s="334"/>
      <c r="Q15" s="334"/>
    </row>
    <row r="16" spans="1:17" x14ac:dyDescent="0.35">
      <c r="A16" s="333">
        <f t="shared" si="1"/>
        <v>16</v>
      </c>
      <c r="B16" s="8"/>
      <c r="D16" s="7" t="s">
        <v>25</v>
      </c>
      <c r="E16" s="28"/>
      <c r="F16" s="1" t="s">
        <v>16</v>
      </c>
      <c r="I16" s="3" t="str">
        <f>+IF(J15&gt;1,"Tiempo de ocupación de rastrojos y otros  ","")</f>
        <v/>
      </c>
      <c r="J16" s="351"/>
      <c r="K16" s="6" t="str">
        <f>+IF($J$15&gt;1,"meses","")</f>
        <v/>
      </c>
      <c r="L16" s="69"/>
      <c r="M16" s="406"/>
      <c r="N16" s="406"/>
      <c r="O16" s="406"/>
      <c r="P16" s="334"/>
      <c r="Q16" s="334"/>
    </row>
    <row r="17" spans="1:17" x14ac:dyDescent="0.35">
      <c r="A17" s="333">
        <f t="shared" si="1"/>
        <v>17</v>
      </c>
      <c r="D17" s="3" t="s">
        <v>28</v>
      </c>
      <c r="E17" s="28"/>
      <c r="F17" s="1" t="s">
        <v>16</v>
      </c>
      <c r="M17" s="396"/>
      <c r="N17" s="352"/>
      <c r="O17" s="352"/>
      <c r="P17" s="334"/>
      <c r="Q17" s="334"/>
    </row>
    <row r="18" spans="1:17" x14ac:dyDescent="0.35">
      <c r="A18" s="333">
        <f t="shared" si="1"/>
        <v>18</v>
      </c>
      <c r="D18" s="3" t="s">
        <v>29</v>
      </c>
      <c r="E18" s="28"/>
      <c r="F18" s="1" t="s">
        <v>16</v>
      </c>
      <c r="G18" s="10"/>
      <c r="H18" s="11"/>
      <c r="I18" s="57" t="s">
        <v>30</v>
      </c>
      <c r="J18" s="10"/>
      <c r="K18" s="10"/>
      <c r="P18" s="334"/>
      <c r="Q18" s="334"/>
    </row>
    <row r="19" spans="1:17" x14ac:dyDescent="0.35">
      <c r="A19" s="333">
        <f t="shared" si="1"/>
        <v>19</v>
      </c>
      <c r="C19" s="1" t="s">
        <v>9</v>
      </c>
      <c r="D19" s="329"/>
      <c r="E19" s="329"/>
      <c r="F19" s="1" t="s">
        <v>16</v>
      </c>
      <c r="G19" s="10"/>
      <c r="H19" s="10"/>
      <c r="I19" s="7" t="s">
        <v>31</v>
      </c>
      <c r="J19" s="12">
        <f>+SUM(E15:E20,L11,L13,L15)</f>
        <v>0</v>
      </c>
      <c r="K19" s="10" t="s">
        <v>16</v>
      </c>
      <c r="P19" s="334"/>
      <c r="Q19" s="334"/>
    </row>
    <row r="20" spans="1:17" x14ac:dyDescent="0.35">
      <c r="A20" s="333">
        <f t="shared" si="1"/>
        <v>20</v>
      </c>
      <c r="C20" s="1" t="s">
        <v>9</v>
      </c>
      <c r="D20" s="329"/>
      <c r="E20" s="329"/>
      <c r="F20" s="1" t="s">
        <v>16</v>
      </c>
      <c r="G20" s="10"/>
      <c r="H20" s="10"/>
      <c r="I20" s="3" t="s">
        <v>575</v>
      </c>
      <c r="J20" s="353"/>
      <c r="K20" s="3"/>
      <c r="L20" s="8"/>
      <c r="P20" s="334"/>
      <c r="Q20" s="334"/>
    </row>
    <row r="21" spans="1:17" x14ac:dyDescent="0.35">
      <c r="A21" s="333">
        <f t="shared" si="1"/>
        <v>21</v>
      </c>
      <c r="H21" s="311"/>
      <c r="I21" s="7" t="s">
        <v>517</v>
      </c>
      <c r="J21" s="28"/>
      <c r="K21" s="331" t="s">
        <v>515</v>
      </c>
      <c r="L21" s="8"/>
      <c r="P21" s="334"/>
      <c r="Q21" s="334"/>
    </row>
    <row r="22" spans="1:17" x14ac:dyDescent="0.35">
      <c r="A22" s="333">
        <f t="shared" si="1"/>
        <v>22</v>
      </c>
      <c r="G22" s="10"/>
      <c r="H22" s="10"/>
      <c r="I22" s="3"/>
      <c r="J22" s="3"/>
      <c r="K22" s="3"/>
      <c r="L22" s="8"/>
      <c r="P22" s="334"/>
      <c r="Q22" s="334"/>
    </row>
    <row r="23" spans="1:17" x14ac:dyDescent="0.35">
      <c r="A23" s="333">
        <f t="shared" si="1"/>
        <v>23</v>
      </c>
      <c r="G23" s="10"/>
      <c r="H23" s="10"/>
      <c r="I23" s="3"/>
      <c r="J23" s="3"/>
      <c r="K23" s="3"/>
      <c r="L23" s="8"/>
      <c r="P23" s="334"/>
      <c r="Q23" s="334"/>
    </row>
    <row r="24" spans="1:17" x14ac:dyDescent="0.35">
      <c r="A24" s="333">
        <f t="shared" si="1"/>
        <v>24</v>
      </c>
      <c r="B24" s="348" t="s">
        <v>32</v>
      </c>
      <c r="C24" s="348"/>
      <c r="D24" s="348"/>
      <c r="E24" s="348"/>
      <c r="F24" s="348"/>
      <c r="G24" s="348"/>
      <c r="H24" s="349"/>
      <c r="I24" s="349"/>
      <c r="J24" s="349"/>
      <c r="K24" s="349"/>
      <c r="L24" s="349"/>
      <c r="M24" s="349"/>
      <c r="N24" s="350"/>
      <c r="O24" s="350"/>
      <c r="P24" s="334"/>
      <c r="Q24" s="334"/>
    </row>
    <row r="25" spans="1:17" x14ac:dyDescent="0.35">
      <c r="A25" s="333">
        <f t="shared" si="1"/>
        <v>25</v>
      </c>
      <c r="O25" s="13"/>
      <c r="P25" s="334"/>
      <c r="Q25" s="334"/>
    </row>
    <row r="26" spans="1:17" x14ac:dyDescent="0.35">
      <c r="A26" s="333">
        <f t="shared" si="1"/>
        <v>26</v>
      </c>
      <c r="D26" s="3" t="s">
        <v>33</v>
      </c>
      <c r="E26" s="28"/>
      <c r="F26" s="1" t="s">
        <v>34</v>
      </c>
      <c r="J26" s="354" t="s">
        <v>35</v>
      </c>
      <c r="K26" s="69"/>
      <c r="P26" s="334"/>
      <c r="Q26" s="334"/>
    </row>
    <row r="27" spans="1:17" x14ac:dyDescent="0.35">
      <c r="A27" s="333">
        <f t="shared" si="1"/>
        <v>27</v>
      </c>
      <c r="D27" s="3" t="s">
        <v>36</v>
      </c>
      <c r="E27" s="28"/>
      <c r="F27" s="1" t="s">
        <v>34</v>
      </c>
      <c r="J27" s="67" t="str">
        <f>+IFERROR(E28/J19,"")</f>
        <v/>
      </c>
      <c r="K27" s="1" t="s">
        <v>187</v>
      </c>
      <c r="P27" s="334"/>
      <c r="Q27" s="334"/>
    </row>
    <row r="28" spans="1:17" x14ac:dyDescent="0.35">
      <c r="A28" s="333">
        <f t="shared" si="1"/>
        <v>28</v>
      </c>
      <c r="D28" s="3" t="s">
        <v>40</v>
      </c>
      <c r="E28" s="28"/>
      <c r="F28" s="1" t="s">
        <v>41</v>
      </c>
      <c r="J28" s="68" t="str">
        <f>+IFERROR(E28/(E31),"")</f>
        <v/>
      </c>
      <c r="K28" s="1" t="s">
        <v>516</v>
      </c>
      <c r="P28" s="334"/>
      <c r="Q28" s="334"/>
    </row>
    <row r="29" spans="1:17" x14ac:dyDescent="0.35">
      <c r="A29" s="333">
        <f t="shared" si="1"/>
        <v>29</v>
      </c>
      <c r="J29" s="68" t="str">
        <f>+IFERROR(E32/J19,"")</f>
        <v/>
      </c>
      <c r="K29" s="15" t="s">
        <v>186</v>
      </c>
      <c r="P29" s="334"/>
      <c r="Q29" s="334"/>
    </row>
    <row r="30" spans="1:17" x14ac:dyDescent="0.35">
      <c r="A30" s="333">
        <f t="shared" si="1"/>
        <v>30</v>
      </c>
      <c r="D30" s="3" t="s">
        <v>37</v>
      </c>
      <c r="E30" s="353"/>
      <c r="F30" s="1" t="s">
        <v>38</v>
      </c>
      <c r="J30" s="355" t="str">
        <f>+IFERROR(E28/E32,"")</f>
        <v/>
      </c>
      <c r="K30" s="6" t="s">
        <v>39</v>
      </c>
      <c r="P30" s="334"/>
      <c r="Q30" s="334"/>
    </row>
    <row r="31" spans="1:17" x14ac:dyDescent="0.35">
      <c r="A31" s="333">
        <f t="shared" si="1"/>
        <v>31</v>
      </c>
      <c r="D31" s="7" t="s">
        <v>43</v>
      </c>
      <c r="E31" s="28"/>
      <c r="F31" s="16" t="s">
        <v>518</v>
      </c>
      <c r="J31" s="356" t="str">
        <f>+IFERROR(E28/E33,"")</f>
        <v/>
      </c>
      <c r="K31" s="15" t="s">
        <v>42</v>
      </c>
      <c r="P31" s="334"/>
      <c r="Q31" s="334"/>
    </row>
    <row r="32" spans="1:17" x14ac:dyDescent="0.35">
      <c r="A32" s="333">
        <f t="shared" si="1"/>
        <v>32</v>
      </c>
      <c r="D32" s="3" t="s">
        <v>43</v>
      </c>
      <c r="E32" s="28"/>
      <c r="F32" s="1" t="s">
        <v>41</v>
      </c>
      <c r="M32" s="69"/>
      <c r="P32" s="334"/>
      <c r="Q32" s="334"/>
    </row>
    <row r="33" spans="1:17" ht="17.25" customHeight="1" x14ac:dyDescent="0.35">
      <c r="A33" s="333">
        <f t="shared" si="1"/>
        <v>33</v>
      </c>
      <c r="D33" s="14" t="s">
        <v>44</v>
      </c>
      <c r="E33" s="390"/>
      <c r="M33" s="69"/>
      <c r="P33" s="334"/>
      <c r="Q33" s="334"/>
    </row>
    <row r="34" spans="1:17" x14ac:dyDescent="0.35">
      <c r="A34" s="333">
        <f t="shared" si="1"/>
        <v>34</v>
      </c>
      <c r="P34" s="334"/>
      <c r="Q34" s="334"/>
    </row>
    <row r="35" spans="1:17" x14ac:dyDescent="0.35">
      <c r="A35" s="333">
        <f t="shared" si="1"/>
        <v>35</v>
      </c>
      <c r="B35" s="348" t="s">
        <v>45</v>
      </c>
      <c r="C35" s="348"/>
      <c r="D35" s="348"/>
      <c r="E35" s="348"/>
      <c r="F35" s="348"/>
      <c r="G35" s="348"/>
      <c r="H35" s="349"/>
      <c r="I35" s="349"/>
      <c r="J35" s="349"/>
      <c r="K35" s="349"/>
      <c r="L35" s="349"/>
      <c r="M35" s="349"/>
      <c r="N35" s="350"/>
      <c r="O35" s="350"/>
      <c r="P35" s="334"/>
      <c r="Q35" s="334"/>
    </row>
    <row r="36" spans="1:17" outlineLevel="1" x14ac:dyDescent="0.35">
      <c r="A36" s="333">
        <f t="shared" si="1"/>
        <v>36</v>
      </c>
      <c r="B36" s="8"/>
      <c r="C36" s="8"/>
      <c r="D36" s="17"/>
      <c r="E36" s="8"/>
      <c r="P36" s="334"/>
      <c r="Q36" s="334"/>
    </row>
    <row r="37" spans="1:17" outlineLevel="1" x14ac:dyDescent="0.35">
      <c r="A37" s="333">
        <f t="shared" si="1"/>
        <v>37</v>
      </c>
      <c r="G37" s="358">
        <v>2015</v>
      </c>
      <c r="H37" s="358">
        <f>+G37+1</f>
        <v>2016</v>
      </c>
      <c r="I37" s="358">
        <f>+H37+1</f>
        <v>2017</v>
      </c>
      <c r="P37" s="334"/>
      <c r="Q37" s="334"/>
    </row>
    <row r="38" spans="1:17" outlineLevel="1" x14ac:dyDescent="0.35">
      <c r="A38" s="333">
        <f t="shared" si="1"/>
        <v>38</v>
      </c>
      <c r="G38" s="359" t="s">
        <v>46</v>
      </c>
      <c r="H38" s="360" t="s">
        <v>47</v>
      </c>
      <c r="I38" s="361" t="s">
        <v>48</v>
      </c>
      <c r="P38" s="334"/>
      <c r="Q38" s="334"/>
    </row>
    <row r="39" spans="1:17" outlineLevel="1" x14ac:dyDescent="0.35">
      <c r="A39" s="333">
        <f t="shared" si="1"/>
        <v>39</v>
      </c>
      <c r="G39" s="362"/>
      <c r="H39" s="363" t="s">
        <v>46</v>
      </c>
      <c r="I39" s="364" t="s">
        <v>47</v>
      </c>
      <c r="M39" s="18"/>
      <c r="N39" s="79"/>
      <c r="P39" s="334"/>
      <c r="Q39" s="334"/>
    </row>
    <row r="40" spans="1:17" outlineLevel="1" x14ac:dyDescent="0.35">
      <c r="A40" s="333">
        <f t="shared" si="1"/>
        <v>40</v>
      </c>
      <c r="C40" s="19" t="s">
        <v>49</v>
      </c>
      <c r="D40" s="16"/>
      <c r="P40" s="334"/>
      <c r="Q40" s="334"/>
    </row>
    <row r="41" spans="1:17" outlineLevel="1" x14ac:dyDescent="0.35">
      <c r="A41" s="333">
        <f t="shared" si="1"/>
        <v>41</v>
      </c>
      <c r="C41" s="16"/>
      <c r="D41" s="7" t="s">
        <v>632</v>
      </c>
      <c r="E41" s="391"/>
      <c r="F41" s="1" t="s">
        <v>38</v>
      </c>
      <c r="N41" s="1"/>
      <c r="O41" s="1"/>
      <c r="P41" s="334"/>
      <c r="Q41" s="334"/>
    </row>
    <row r="42" spans="1:17" outlineLevel="1" x14ac:dyDescent="0.35">
      <c r="A42" s="333">
        <f t="shared" si="1"/>
        <v>42</v>
      </c>
      <c r="C42" s="16"/>
      <c r="D42" s="7" t="s">
        <v>633</v>
      </c>
      <c r="E42" s="28"/>
      <c r="F42" s="1" t="s">
        <v>34</v>
      </c>
      <c r="N42" s="1"/>
      <c r="O42" s="1"/>
      <c r="P42" s="334"/>
      <c r="Q42" s="334"/>
    </row>
    <row r="43" spans="1:17" outlineLevel="1" x14ac:dyDescent="0.35">
      <c r="A43" s="333">
        <f t="shared" si="1"/>
        <v>43</v>
      </c>
      <c r="C43" s="20"/>
      <c r="D43" s="20"/>
      <c r="E43" s="21"/>
      <c r="F43" s="21"/>
      <c r="G43" s="21"/>
      <c r="H43" s="21"/>
      <c r="I43" s="21"/>
      <c r="J43" s="21"/>
      <c r="K43" s="21"/>
      <c r="L43" s="21"/>
      <c r="M43" s="21"/>
      <c r="N43" s="21"/>
      <c r="O43" s="1"/>
      <c r="P43" s="334"/>
      <c r="Q43" s="334"/>
    </row>
    <row r="44" spans="1:17" outlineLevel="1" x14ac:dyDescent="0.35">
      <c r="A44" s="333">
        <f t="shared" si="1"/>
        <v>44</v>
      </c>
      <c r="C44" s="19" t="s">
        <v>50</v>
      </c>
      <c r="K44" s="22"/>
      <c r="N44" s="1"/>
      <c r="O44" s="1"/>
      <c r="P44" s="334"/>
      <c r="Q44" s="334"/>
    </row>
    <row r="45" spans="1:17" outlineLevel="1" x14ac:dyDescent="0.35">
      <c r="A45" s="333">
        <f t="shared" si="1"/>
        <v>45</v>
      </c>
      <c r="C45" s="19"/>
      <c r="D45" s="3" t="s">
        <v>634</v>
      </c>
      <c r="E45" s="391"/>
      <c r="F45" s="1" t="s">
        <v>38</v>
      </c>
      <c r="N45" s="1"/>
      <c r="O45" s="1"/>
      <c r="P45" s="334"/>
      <c r="Q45" s="334"/>
    </row>
    <row r="46" spans="1:17" outlineLevel="1" x14ac:dyDescent="0.35">
      <c r="A46" s="333">
        <f t="shared" si="1"/>
        <v>46</v>
      </c>
      <c r="D46" s="3" t="s">
        <v>635</v>
      </c>
      <c r="E46" s="28"/>
      <c r="F46" s="1" t="s">
        <v>34</v>
      </c>
      <c r="N46" s="1"/>
      <c r="O46" s="1"/>
      <c r="P46" s="334"/>
      <c r="Q46" s="334"/>
    </row>
    <row r="47" spans="1:17" outlineLevel="1" x14ac:dyDescent="0.35">
      <c r="A47" s="333">
        <f t="shared" si="1"/>
        <v>47</v>
      </c>
      <c r="C47" s="21"/>
      <c r="D47" s="23"/>
      <c r="E47" s="23"/>
      <c r="F47" s="23"/>
      <c r="G47" s="23"/>
      <c r="H47" s="23"/>
      <c r="I47" s="23"/>
      <c r="J47" s="21"/>
      <c r="K47" s="21"/>
      <c r="L47" s="21"/>
      <c r="M47" s="21"/>
      <c r="N47" s="21"/>
      <c r="O47" s="1"/>
      <c r="P47" s="334"/>
      <c r="Q47" s="334"/>
    </row>
    <row r="48" spans="1:17" outlineLevel="1" x14ac:dyDescent="0.35">
      <c r="A48" s="333">
        <f t="shared" si="1"/>
        <v>48</v>
      </c>
      <c r="C48" s="2" t="s">
        <v>636</v>
      </c>
      <c r="D48" s="3"/>
      <c r="E48" s="3"/>
      <c r="F48" s="3"/>
      <c r="G48" s="3"/>
      <c r="H48" s="3"/>
      <c r="I48" s="3"/>
      <c r="J48" s="3"/>
      <c r="K48" s="3"/>
      <c r="N48" s="1"/>
      <c r="O48" s="1"/>
      <c r="P48" s="334"/>
      <c r="Q48" s="334"/>
    </row>
    <row r="49" spans="1:17" outlineLevel="1" x14ac:dyDescent="0.35">
      <c r="A49" s="333">
        <f t="shared" si="1"/>
        <v>49</v>
      </c>
      <c r="C49" s="2"/>
      <c r="D49" s="7" t="s">
        <v>637</v>
      </c>
      <c r="E49" s="392" t="str">
        <f>IF(E41*E42=0,"",IF(E45*E46=0,"",(E41*(E42/(E42+E46)))+(E45*(E46/(E46+E42)))))</f>
        <v/>
      </c>
      <c r="F49" s="6"/>
      <c r="G49" s="3"/>
      <c r="H49" s="3"/>
      <c r="I49" s="3"/>
      <c r="J49" s="3"/>
      <c r="K49" s="3"/>
      <c r="P49" s="334"/>
      <c r="Q49" s="334"/>
    </row>
    <row r="50" spans="1:17" outlineLevel="1" x14ac:dyDescent="0.35">
      <c r="A50" s="333">
        <f t="shared" si="1"/>
        <v>50</v>
      </c>
      <c r="C50" s="2"/>
      <c r="D50" s="7"/>
      <c r="E50" s="7"/>
      <c r="F50" s="3"/>
      <c r="G50" s="3"/>
      <c r="H50" s="3"/>
      <c r="I50" s="3"/>
      <c r="J50" s="21"/>
      <c r="K50" s="21"/>
      <c r="L50" s="21"/>
      <c r="M50" s="21"/>
      <c r="N50" s="21"/>
      <c r="O50" s="3"/>
      <c r="P50" s="334"/>
      <c r="Q50" s="334"/>
    </row>
    <row r="51" spans="1:17" outlineLevel="1" x14ac:dyDescent="0.35">
      <c r="A51" s="333">
        <f t="shared" si="1"/>
        <v>51</v>
      </c>
      <c r="C51" s="24" t="s">
        <v>512</v>
      </c>
      <c r="D51" s="25"/>
      <c r="E51" s="25"/>
      <c r="F51" s="26"/>
      <c r="G51" s="26"/>
      <c r="H51" s="26"/>
      <c r="I51" s="26"/>
      <c r="J51" s="26"/>
      <c r="K51" s="26"/>
      <c r="P51" s="334"/>
      <c r="Q51" s="334"/>
    </row>
    <row r="52" spans="1:17" outlineLevel="1" x14ac:dyDescent="0.35">
      <c r="A52" s="333">
        <f t="shared" si="1"/>
        <v>52</v>
      </c>
      <c r="C52" s="2"/>
      <c r="D52" s="7" t="s">
        <v>639</v>
      </c>
      <c r="E52" s="391"/>
      <c r="F52" s="1" t="s">
        <v>38</v>
      </c>
      <c r="G52" s="3"/>
      <c r="I52" s="3" t="s">
        <v>638</v>
      </c>
      <c r="J52" s="353"/>
      <c r="K52" s="1" t="s">
        <v>38</v>
      </c>
      <c r="P52" s="334"/>
      <c r="Q52" s="334"/>
    </row>
    <row r="53" spans="1:17" outlineLevel="1" x14ac:dyDescent="0.35">
      <c r="A53" s="333">
        <f t="shared" si="1"/>
        <v>53</v>
      </c>
      <c r="C53" s="16"/>
      <c r="D53" s="7" t="s">
        <v>640</v>
      </c>
      <c r="E53" s="391"/>
      <c r="F53" s="1" t="s">
        <v>38</v>
      </c>
      <c r="G53" s="8" t="str">
        <f>+IF(E53="","",IF(E52&gt;E53,"ERROR! No puede ser el destete mayor a la preñez",""))</f>
        <v/>
      </c>
      <c r="I53" s="14" t="s">
        <v>51</v>
      </c>
      <c r="J53" s="365"/>
      <c r="K53" s="1" t="s">
        <v>52</v>
      </c>
      <c r="P53" s="334"/>
      <c r="Q53" s="334"/>
    </row>
    <row r="54" spans="1:17" outlineLevel="1" x14ac:dyDescent="0.35">
      <c r="A54" s="333">
        <f t="shared" si="1"/>
        <v>54</v>
      </c>
      <c r="C54" s="16"/>
      <c r="D54" s="7" t="s">
        <v>643</v>
      </c>
      <c r="E54" s="367"/>
      <c r="H54" s="3"/>
      <c r="I54" s="3" t="s">
        <v>642</v>
      </c>
      <c r="J54" s="353"/>
      <c r="K54" s="1" t="s">
        <v>38</v>
      </c>
      <c r="P54" s="334"/>
      <c r="Q54" s="334"/>
    </row>
    <row r="55" spans="1:17" outlineLevel="1" x14ac:dyDescent="0.35">
      <c r="A55" s="333">
        <f t="shared" si="1"/>
        <v>55</v>
      </c>
      <c r="C55" s="16"/>
      <c r="D55" s="7" t="s">
        <v>641</v>
      </c>
      <c r="E55" s="367"/>
      <c r="F55" s="1" t="s">
        <v>34</v>
      </c>
      <c r="H55" s="3"/>
      <c r="P55" s="334"/>
      <c r="Q55" s="334"/>
    </row>
    <row r="56" spans="1:17" outlineLevel="1" x14ac:dyDescent="0.35">
      <c r="A56" s="333">
        <f t="shared" si="1"/>
        <v>56</v>
      </c>
      <c r="I56" s="2" t="s">
        <v>645</v>
      </c>
      <c r="J56" s="2" t="s">
        <v>646</v>
      </c>
      <c r="P56" s="334"/>
      <c r="Q56" s="334"/>
    </row>
    <row r="57" spans="1:17" outlineLevel="1" x14ac:dyDescent="0.35">
      <c r="A57" s="333">
        <f t="shared" si="1"/>
        <v>57</v>
      </c>
      <c r="D57" s="3" t="s">
        <v>58</v>
      </c>
      <c r="E57" s="28"/>
      <c r="F57" s="1" t="s">
        <v>59</v>
      </c>
      <c r="H57" s="3" t="s">
        <v>647</v>
      </c>
      <c r="I57" s="389"/>
      <c r="J57" s="366"/>
      <c r="P57" s="334"/>
      <c r="Q57" s="334"/>
    </row>
    <row r="58" spans="1:17" outlineLevel="1" x14ac:dyDescent="0.35">
      <c r="A58" s="333">
        <f t="shared" si="1"/>
        <v>58</v>
      </c>
      <c r="D58" s="3" t="s">
        <v>644</v>
      </c>
      <c r="E58" s="28"/>
      <c r="H58" s="3" t="s">
        <v>648</v>
      </c>
      <c r="I58" s="389"/>
      <c r="J58" s="366"/>
      <c r="P58" s="334"/>
      <c r="Q58" s="334"/>
    </row>
    <row r="59" spans="1:17" outlineLevel="1" x14ac:dyDescent="0.35">
      <c r="A59" s="333">
        <f t="shared" si="1"/>
        <v>59</v>
      </c>
      <c r="F59" s="27"/>
      <c r="G59" s="27"/>
      <c r="P59" s="334"/>
      <c r="Q59" s="334"/>
    </row>
    <row r="60" spans="1:17" outlineLevel="1" x14ac:dyDescent="0.35">
      <c r="A60" s="333">
        <f t="shared" si="1"/>
        <v>60</v>
      </c>
      <c r="C60" s="59" t="s">
        <v>192</v>
      </c>
      <c r="D60" s="27"/>
      <c r="E60" s="18" t="s">
        <v>189</v>
      </c>
      <c r="F60" s="18" t="s">
        <v>190</v>
      </c>
      <c r="G60" s="18" t="s">
        <v>191</v>
      </c>
      <c r="H60" s="18" t="s">
        <v>113</v>
      </c>
      <c r="I60" s="18" t="s">
        <v>193</v>
      </c>
      <c r="P60" s="334"/>
      <c r="Q60" s="334"/>
    </row>
    <row r="61" spans="1:17" outlineLevel="1" x14ac:dyDescent="0.35">
      <c r="A61" s="333">
        <f t="shared" si="1"/>
        <v>61</v>
      </c>
      <c r="D61" s="3" t="s">
        <v>188</v>
      </c>
      <c r="E61" s="28"/>
      <c r="F61" s="28"/>
      <c r="G61" s="28"/>
      <c r="H61" s="28"/>
      <c r="I61" s="28"/>
      <c r="P61" s="334"/>
      <c r="Q61" s="334"/>
    </row>
    <row r="62" spans="1:17" x14ac:dyDescent="0.35">
      <c r="A62" s="333">
        <f t="shared" si="1"/>
        <v>62</v>
      </c>
      <c r="P62" s="334"/>
      <c r="Q62" s="334"/>
    </row>
    <row r="63" spans="1:17" x14ac:dyDescent="0.35">
      <c r="A63" s="333">
        <f t="shared" si="1"/>
        <v>63</v>
      </c>
      <c r="B63" s="348" t="s">
        <v>60</v>
      </c>
      <c r="C63" s="348"/>
      <c r="D63" s="348"/>
      <c r="E63" s="348"/>
      <c r="F63" s="348"/>
      <c r="G63" s="348"/>
      <c r="H63" s="349"/>
      <c r="I63" s="349"/>
      <c r="J63" s="349"/>
      <c r="K63" s="349"/>
      <c r="L63" s="349"/>
      <c r="M63" s="349"/>
      <c r="N63" s="350"/>
      <c r="O63" s="350"/>
      <c r="P63" s="334"/>
      <c r="Q63" s="334"/>
    </row>
    <row r="64" spans="1:17" outlineLevel="2" x14ac:dyDescent="0.35">
      <c r="A64" s="333">
        <f t="shared" si="1"/>
        <v>64</v>
      </c>
      <c r="B64" s="8"/>
      <c r="C64" s="354" t="s">
        <v>513</v>
      </c>
      <c r="D64" s="17"/>
      <c r="E64" s="8"/>
      <c r="L64" s="368"/>
      <c r="M64" s="368"/>
      <c r="N64" s="369"/>
      <c r="O64" s="369"/>
      <c r="P64" s="334"/>
      <c r="Q64" s="334"/>
    </row>
    <row r="65" spans="1:17" outlineLevel="2" x14ac:dyDescent="0.35">
      <c r="A65" s="333">
        <f t="shared" si="1"/>
        <v>65</v>
      </c>
      <c r="C65" s="370" t="s">
        <v>574</v>
      </c>
      <c r="N65" s="1"/>
      <c r="P65" s="334"/>
      <c r="Q65" s="334"/>
    </row>
    <row r="66" spans="1:17" outlineLevel="2" x14ac:dyDescent="0.35">
      <c r="A66" s="333">
        <f t="shared" si="1"/>
        <v>66</v>
      </c>
      <c r="N66" s="1"/>
      <c r="O66" s="1"/>
      <c r="P66" s="334"/>
      <c r="Q66" s="334"/>
    </row>
    <row r="67" spans="1:17" outlineLevel="2" x14ac:dyDescent="0.35">
      <c r="A67" s="333">
        <f t="shared" ref="A67:A130" si="2">+A66+1</f>
        <v>67</v>
      </c>
      <c r="C67" s="60"/>
      <c r="D67" s="60" t="s">
        <v>61</v>
      </c>
      <c r="H67" s="29" t="s">
        <v>567</v>
      </c>
      <c r="I67" s="29"/>
      <c r="N67" s="1"/>
      <c r="O67" s="1"/>
      <c r="P67" s="334"/>
      <c r="Q67" s="334"/>
    </row>
    <row r="68" spans="1:17" outlineLevel="2" x14ac:dyDescent="0.35">
      <c r="A68" s="333">
        <f t="shared" si="2"/>
        <v>68</v>
      </c>
      <c r="D68" s="3" t="s">
        <v>40</v>
      </c>
      <c r="E68" s="28"/>
      <c r="F68" s="1" t="s">
        <v>41</v>
      </c>
      <c r="I68" s="3" t="s">
        <v>40</v>
      </c>
      <c r="J68" s="28"/>
      <c r="K68" s="1" t="s">
        <v>41</v>
      </c>
      <c r="O68" s="1"/>
      <c r="P68" s="334"/>
      <c r="Q68" s="334"/>
    </row>
    <row r="69" spans="1:17" outlineLevel="2" x14ac:dyDescent="0.35">
      <c r="A69" s="333">
        <f t="shared" si="2"/>
        <v>69</v>
      </c>
      <c r="D69" s="3"/>
      <c r="I69" s="3"/>
      <c r="P69" s="334"/>
      <c r="Q69" s="334"/>
    </row>
    <row r="70" spans="1:17" outlineLevel="2" x14ac:dyDescent="0.35">
      <c r="A70" s="333">
        <f t="shared" si="2"/>
        <v>70</v>
      </c>
      <c r="D70" s="7" t="s">
        <v>43</v>
      </c>
      <c r="E70" s="28"/>
      <c r="F70" s="16" t="s">
        <v>518</v>
      </c>
      <c r="I70" s="7" t="s">
        <v>43</v>
      </c>
      <c r="J70" s="28"/>
      <c r="K70" s="16" t="s">
        <v>518</v>
      </c>
      <c r="P70" s="334"/>
      <c r="Q70" s="334"/>
    </row>
    <row r="71" spans="1:17" outlineLevel="2" x14ac:dyDescent="0.35">
      <c r="A71" s="333">
        <f t="shared" si="2"/>
        <v>71</v>
      </c>
      <c r="D71" s="3" t="s">
        <v>43</v>
      </c>
      <c r="E71" s="28"/>
      <c r="F71" s="1" t="s">
        <v>41</v>
      </c>
      <c r="I71" s="3" t="s">
        <v>43</v>
      </c>
      <c r="J71" s="28"/>
      <c r="K71" s="1" t="s">
        <v>41</v>
      </c>
      <c r="P71" s="334"/>
      <c r="Q71" s="334"/>
    </row>
    <row r="72" spans="1:17" outlineLevel="2" x14ac:dyDescent="0.35">
      <c r="A72" s="333">
        <f t="shared" si="2"/>
        <v>72</v>
      </c>
      <c r="D72" s="371" t="s">
        <v>194</v>
      </c>
      <c r="E72" s="357"/>
      <c r="F72" s="1" t="s">
        <v>62</v>
      </c>
      <c r="I72" s="371" t="s">
        <v>194</v>
      </c>
      <c r="J72" s="357"/>
      <c r="K72" s="1" t="s">
        <v>62</v>
      </c>
      <c r="P72" s="334"/>
      <c r="Q72" s="334"/>
    </row>
    <row r="73" spans="1:17" outlineLevel="2" x14ac:dyDescent="0.35">
      <c r="A73" s="333">
        <f t="shared" si="2"/>
        <v>73</v>
      </c>
      <c r="D73" s="372" t="s">
        <v>68</v>
      </c>
      <c r="E73" s="373" t="e">
        <f>+E68/E70/365</f>
        <v>#DIV/0!</v>
      </c>
      <c r="F73" s="1" t="s">
        <v>69</v>
      </c>
      <c r="I73" s="372" t="s">
        <v>68</v>
      </c>
      <c r="J73" s="373" t="e">
        <f>+J68/J70/365</f>
        <v>#DIV/0!</v>
      </c>
      <c r="K73" s="1" t="s">
        <v>69</v>
      </c>
      <c r="P73" s="334"/>
      <c r="Q73" s="334"/>
    </row>
    <row r="74" spans="1:17" outlineLevel="2" x14ac:dyDescent="0.35">
      <c r="A74" s="333">
        <f t="shared" si="2"/>
        <v>74</v>
      </c>
      <c r="D74" s="372" t="s">
        <v>39</v>
      </c>
      <c r="E74" s="373" t="e">
        <f>E68/E71</f>
        <v>#DIV/0!</v>
      </c>
      <c r="I74" s="372" t="s">
        <v>39</v>
      </c>
      <c r="J74" s="373" t="e">
        <f>+J68/J71</f>
        <v>#DIV/0!</v>
      </c>
      <c r="P74" s="334"/>
      <c r="Q74" s="334"/>
    </row>
    <row r="75" spans="1:17" outlineLevel="2" x14ac:dyDescent="0.35">
      <c r="A75" s="333">
        <f t="shared" si="2"/>
        <v>75</v>
      </c>
      <c r="D75" s="14" t="s">
        <v>519</v>
      </c>
      <c r="E75" s="374" t="e">
        <f>+E68/E70</f>
        <v>#DIV/0!</v>
      </c>
      <c r="I75" s="14" t="s">
        <v>519</v>
      </c>
      <c r="J75" s="374" t="e">
        <f>+J68/J70</f>
        <v>#DIV/0!</v>
      </c>
      <c r="P75" s="334"/>
      <c r="Q75" s="334"/>
    </row>
    <row r="76" spans="1:17" outlineLevel="2" x14ac:dyDescent="0.35">
      <c r="A76" s="333">
        <f t="shared" si="2"/>
        <v>76</v>
      </c>
      <c r="P76" s="334"/>
      <c r="Q76" s="334"/>
    </row>
    <row r="77" spans="1:17" outlineLevel="2" x14ac:dyDescent="0.35">
      <c r="A77" s="333">
        <f t="shared" si="2"/>
        <v>77</v>
      </c>
      <c r="C77" s="308" t="s">
        <v>573</v>
      </c>
      <c r="H77" s="308" t="s">
        <v>572</v>
      </c>
      <c r="P77" s="334"/>
      <c r="Q77" s="334"/>
    </row>
    <row r="78" spans="1:17" outlineLevel="2" x14ac:dyDescent="0.35">
      <c r="A78" s="333">
        <f t="shared" si="2"/>
        <v>78</v>
      </c>
      <c r="C78" s="309" t="s">
        <v>565</v>
      </c>
      <c r="H78" s="309" t="s">
        <v>565</v>
      </c>
      <c r="P78" s="334"/>
      <c r="Q78" s="334"/>
    </row>
    <row r="79" spans="1:17" outlineLevel="2" x14ac:dyDescent="0.35">
      <c r="A79" s="333">
        <f t="shared" si="2"/>
        <v>79</v>
      </c>
      <c r="D79" s="1" t="s">
        <v>522</v>
      </c>
      <c r="E79" s="375"/>
      <c r="I79" s="1" t="s">
        <v>522</v>
      </c>
      <c r="J79" s="375"/>
      <c r="P79" s="334"/>
      <c r="Q79" s="334"/>
    </row>
    <row r="80" spans="1:17" outlineLevel="2" x14ac:dyDescent="0.35">
      <c r="A80" s="333">
        <f t="shared" si="2"/>
        <v>80</v>
      </c>
      <c r="I80" s="14" t="s">
        <v>566</v>
      </c>
      <c r="J80" s="28"/>
      <c r="P80" s="334"/>
      <c r="Q80" s="334"/>
    </row>
    <row r="81" spans="1:17" outlineLevel="2" x14ac:dyDescent="0.35">
      <c r="A81" s="333">
        <f t="shared" si="2"/>
        <v>81</v>
      </c>
      <c r="D81" s="1" t="s">
        <v>520</v>
      </c>
      <c r="E81" s="28"/>
      <c r="F81" s="1" t="s">
        <v>59</v>
      </c>
      <c r="I81" s="1" t="s">
        <v>520</v>
      </c>
      <c r="J81" s="28"/>
      <c r="K81" s="1" t="s">
        <v>59</v>
      </c>
      <c r="P81" s="334"/>
      <c r="Q81" s="334"/>
    </row>
    <row r="82" spans="1:17" outlineLevel="2" x14ac:dyDescent="0.35">
      <c r="A82" s="333">
        <f t="shared" si="2"/>
        <v>82</v>
      </c>
      <c r="D82" s="1" t="s">
        <v>521</v>
      </c>
      <c r="E82" s="28"/>
      <c r="F82" s="1" t="s">
        <v>59</v>
      </c>
      <c r="I82" s="1" t="s">
        <v>521</v>
      </c>
      <c r="J82" s="28"/>
      <c r="K82" s="1" t="s">
        <v>59</v>
      </c>
      <c r="P82" s="334"/>
      <c r="Q82" s="334"/>
    </row>
    <row r="83" spans="1:17" outlineLevel="2" x14ac:dyDescent="0.35">
      <c r="A83" s="333">
        <f t="shared" si="2"/>
        <v>83</v>
      </c>
      <c r="D83" s="372" t="s">
        <v>523</v>
      </c>
      <c r="E83" s="376"/>
      <c r="I83" s="372" t="s">
        <v>523</v>
      </c>
      <c r="J83" s="376"/>
      <c r="P83" s="334"/>
      <c r="Q83" s="334"/>
    </row>
    <row r="84" spans="1:17" outlineLevel="2" x14ac:dyDescent="0.35">
      <c r="A84" s="333">
        <f t="shared" si="2"/>
        <v>84</v>
      </c>
      <c r="D84" s="372" t="s">
        <v>66</v>
      </c>
      <c r="E84" s="377"/>
      <c r="F84" s="1" t="s">
        <v>67</v>
      </c>
      <c r="I84" s="372" t="s">
        <v>66</v>
      </c>
      <c r="J84" s="377"/>
      <c r="K84" s="1" t="s">
        <v>67</v>
      </c>
      <c r="P84" s="334"/>
      <c r="Q84" s="334"/>
    </row>
    <row r="85" spans="1:17" outlineLevel="2" x14ac:dyDescent="0.35">
      <c r="A85" s="333">
        <f t="shared" si="2"/>
        <v>85</v>
      </c>
      <c r="D85" s="378"/>
      <c r="E85" s="3"/>
      <c r="F85" s="379"/>
      <c r="G85" s="16"/>
      <c r="H85" s="16"/>
      <c r="I85" s="16"/>
      <c r="J85" s="7"/>
      <c r="K85" s="379"/>
      <c r="P85" s="334"/>
      <c r="Q85" s="334"/>
    </row>
    <row r="86" spans="1:17" x14ac:dyDescent="0.35">
      <c r="A86" s="333">
        <f t="shared" si="2"/>
        <v>86</v>
      </c>
      <c r="B86" s="348" t="s">
        <v>70</v>
      </c>
      <c r="C86" s="348"/>
      <c r="D86" s="348"/>
      <c r="E86" s="348"/>
      <c r="F86" s="348"/>
      <c r="G86" s="348"/>
      <c r="H86" s="349"/>
      <c r="I86" s="349"/>
      <c r="J86" s="349"/>
      <c r="K86" s="349"/>
      <c r="L86" s="349"/>
      <c r="M86" s="349"/>
      <c r="N86" s="350"/>
      <c r="O86" s="350"/>
      <c r="P86" s="334"/>
      <c r="Q86" s="334"/>
    </row>
    <row r="87" spans="1:17" outlineLevel="1" x14ac:dyDescent="0.35">
      <c r="A87" s="333">
        <f t="shared" si="2"/>
        <v>87</v>
      </c>
      <c r="B87" s="8"/>
      <c r="C87" s="354" t="s">
        <v>71</v>
      </c>
      <c r="D87" s="17"/>
      <c r="E87" s="8"/>
      <c r="F87" s="380"/>
      <c r="G87" s="380"/>
      <c r="H87" s="368"/>
      <c r="I87" s="368"/>
      <c r="J87" s="368"/>
      <c r="K87" s="368"/>
      <c r="L87" s="368"/>
      <c r="M87" s="368"/>
      <c r="N87" s="369"/>
      <c r="O87" s="369"/>
      <c r="P87" s="334"/>
      <c r="Q87" s="334"/>
    </row>
    <row r="88" spans="1:17" outlineLevel="1" x14ac:dyDescent="0.35">
      <c r="A88" s="333">
        <f t="shared" si="2"/>
        <v>88</v>
      </c>
      <c r="B88" s="380"/>
      <c r="D88" s="380"/>
      <c r="E88" s="380"/>
      <c r="F88" s="380"/>
      <c r="G88" s="380"/>
      <c r="H88" s="368"/>
      <c r="I88" s="368"/>
      <c r="J88" s="368"/>
      <c r="K88" s="368"/>
      <c r="L88" s="368"/>
      <c r="M88" s="368"/>
      <c r="N88" s="369"/>
      <c r="O88" s="369"/>
      <c r="P88" s="334"/>
      <c r="Q88" s="334"/>
    </row>
    <row r="89" spans="1:17" outlineLevel="1" x14ac:dyDescent="0.35">
      <c r="A89" s="333">
        <f t="shared" si="2"/>
        <v>89</v>
      </c>
      <c r="B89" s="380"/>
      <c r="C89" s="354"/>
      <c r="D89" s="380"/>
      <c r="E89" s="380"/>
      <c r="F89" s="380"/>
      <c r="G89" s="381" t="s">
        <v>72</v>
      </c>
      <c r="H89" s="382"/>
      <c r="I89" s="368"/>
      <c r="J89" s="368"/>
      <c r="K89" s="368"/>
      <c r="L89" s="368"/>
      <c r="M89" s="368"/>
      <c r="N89" s="369"/>
      <c r="O89" s="369"/>
      <c r="P89" s="334"/>
    </row>
    <row r="90" spans="1:17" outlineLevel="1" x14ac:dyDescent="0.35">
      <c r="A90" s="333">
        <f t="shared" si="2"/>
        <v>90</v>
      </c>
      <c r="B90" s="380"/>
      <c r="C90" s="354" t="s">
        <v>661</v>
      </c>
      <c r="D90" s="380"/>
      <c r="E90" s="380"/>
      <c r="F90" s="380"/>
      <c r="G90" s="381" t="s">
        <v>73</v>
      </c>
      <c r="H90" s="383"/>
      <c r="I90" s="368"/>
      <c r="J90" s="368"/>
      <c r="K90" s="368"/>
      <c r="L90" s="368"/>
      <c r="M90" s="368"/>
      <c r="N90" s="369"/>
      <c r="O90" s="369"/>
      <c r="P90" s="334"/>
    </row>
    <row r="91" spans="1:17" outlineLevel="1" x14ac:dyDescent="0.35">
      <c r="A91" s="333">
        <f t="shared" si="2"/>
        <v>91</v>
      </c>
      <c r="P91" s="334"/>
    </row>
    <row r="92" spans="1:17" outlineLevel="1" x14ac:dyDescent="0.35">
      <c r="A92" s="333">
        <f t="shared" si="2"/>
        <v>92</v>
      </c>
      <c r="D92" s="29" t="s">
        <v>74</v>
      </c>
      <c r="G92" s="30"/>
      <c r="H92" s="31"/>
      <c r="I92" s="29" t="s">
        <v>75</v>
      </c>
      <c r="P92" s="334"/>
    </row>
    <row r="93" spans="1:17" outlineLevel="1" x14ac:dyDescent="0.35">
      <c r="A93" s="333">
        <f t="shared" si="2"/>
        <v>93</v>
      </c>
      <c r="D93" s="371"/>
      <c r="G93" s="30"/>
      <c r="H93" s="31"/>
      <c r="P93" s="334"/>
    </row>
    <row r="94" spans="1:17" outlineLevel="1" x14ac:dyDescent="0.35">
      <c r="A94" s="333">
        <f t="shared" si="2"/>
        <v>94</v>
      </c>
      <c r="D94" s="372" t="s">
        <v>63</v>
      </c>
      <c r="E94" s="28"/>
      <c r="F94" s="1" t="s">
        <v>64</v>
      </c>
      <c r="G94" s="30"/>
      <c r="I94" s="3" t="s">
        <v>40</v>
      </c>
      <c r="J94" s="28"/>
      <c r="K94" s="1" t="s">
        <v>41</v>
      </c>
      <c r="M94" s="10"/>
      <c r="P94" s="334"/>
    </row>
    <row r="95" spans="1:17" ht="18" customHeight="1" outlineLevel="1" x14ac:dyDescent="0.35">
      <c r="A95" s="333">
        <f t="shared" si="2"/>
        <v>95</v>
      </c>
      <c r="D95" s="3"/>
      <c r="E95" s="3"/>
      <c r="G95" s="30"/>
      <c r="I95" s="3"/>
      <c r="M95" s="10"/>
      <c r="P95" s="334"/>
    </row>
    <row r="96" spans="1:17" outlineLevel="1" x14ac:dyDescent="0.35">
      <c r="A96" s="333">
        <f t="shared" si="2"/>
        <v>96</v>
      </c>
      <c r="D96" s="14" t="s">
        <v>519</v>
      </c>
      <c r="E96" s="28"/>
      <c r="F96" s="1" t="s">
        <v>655</v>
      </c>
      <c r="G96" s="30"/>
      <c r="I96" s="14" t="s">
        <v>519</v>
      </c>
      <c r="J96" s="28"/>
      <c r="K96" s="16" t="s">
        <v>518</v>
      </c>
      <c r="M96" s="10"/>
      <c r="P96" s="334"/>
    </row>
    <row r="97" spans="1:17 16382:16382" outlineLevel="1" x14ac:dyDescent="0.35">
      <c r="A97" s="333">
        <f t="shared" si="2"/>
        <v>97</v>
      </c>
      <c r="D97" s="372" t="s">
        <v>660</v>
      </c>
      <c r="E97" s="397"/>
      <c r="F97" s="1" t="s">
        <v>69</v>
      </c>
      <c r="G97" s="30"/>
      <c r="I97" s="372" t="s">
        <v>660</v>
      </c>
      <c r="J97" s="397"/>
      <c r="K97" s="1" t="s">
        <v>41</v>
      </c>
      <c r="P97" s="334"/>
    </row>
    <row r="98" spans="1:17 16382:16382" outlineLevel="1" x14ac:dyDescent="0.35">
      <c r="A98" s="333">
        <f t="shared" si="2"/>
        <v>98</v>
      </c>
      <c r="D98" s="371" t="s">
        <v>194</v>
      </c>
      <c r="E98" s="357"/>
      <c r="F98" s="1" t="s">
        <v>62</v>
      </c>
      <c r="G98" s="30"/>
      <c r="I98" s="371" t="s">
        <v>194</v>
      </c>
      <c r="J98" s="357"/>
      <c r="K98" s="1" t="s">
        <v>62</v>
      </c>
      <c r="P98" s="334"/>
    </row>
    <row r="99" spans="1:17 16382:16382" outlineLevel="1" x14ac:dyDescent="0.35">
      <c r="A99" s="333">
        <f t="shared" si="2"/>
        <v>99</v>
      </c>
      <c r="D99" s="372" t="s">
        <v>76</v>
      </c>
      <c r="E99" s="357"/>
      <c r="F99" s="1" t="s">
        <v>77</v>
      </c>
      <c r="G99" s="30"/>
      <c r="I99" s="372" t="s">
        <v>76</v>
      </c>
      <c r="J99" s="357"/>
      <c r="K99" s="1" t="s">
        <v>77</v>
      </c>
      <c r="P99" s="334"/>
    </row>
    <row r="100" spans="1:17 16382:16382" outlineLevel="1" x14ac:dyDescent="0.35">
      <c r="A100" s="333">
        <f t="shared" si="2"/>
        <v>100</v>
      </c>
      <c r="D100" s="372"/>
      <c r="E100" s="372"/>
      <c r="F100" s="372"/>
      <c r="G100" s="30"/>
      <c r="P100" s="334"/>
    </row>
    <row r="101" spans="1:17 16382:16382" outlineLevel="1" x14ac:dyDescent="0.35">
      <c r="A101" s="333">
        <f t="shared" si="2"/>
        <v>101</v>
      </c>
      <c r="C101" s="10"/>
      <c r="D101" s="14" t="s">
        <v>551</v>
      </c>
      <c r="E101" s="393" t="e">
        <f>+E99/E94</f>
        <v>#DIV/0!</v>
      </c>
      <c r="F101" s="372"/>
      <c r="G101" s="30"/>
      <c r="I101" s="14" t="s">
        <v>551</v>
      </c>
      <c r="J101" s="393" t="e">
        <f>+J99/J94</f>
        <v>#DIV/0!</v>
      </c>
      <c r="P101" s="334"/>
    </row>
    <row r="102" spans="1:17 16382:16382" outlineLevel="1" x14ac:dyDescent="0.35">
      <c r="A102" s="333">
        <f t="shared" si="2"/>
        <v>102</v>
      </c>
      <c r="D102" s="372"/>
      <c r="G102" s="30"/>
      <c r="P102" s="334"/>
    </row>
    <row r="103" spans="1:17 16382:16382" outlineLevel="1" x14ac:dyDescent="0.35">
      <c r="A103" s="333">
        <f t="shared" si="2"/>
        <v>103</v>
      </c>
      <c r="G103" s="30"/>
      <c r="P103" s="334"/>
    </row>
    <row r="104" spans="1:17 16382:16382" outlineLevel="1" x14ac:dyDescent="0.35">
      <c r="A104" s="333">
        <f t="shared" si="2"/>
        <v>104</v>
      </c>
      <c r="D104" s="308" t="s">
        <v>563</v>
      </c>
      <c r="G104" s="30"/>
      <c r="P104" s="334"/>
    </row>
    <row r="105" spans="1:17 16382:16382" outlineLevel="1" x14ac:dyDescent="0.35">
      <c r="A105" s="333">
        <f t="shared" si="2"/>
        <v>105</v>
      </c>
      <c r="C105" s="309" t="s">
        <v>564</v>
      </c>
      <c r="D105" s="308"/>
      <c r="G105" s="30"/>
      <c r="I105" s="308" t="s">
        <v>568</v>
      </c>
      <c r="P105" s="334"/>
    </row>
    <row r="106" spans="1:17 16382:16382" outlineLevel="2" x14ac:dyDescent="0.35">
      <c r="A106" s="333">
        <f t="shared" si="2"/>
        <v>106</v>
      </c>
      <c r="B106" s="309"/>
      <c r="G106" s="30"/>
      <c r="H106" s="1" t="s">
        <v>564</v>
      </c>
      <c r="P106" s="334"/>
      <c r="Q106" s="334"/>
    </row>
    <row r="107" spans="1:17 16382:16382" outlineLevel="1" x14ac:dyDescent="0.35">
      <c r="A107" s="333">
        <f t="shared" si="2"/>
        <v>107</v>
      </c>
      <c r="D107" s="1" t="s">
        <v>522</v>
      </c>
      <c r="E107" s="375"/>
      <c r="G107" s="30"/>
      <c r="I107" s="1" t="s">
        <v>522</v>
      </c>
      <c r="J107" s="375"/>
      <c r="P107" s="334"/>
      <c r="XFB107" s="1"/>
    </row>
    <row r="108" spans="1:17 16382:16382" outlineLevel="1" x14ac:dyDescent="0.35">
      <c r="A108" s="333">
        <f t="shared" si="2"/>
        <v>108</v>
      </c>
      <c r="G108" s="30"/>
      <c r="I108" s="14" t="s">
        <v>566</v>
      </c>
      <c r="J108" s="28"/>
      <c r="P108" s="334"/>
      <c r="XFB108" s="1"/>
    </row>
    <row r="109" spans="1:17 16382:16382" outlineLevel="1" x14ac:dyDescent="0.35">
      <c r="A109" s="333">
        <f t="shared" si="2"/>
        <v>109</v>
      </c>
      <c r="D109" s="1" t="s">
        <v>520</v>
      </c>
      <c r="E109" s="28"/>
      <c r="F109" s="1" t="s">
        <v>59</v>
      </c>
      <c r="G109" s="30"/>
      <c r="I109" s="1" t="s">
        <v>520</v>
      </c>
      <c r="J109" s="28"/>
      <c r="K109" s="1" t="s">
        <v>59</v>
      </c>
      <c r="P109" s="334"/>
    </row>
    <row r="110" spans="1:17 16382:16382" outlineLevel="1" x14ac:dyDescent="0.35">
      <c r="A110" s="333">
        <f t="shared" si="2"/>
        <v>110</v>
      </c>
      <c r="D110" s="1" t="s">
        <v>521</v>
      </c>
      <c r="E110" s="28"/>
      <c r="F110" s="1" t="s">
        <v>59</v>
      </c>
      <c r="G110" s="30"/>
      <c r="I110" s="1" t="s">
        <v>521</v>
      </c>
      <c r="J110" s="28"/>
      <c r="K110" s="1" t="s">
        <v>59</v>
      </c>
      <c r="P110" s="334"/>
    </row>
    <row r="111" spans="1:17 16382:16382" ht="15" customHeight="1" outlineLevel="1" x14ac:dyDescent="0.35">
      <c r="A111" s="333">
        <f t="shared" si="2"/>
        <v>111</v>
      </c>
      <c r="G111" s="30"/>
      <c r="P111" s="334"/>
    </row>
    <row r="112" spans="1:17 16382:16382" ht="15" customHeight="1" outlineLevel="1" x14ac:dyDescent="0.35">
      <c r="A112" s="333">
        <f t="shared" si="2"/>
        <v>112</v>
      </c>
      <c r="C112" s="10"/>
      <c r="D112" s="384" t="s">
        <v>540</v>
      </c>
      <c r="E112" s="1" t="s">
        <v>67</v>
      </c>
      <c r="G112" s="30"/>
      <c r="I112" s="384" t="s">
        <v>540</v>
      </c>
      <c r="J112" s="1" t="s">
        <v>67</v>
      </c>
      <c r="P112" s="334"/>
    </row>
    <row r="113" spans="1:16" outlineLevel="1" x14ac:dyDescent="0.35">
      <c r="A113" s="333">
        <f t="shared" si="2"/>
        <v>113</v>
      </c>
      <c r="D113" s="372" t="s">
        <v>78</v>
      </c>
      <c r="E113" s="385"/>
      <c r="G113" s="30"/>
      <c r="I113" s="372" t="s">
        <v>78</v>
      </c>
      <c r="J113" s="385"/>
      <c r="P113" s="334"/>
    </row>
    <row r="114" spans="1:16" outlineLevel="1" x14ac:dyDescent="0.35">
      <c r="A114" s="333">
        <f t="shared" si="2"/>
        <v>114</v>
      </c>
      <c r="D114" s="14" t="s">
        <v>79</v>
      </c>
      <c r="E114" s="385"/>
      <c r="G114" s="30"/>
      <c r="I114" s="14" t="s">
        <v>79</v>
      </c>
      <c r="J114" s="385"/>
      <c r="P114" s="334"/>
    </row>
    <row r="115" spans="1:16" outlineLevel="1" x14ac:dyDescent="0.35">
      <c r="A115" s="333">
        <f t="shared" si="2"/>
        <v>115</v>
      </c>
      <c r="D115" s="14" t="s">
        <v>80</v>
      </c>
      <c r="E115" s="385"/>
      <c r="G115" s="30"/>
      <c r="I115" s="14" t="s">
        <v>80</v>
      </c>
      <c r="J115" s="385"/>
      <c r="P115" s="334"/>
    </row>
    <row r="116" spans="1:16" outlineLevel="1" x14ac:dyDescent="0.35">
      <c r="A116" s="333">
        <f t="shared" si="2"/>
        <v>116</v>
      </c>
      <c r="D116" s="14" t="s">
        <v>81</v>
      </c>
      <c r="E116" s="385"/>
      <c r="G116" s="30"/>
      <c r="I116" s="14" t="s">
        <v>81</v>
      </c>
      <c r="J116" s="385"/>
      <c r="P116" s="334"/>
    </row>
    <row r="117" spans="1:16" outlineLevel="1" x14ac:dyDescent="0.35">
      <c r="A117" s="333">
        <f t="shared" si="2"/>
        <v>117</v>
      </c>
      <c r="D117" s="14" t="s">
        <v>82</v>
      </c>
      <c r="E117" s="385"/>
      <c r="G117" s="30"/>
      <c r="I117" s="14" t="s">
        <v>82</v>
      </c>
      <c r="J117" s="385"/>
      <c r="P117" s="334"/>
    </row>
    <row r="118" spans="1:16" outlineLevel="1" x14ac:dyDescent="0.35">
      <c r="A118" s="333">
        <f t="shared" si="2"/>
        <v>118</v>
      </c>
      <c r="D118" s="14" t="s">
        <v>83</v>
      </c>
      <c r="E118" s="385"/>
      <c r="G118" s="30"/>
      <c r="H118" s="31"/>
      <c r="I118" s="14" t="s">
        <v>83</v>
      </c>
      <c r="J118" s="385"/>
      <c r="P118" s="334"/>
    </row>
    <row r="119" spans="1:16" outlineLevel="1" x14ac:dyDescent="0.35">
      <c r="A119" s="333">
        <f t="shared" si="2"/>
        <v>119</v>
      </c>
      <c r="G119" s="33"/>
      <c r="P119" s="334"/>
    </row>
    <row r="120" spans="1:16" outlineLevel="1" x14ac:dyDescent="0.35">
      <c r="A120" s="333">
        <f t="shared" si="2"/>
        <v>120</v>
      </c>
      <c r="C120" s="2"/>
      <c r="D120" s="386" t="s">
        <v>84</v>
      </c>
      <c r="E120" s="387" t="str">
        <f>IFERROR(E94/(E94+E68),"")</f>
        <v/>
      </c>
      <c r="G120" s="33"/>
      <c r="I120" s="386" t="s">
        <v>85</v>
      </c>
      <c r="J120" s="387" t="str">
        <f>IFERROR(J94/(J94+J68),"")</f>
        <v/>
      </c>
      <c r="M120" s="16"/>
      <c r="N120" s="1"/>
      <c r="P120" s="334"/>
    </row>
    <row r="121" spans="1:16" outlineLevel="1" x14ac:dyDescent="0.35">
      <c r="A121" s="333">
        <f t="shared" si="2"/>
        <v>121</v>
      </c>
      <c r="D121" s="386" t="s">
        <v>86</v>
      </c>
      <c r="E121" s="388" t="str">
        <f>IF(E120="","",1-E120)</f>
        <v/>
      </c>
      <c r="G121" s="33"/>
      <c r="I121" s="386" t="s">
        <v>87</v>
      </c>
      <c r="J121" s="388" t="str">
        <f>IF(J120="","",1-J120)</f>
        <v/>
      </c>
      <c r="M121" s="16"/>
      <c r="N121" s="1"/>
      <c r="P121" s="334"/>
    </row>
    <row r="122" spans="1:16" outlineLevel="1" x14ac:dyDescent="0.35">
      <c r="A122" s="333">
        <f t="shared" si="2"/>
        <v>122</v>
      </c>
      <c r="G122" s="33"/>
      <c r="M122" s="16"/>
      <c r="N122" s="1"/>
      <c r="P122" s="334"/>
    </row>
    <row r="123" spans="1:16" outlineLevel="1" x14ac:dyDescent="0.35">
      <c r="A123" s="333">
        <f t="shared" si="2"/>
        <v>123</v>
      </c>
      <c r="E123" s="378"/>
      <c r="F123" s="16"/>
      <c r="G123" s="16"/>
      <c r="J123" s="378"/>
      <c r="K123" s="16"/>
      <c r="L123" s="378"/>
      <c r="M123" s="16"/>
      <c r="N123" s="1"/>
      <c r="P123" s="334"/>
    </row>
    <row r="124" spans="1:16" x14ac:dyDescent="0.35">
      <c r="A124" s="333">
        <f t="shared" si="2"/>
        <v>124</v>
      </c>
      <c r="C124" s="403" t="s">
        <v>552</v>
      </c>
      <c r="D124" s="403"/>
      <c r="E124" s="403"/>
      <c r="F124" s="403"/>
      <c r="G124" s="403"/>
      <c r="H124" s="403"/>
      <c r="I124" s="403"/>
      <c r="J124" s="403"/>
      <c r="K124" s="403"/>
      <c r="L124" s="403"/>
      <c r="M124" s="403"/>
      <c r="N124" s="403"/>
      <c r="P124" s="334"/>
    </row>
    <row r="125" spans="1:16" x14ac:dyDescent="0.35">
      <c r="A125" s="333">
        <f t="shared" si="2"/>
        <v>125</v>
      </c>
      <c r="C125" s="401"/>
      <c r="D125" s="401"/>
      <c r="E125" s="401"/>
      <c r="F125" s="401"/>
      <c r="G125" s="401"/>
      <c r="H125" s="401"/>
      <c r="I125" s="401"/>
      <c r="J125" s="401"/>
      <c r="K125" s="401"/>
      <c r="L125" s="401"/>
      <c r="M125" s="401"/>
      <c r="N125" s="401"/>
      <c r="P125" s="334"/>
    </row>
    <row r="126" spans="1:16" x14ac:dyDescent="0.35">
      <c r="A126" s="333">
        <f t="shared" si="2"/>
        <v>126</v>
      </c>
      <c r="C126" s="402"/>
      <c r="D126" s="402"/>
      <c r="E126" s="402"/>
      <c r="F126" s="402"/>
      <c r="G126" s="402"/>
      <c r="H126" s="402"/>
      <c r="I126" s="402"/>
      <c r="J126" s="402"/>
      <c r="K126" s="402"/>
      <c r="L126" s="402"/>
      <c r="M126" s="402"/>
      <c r="N126" s="402"/>
      <c r="P126" s="334"/>
    </row>
    <row r="127" spans="1:16" x14ac:dyDescent="0.35">
      <c r="A127" s="333">
        <f t="shared" si="2"/>
        <v>127</v>
      </c>
      <c r="C127" s="402"/>
      <c r="D127" s="402"/>
      <c r="E127" s="402"/>
      <c r="F127" s="402"/>
      <c r="G127" s="402"/>
      <c r="H127" s="402"/>
      <c r="I127" s="402"/>
      <c r="J127" s="402"/>
      <c r="K127" s="402"/>
      <c r="L127" s="402"/>
      <c r="M127" s="402"/>
      <c r="N127" s="402"/>
      <c r="P127" s="334"/>
    </row>
    <row r="128" spans="1:16" x14ac:dyDescent="0.35">
      <c r="A128" s="333">
        <f t="shared" si="2"/>
        <v>128</v>
      </c>
      <c r="C128" s="402"/>
      <c r="D128" s="402"/>
      <c r="E128" s="402"/>
      <c r="F128" s="402"/>
      <c r="G128" s="402"/>
      <c r="H128" s="402"/>
      <c r="I128" s="402"/>
      <c r="J128" s="402"/>
      <c r="K128" s="402"/>
      <c r="L128" s="402"/>
      <c r="M128" s="402"/>
      <c r="N128" s="402"/>
      <c r="P128" s="334"/>
    </row>
    <row r="129" spans="1:16" x14ac:dyDescent="0.35">
      <c r="A129" s="333">
        <f t="shared" si="2"/>
        <v>129</v>
      </c>
      <c r="C129" s="402"/>
      <c r="D129" s="402"/>
      <c r="E129" s="402"/>
      <c r="F129" s="402"/>
      <c r="G129" s="402"/>
      <c r="H129" s="402"/>
      <c r="I129" s="402"/>
      <c r="J129" s="402"/>
      <c r="K129" s="402"/>
      <c r="L129" s="402"/>
      <c r="M129" s="402"/>
      <c r="N129" s="402"/>
      <c r="P129" s="334"/>
    </row>
    <row r="130" spans="1:16" x14ac:dyDescent="0.35">
      <c r="A130" s="333">
        <f t="shared" si="2"/>
        <v>130</v>
      </c>
      <c r="C130" s="402"/>
      <c r="D130" s="402"/>
      <c r="E130" s="402"/>
      <c r="F130" s="402"/>
      <c r="G130" s="402"/>
      <c r="H130" s="402"/>
      <c r="I130" s="402"/>
      <c r="J130" s="402"/>
      <c r="K130" s="402"/>
      <c r="L130" s="402"/>
      <c r="M130" s="402"/>
      <c r="N130" s="402"/>
      <c r="P130" s="334"/>
    </row>
    <row r="131" spans="1:16" x14ac:dyDescent="0.35">
      <c r="A131" s="333">
        <f t="shared" ref="A131:O135" si="3">+A130+1</f>
        <v>131</v>
      </c>
      <c r="C131" s="402"/>
      <c r="D131" s="402"/>
      <c r="E131" s="402"/>
      <c r="F131" s="402"/>
      <c r="G131" s="402"/>
      <c r="H131" s="402"/>
      <c r="I131" s="402"/>
      <c r="J131" s="402"/>
      <c r="K131" s="402"/>
      <c r="L131" s="402"/>
      <c r="M131" s="402"/>
      <c r="N131" s="402"/>
      <c r="P131" s="334"/>
    </row>
    <row r="132" spans="1:16" x14ac:dyDescent="0.35">
      <c r="A132" s="333">
        <f t="shared" si="3"/>
        <v>132</v>
      </c>
      <c r="C132" s="402"/>
      <c r="D132" s="402"/>
      <c r="E132" s="402"/>
      <c r="F132" s="402"/>
      <c r="G132" s="402"/>
      <c r="H132" s="402"/>
      <c r="I132" s="402"/>
      <c r="J132" s="402"/>
      <c r="K132" s="402"/>
      <c r="L132" s="402"/>
      <c r="M132" s="402"/>
      <c r="N132" s="402"/>
      <c r="P132" s="334"/>
    </row>
    <row r="133" spans="1:16" x14ac:dyDescent="0.35">
      <c r="A133" s="333">
        <f t="shared" si="3"/>
        <v>133</v>
      </c>
      <c r="P133" s="334"/>
    </row>
    <row r="134" spans="1:16" ht="14.5" x14ac:dyDescent="0.35">
      <c r="A134" s="333">
        <f t="shared" si="3"/>
        <v>134</v>
      </c>
      <c r="B134" s="333">
        <f t="shared" si="3"/>
        <v>1</v>
      </c>
      <c r="C134" s="333">
        <f t="shared" si="3"/>
        <v>1</v>
      </c>
      <c r="D134" s="333">
        <f t="shared" si="3"/>
        <v>1</v>
      </c>
      <c r="E134" s="333">
        <f t="shared" si="3"/>
        <v>1</v>
      </c>
      <c r="F134" s="333">
        <f t="shared" si="3"/>
        <v>1</v>
      </c>
      <c r="G134" s="333">
        <f t="shared" si="3"/>
        <v>1</v>
      </c>
      <c r="H134" s="333">
        <f t="shared" si="3"/>
        <v>1</v>
      </c>
      <c r="I134" s="333">
        <f t="shared" si="3"/>
        <v>1</v>
      </c>
      <c r="J134" s="333">
        <f t="shared" si="3"/>
        <v>1</v>
      </c>
      <c r="K134" s="333">
        <f t="shared" si="3"/>
        <v>1</v>
      </c>
      <c r="L134" s="333">
        <f t="shared" si="3"/>
        <v>1</v>
      </c>
      <c r="M134" s="333">
        <f t="shared" si="3"/>
        <v>1</v>
      </c>
      <c r="N134" s="333">
        <f t="shared" si="3"/>
        <v>1</v>
      </c>
      <c r="O134" s="333">
        <f t="shared" si="3"/>
        <v>1</v>
      </c>
      <c r="P134" s="334"/>
    </row>
    <row r="135" spans="1:16" ht="14.5" x14ac:dyDescent="0.35">
      <c r="A135" s="333">
        <f t="shared" si="3"/>
        <v>135</v>
      </c>
      <c r="B135" s="333">
        <f t="shared" si="3"/>
        <v>2</v>
      </c>
      <c r="C135" s="333">
        <f t="shared" si="3"/>
        <v>2</v>
      </c>
      <c r="D135" s="333">
        <f t="shared" si="3"/>
        <v>2</v>
      </c>
      <c r="E135" s="333">
        <f t="shared" si="3"/>
        <v>2</v>
      </c>
      <c r="F135" s="333">
        <f t="shared" si="3"/>
        <v>2</v>
      </c>
      <c r="G135" s="333">
        <f t="shared" si="3"/>
        <v>2</v>
      </c>
      <c r="H135" s="333">
        <f t="shared" si="3"/>
        <v>2</v>
      </c>
      <c r="I135" s="333">
        <f t="shared" si="3"/>
        <v>2</v>
      </c>
      <c r="J135" s="333">
        <f t="shared" si="3"/>
        <v>2</v>
      </c>
      <c r="K135" s="333">
        <f t="shared" si="3"/>
        <v>2</v>
      </c>
      <c r="L135" s="333">
        <f t="shared" si="3"/>
        <v>2</v>
      </c>
      <c r="M135" s="333">
        <f t="shared" si="3"/>
        <v>2</v>
      </c>
      <c r="N135" s="333">
        <f t="shared" si="3"/>
        <v>2</v>
      </c>
      <c r="O135" s="333">
        <f t="shared" si="3"/>
        <v>2</v>
      </c>
      <c r="P135" s="334"/>
    </row>
  </sheetData>
  <sheetProtection sheet="1" objects="1" scenarios="1" selectLockedCells="1"/>
  <protectedRanges>
    <protectedRange sqref="G37" name="Rango1"/>
  </protectedRanges>
  <dataConsolidate/>
  <mergeCells count="6">
    <mergeCell ref="C125:N132"/>
    <mergeCell ref="I5:J5"/>
    <mergeCell ref="M11:O12"/>
    <mergeCell ref="M13:O14"/>
    <mergeCell ref="M15:O16"/>
    <mergeCell ref="C124:N124"/>
  </mergeCells>
  <conditionalFormatting sqref="J12">
    <cfRule type="expression" dxfId="29" priority="3">
      <formula>$J$11&gt;1</formula>
    </cfRule>
  </conditionalFormatting>
  <conditionalFormatting sqref="J14">
    <cfRule type="expression" dxfId="28" priority="2">
      <formula>$J$13&gt;1</formula>
    </cfRule>
  </conditionalFormatting>
  <conditionalFormatting sqref="J16">
    <cfRule type="expression" dxfId="27" priority="1">
      <formula>$J$15&gt;1</formula>
    </cfRule>
  </conditionalFormatting>
  <dataValidations count="62">
    <dataValidation allowBlank="1" showInputMessage="1" showErrorMessage="1" prompt="Aumento diario de peso vivo promedio" sqref="J97 E97"/>
    <dataValidation allowBlank="1" showErrorMessage="1" prompt="Kilos de materia seca ofrecidos en total" sqref="E96 J96"/>
    <dataValidation allowBlank="1" showInputMessage="1" showErrorMessage="1" prompt="Stock medio en terminación: promedio de los valores de stock mensual en kilos totales para el ejercicio." sqref="J71"/>
    <dataValidation allowBlank="1" showInputMessage="1" showErrorMessage="1" prompt="Stock medio en terminación: promedio de los valores de stock mensual en cabezas para el ejercicio." sqref="J70"/>
    <dataValidation allowBlank="1" showInputMessage="1" showErrorMessage="1" prompt="Stock medio en recría: promedio de los valores de stock mensual en kilos totales para el ejercicio." sqref="E71"/>
    <dataValidation allowBlank="1" showInputMessage="1" showErrorMessage="1" prompt="Promedio de los valores de stock mensual en cabezas para el ejercicio (incluye corrales). Los terneros al pie de la madre se deben contabilizar para el cálculo de carga." sqref="E31"/>
    <dataValidation allowBlank="1" showInputMessage="1" showErrorMessage="1" prompt="Promedio de los valores de stock mensual en kg para el ejercicio (incluye corrales). Los terneros al pie de la madre se deben contabilizar como stock para el cálculo de carga." sqref="E32"/>
    <dataValidation allowBlank="1" showInputMessage="1" showErrorMessage="1" prompt="Kilos de materia seca ofrecidos en los corrales de terminación." sqref="J99"/>
    <dataValidation allowBlank="1" showInputMessage="1" showErrorMessage="1" prompt="Kilos de materia seca ofrecidos en los corrales de recría" sqref="E99"/>
    <dataValidation type="list" allowBlank="1" showInputMessage="1" showErrorMessage="1" prompt="Edad promedio al destete '17. Si hubo diferentes destetes, poner una edad promedio. Si merece aclaraciones, anotarlas en observaciones. " sqref="E58">
      <formula1>Destete</formula1>
    </dataValidation>
    <dataValidation type="list" allowBlank="1" showInputMessage="1" showErrorMessage="1" prompt="% de la dieta en MS suplementada" sqref="E84 J84">
      <formula1>supl</formula1>
    </dataValidation>
    <dataValidation allowBlank="1" showInputMessage="1" showErrorMessage="1" prompt="Tiempo promedio de la terminación. Si hay distintos lotes/rodeos, poner la duración ponderada." sqref="J72 J98"/>
    <dataValidation allowBlank="1" showInputMessage="1" showErrorMessage="1" prompt="Tiempo promedio de la recría. Si hay distintos lotes/rodeos, poner la duración ponderada." sqref="E72 E98"/>
    <dataValidation allowBlank="1" showInputMessage="1" showErrorMessage="1" prompt="Si la empresa tiene más de un establecimiento, llenar una planilla por cada campo." sqref="D6"/>
    <dataValidation allowBlank="1" showInputMessage="1" showErrorMessage="1" prompt="Superficie en en ganadería con aptitud agrícola (clase I a IV) propias y alquiladas." sqref="J20"/>
    <dataValidation type="list" allowBlank="1" showInputMessage="1" showErrorMessage="1" sqref="J80 J108">
      <formula1>sino</formula1>
    </dataValidation>
    <dataValidation type="list" allowBlank="1" showInputMessage="1" showErrorMessage="1" sqref="E115:E118 E113 J115:J118 J113">
      <formula1>Dieta</formula1>
    </dataValidation>
    <dataValidation type="list" allowBlank="1" showInputMessage="1" showErrorMessage="1" sqref="E114 J114">
      <formula1>CC</formula1>
    </dataValidation>
    <dataValidation allowBlank="1" showInputMessage="1" showErrorMessage="1" prompt="Stock medio en recría: promedio de los valores de stock mensual en cabezas para el ejercicio." sqref="E70"/>
    <dataValidation type="list" allowBlank="1" showInputMessage="1" showErrorMessage="1" sqref="E82 E110">
      <formula1>PSR</formula1>
    </dataValidation>
    <dataValidation type="list" allowBlank="1" showInputMessage="1" showErrorMessage="1" sqref="E81 E109">
      <formula1>PER</formula1>
    </dataValidation>
    <dataValidation type="list" allowBlank="1" showInputMessage="1" showErrorMessage="1" sqref="J82 J110">
      <formula1>PST</formula1>
    </dataValidation>
    <dataValidation type="list" allowBlank="1" showInputMessage="1" showErrorMessage="1" sqref="J81 J109">
      <formula1>PET</formula1>
    </dataValidation>
    <dataValidation type="list" allowBlank="1" showInputMessage="1" showErrorMessage="1" sqref="E79 J79 J107 E107">
      <formula1>MH</formula1>
    </dataValidation>
    <dataValidation allowBlank="1" showInputMessage="1" showErrorMessage="1" prompt="Ingrese un valor estimativo promedio de venta de la hectárea donde está realizando la ganadería." sqref="J21"/>
    <dataValidation allowBlank="1" showInputMessage="1" showErrorMessage="1" prompt="Capacidad máxima instantanea" sqref="H89"/>
    <dataValidation type="list" allowBlank="1" showInputMessage="1" showErrorMessage="1" prompt="Servicio '15_x000a_" sqref="I57">
      <formula1>fechaservicio</formula1>
    </dataValidation>
    <dataValidation allowBlank="1" showInputMessage="1" showErrorMessage="1" prompt="Peso medio de destete '17" sqref="E57"/>
    <dataValidation allowBlank="1" showInputMessage="1" showErrorMessage="1" prompt="% de vacas inseminadas en la campaña vacas Inseminadas/Vacas en Servicio)" sqref="J52"/>
    <dataValidation allowBlank="1" showInputMessage="1" showErrorMessage="1" prompt="% de vaquillonas inseminadas en la campaña (Vaquillona Inseminadas/Vaquillonas en Servicio)" sqref="J54"/>
    <dataValidation type="list" allowBlank="1" showInputMessage="1" showErrorMessage="1" sqref="J53">
      <formula1>edadservicio</formula1>
    </dataValidation>
    <dataValidation type="list" allowBlank="1" showInputMessage="1" showErrorMessage="1" prompt="Región donde se encuentra el establecimiento, independientemente del CREA al que pertenezca el establecimiento." sqref="F6">
      <formula1>Crea</formula1>
    </dataValidation>
    <dataValidation type="list" allowBlank="1" showErrorMessage="1" sqref="E61:I61">
      <formula1>cruz</formula1>
    </dataValidation>
    <dataValidation allowBlank="1" showInputMessage="1" showErrorMessage="1" prompt="Vacas preñadas 17´sobre vacas entoradas servicio 16´" sqref="E41"/>
    <dataValidation allowBlank="1" showInputMessage="1" showErrorMessage="1" prompt="Este indicador no debe ser tenido en cuenta en producciones a corral" sqref="J27 J29"/>
    <dataValidation allowBlank="1" showInputMessage="1" showErrorMessage="1" prompt="Incluye vacas y vaquillonas" sqref="E54:E55"/>
    <dataValidation allowBlank="1" showInputMessage="1" showErrorMessage="1" prompt="Ponderar en función de la cantidad de tiempo que se le dedica a la ganadería. Se tiene en cuenta el personal de maquinaria que le presta un servicio a la ganadería." sqref="E33 H90"/>
    <dataValidation allowBlank="1" showInputMessage="1" showErrorMessage="1" prompt="Stock bovino al 1 de julio 2016 (todo lo que está en el establecimiento)" sqref="E26"/>
    <dataValidation allowBlank="1" showInputMessage="1" showErrorMessage="1" prompt="Superficie de monte productivos de la unidad de producción" sqref="E16"/>
    <dataValidation allowBlank="1" showInputMessage="1" showErrorMessage="1" prompt="Superfice sembrada con verdeos de invierno tal cual. En la celda contigua se calculará las has asignadas a dicho recurso según las Normas CREA." sqref="J11"/>
    <dataValidation allowBlank="1" showInputMessage="1" showErrorMessage="1" prompt="Superficie de praderas perennes ya implantadas" sqref="E17"/>
    <dataValidation allowBlank="1" showInputMessage="1" showErrorMessage="1" prompt="Superficie de campo natural de la unidad de producción" sqref="E15"/>
    <dataValidation allowBlank="1" showInputMessage="1" showErrorMessage="1" prompt="Nro de cabezas muertas/cabezas ingresadas" sqref="E30"/>
    <dataValidation allowBlank="1" showInputMessage="1" showErrorMessage="1" prompt="Cantidad de Vaquillonas de 1 en servicio en 2016" sqref="E46"/>
    <dataValidation allowBlank="1" showInputMessage="1" showErrorMessage="1" prompt="Producción de carne (kg totales) = SALIDAS (kg vendidos,  traslados, consumo del eto.) - ENTRADAS (kg por compra o traslados de otras procedencias) + DIF. INVENTARIO (en Kg)" sqref="E28 J68 E68 E94 J94"/>
    <dataValidation allowBlank="1" showInputMessage="1" showErrorMessage="1" prompt="Stock bovino al 30 de junio 2017 (todo lo que está en el establecimiento)" sqref="E27"/>
    <dataValidation allowBlank="1" showInputMessage="1" showErrorMessage="1" prompt="Praderas implantadas en la campaña en análisis." sqref="E18"/>
    <dataValidation type="list" allowBlank="1" showInputMessage="1" showErrorMessage="1" sqref="G6">
      <formula1>MP</formula1>
    </dataValidation>
    <dataValidation allowBlank="1" showInputMessage="1" showErrorMessage="1" prompt="Superficie de suelo de la unidad de producción en agricultura, propias y alquiladas." sqref="E12"/>
    <dataValidation allowBlank="1" showInputMessage="1" showErrorMessage="1" prompt="Superficie del establecimiento en producción." sqref="E11"/>
    <dataValidation allowBlank="1" showInputMessage="1" showErrorMessage="1" prompt="Superfice sembrada (tal cual) con verdeos de verano para consumo fresco o diferido. En la celda contigua se calculará las has asignadas a dicho recurso según las Normas CREA." sqref="J13"/>
    <dataValidation allowBlank="1" showInputMessage="1" showErrorMessage="1" prompt="Superfice de rastrojos pastoreados. En la celda contigua se calculará las has asignadas a dicho recurso según las Normas CREA." sqref="J15"/>
    <dataValidation allowBlank="1" showErrorMessage="1" sqref="J19"/>
    <dataValidation allowBlank="1" showErrorMessage="1" prompt="Superficie de monte productivos del establecimiento" sqref="J16"/>
    <dataValidation allowBlank="1" showInputMessage="1" showErrorMessage="1" prompt="Terneros destetados 17´sobre vientres entorados en servicio´15" sqref="E52"/>
    <dataValidation allowBlank="1" showInputMessage="1" showErrorMessage="1" prompt="Vacas y vaquillonas preñadas sobre vientres entoradas en servicio 15´" sqref="E53"/>
    <dataValidation allowBlank="1" showInputMessage="1" showErrorMessage="1" prompt="Vaquillonas de 1° servicio preñadas 17´/ vaquillonas de 1° s. entoradas en 16´" sqref="E45"/>
    <dataValidation type="list" allowBlank="1" showInputMessage="1" showErrorMessage="1" sqref="J83 E83">
      <formula1>RRFF</formula1>
    </dataValidation>
    <dataValidation allowBlank="1" showInputMessage="1" showErrorMessage="1" prompt="Tiempo desde la primer labor del verdeo hasta cambio de uso del lote (no sólo tiempo que fue pastoreado)." sqref="J12"/>
    <dataValidation allowBlank="1" showInputMessage="1" showErrorMessage="1" prompt="Tiempo desde la primer labor del verdeo/diferido hasta cambio de uso del lote (no sólo tiempo que fue pastoreado)." sqref="J14"/>
    <dataValidation type="list" allowBlank="1" showInputMessage="1" showErrorMessage="1" prompt="Servicio '15" sqref="I58">
      <formula1>fechaservicio</formula1>
    </dataValidation>
    <dataValidation type="list" allowBlank="1" showInputMessage="1" showErrorMessage="1" prompt="Servicio '15" sqref="J57:J58">
      <formula1>duracion</formula1>
    </dataValidation>
  </dataValidations>
  <hyperlinks>
    <hyperlink ref="G95" location="'1 (prop.sup)'!F115" display="Ir a cálculo desbaste"/>
    <hyperlink ref="G95:G96" location="'1'!D118" display="Ir a cálculo desbaste"/>
    <hyperlink ref="L95:L96" location="'1'!D118" display="Ir a cálculo desbaste"/>
    <hyperlink ref="L95" location="'1 (prop.sup)'!F115" display="Ir a cálculo desbaste"/>
  </hyperlinks>
  <pageMargins left="0.25" right="0.25" top="0.75" bottom="0.75" header="0.3" footer="0.3"/>
  <pageSetup paperSize="9" scale="48" fitToHeight="0" orientation="portrait" verticalDpi="599" r:id="rId1"/>
  <rowBreaks count="1" manualBreakCount="1">
    <brk id="60" min="1" max="12"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B135"/>
  <sheetViews>
    <sheetView showGridLines="0" zoomScale="90" zoomScaleNormal="90" workbookViewId="0">
      <pane xSplit="1" ySplit="1" topLeftCell="B3" activePane="bottomRight" state="frozen"/>
      <selection activeCell="B21" sqref="B21"/>
      <selection pane="topRight" activeCell="B21" sqref="B21"/>
      <selection pane="bottomLeft" activeCell="B21" sqref="B21"/>
      <selection pane="bottomRight" activeCell="J21" sqref="J21"/>
    </sheetView>
  </sheetViews>
  <sheetFormatPr baseColWidth="10" defaultColWidth="0" defaultRowHeight="15.5" customHeight="1" zeroHeight="1" outlineLevelRow="2" x14ac:dyDescent="0.35"/>
  <cols>
    <col min="1" max="1" width="5" style="330" customWidth="1"/>
    <col min="2" max="2" width="11.81640625" style="1" customWidth="1"/>
    <col min="3" max="3" width="16" style="1" customWidth="1"/>
    <col min="4" max="4" width="18.54296875" style="1" customWidth="1"/>
    <col min="5" max="6" width="14.54296875" style="1" customWidth="1"/>
    <col min="7" max="7" width="12.1796875" style="1" customWidth="1"/>
    <col min="8" max="8" width="16.26953125" style="1" customWidth="1"/>
    <col min="9" max="10" width="14.54296875" style="1" customWidth="1"/>
    <col min="11" max="12" width="13.453125" style="1" customWidth="1"/>
    <col min="13" max="13" width="14.54296875" style="1" customWidth="1"/>
    <col min="14" max="15" width="11.453125" style="69" customWidth="1"/>
    <col min="16" max="16" width="5.54296875" style="69" customWidth="1"/>
    <col min="17" max="17" width="11.453125" style="69" hidden="1"/>
    <col min="18" max="16382" width="0" style="69" hidden="1"/>
    <col min="16383" max="16384" width="11.453125" style="69" hidden="1"/>
  </cols>
  <sheetData>
    <row r="1" spans="1:17" s="333" customFormat="1" ht="14.5" x14ac:dyDescent="0.35">
      <c r="A1" s="333">
        <v>1</v>
      </c>
      <c r="B1" s="333">
        <f t="shared" ref="B1:P1" si="0">+A1+1</f>
        <v>2</v>
      </c>
      <c r="C1" s="333">
        <f t="shared" si="0"/>
        <v>3</v>
      </c>
      <c r="D1" s="333">
        <f t="shared" si="0"/>
        <v>4</v>
      </c>
      <c r="E1" s="333">
        <f t="shared" si="0"/>
        <v>5</v>
      </c>
      <c r="F1" s="333">
        <f t="shared" si="0"/>
        <v>6</v>
      </c>
      <c r="G1" s="333">
        <f t="shared" si="0"/>
        <v>7</v>
      </c>
      <c r="H1" s="333">
        <f t="shared" si="0"/>
        <v>8</v>
      </c>
      <c r="I1" s="333">
        <f t="shared" si="0"/>
        <v>9</v>
      </c>
      <c r="J1" s="333">
        <f t="shared" si="0"/>
        <v>10</v>
      </c>
      <c r="K1" s="333">
        <f t="shared" si="0"/>
        <v>11</v>
      </c>
      <c r="L1" s="333">
        <f t="shared" si="0"/>
        <v>12</v>
      </c>
      <c r="M1" s="333">
        <f t="shared" si="0"/>
        <v>13</v>
      </c>
      <c r="N1" s="333">
        <f t="shared" si="0"/>
        <v>14</v>
      </c>
      <c r="O1" s="333">
        <f t="shared" si="0"/>
        <v>15</v>
      </c>
      <c r="P1" s="333">
        <f t="shared" si="0"/>
        <v>16</v>
      </c>
    </row>
    <row r="2" spans="1:17" x14ac:dyDescent="0.35">
      <c r="A2" s="333">
        <f>+A1+1</f>
        <v>2</v>
      </c>
      <c r="P2" s="334"/>
      <c r="Q2" s="334"/>
    </row>
    <row r="3" spans="1:17" x14ac:dyDescent="0.35">
      <c r="A3" s="333">
        <f t="shared" ref="A3:A66" si="1">+A2+1</f>
        <v>3</v>
      </c>
      <c r="B3" s="335" t="s">
        <v>0</v>
      </c>
      <c r="C3" s="336"/>
      <c r="D3" s="58"/>
      <c r="E3" s="302"/>
      <c r="F3" s="337" t="s">
        <v>1</v>
      </c>
      <c r="G3" s="58"/>
      <c r="H3" s="303"/>
      <c r="I3" s="337" t="s">
        <v>2</v>
      </c>
      <c r="J3" s="58"/>
      <c r="K3" s="58"/>
      <c r="L3" s="336"/>
      <c r="M3" s="336"/>
      <c r="N3" s="338"/>
      <c r="O3" s="339"/>
      <c r="P3" s="334"/>
      <c r="Q3" s="334"/>
    </row>
    <row r="4" spans="1:17" x14ac:dyDescent="0.35">
      <c r="A4" s="333">
        <f t="shared" si="1"/>
        <v>4</v>
      </c>
      <c r="B4" s="340"/>
      <c r="C4" s="340"/>
      <c r="E4" s="336"/>
      <c r="F4" s="336"/>
      <c r="G4" s="336"/>
      <c r="H4" s="336"/>
      <c r="I4" s="336"/>
      <c r="J4" s="336"/>
      <c r="K4" s="336"/>
      <c r="L4" s="336"/>
      <c r="M4" s="336"/>
      <c r="N4" s="338"/>
      <c r="O4" s="338"/>
      <c r="P4" s="334"/>
      <c r="Q4" s="334"/>
    </row>
    <row r="5" spans="1:17" ht="29" x14ac:dyDescent="0.35">
      <c r="A5" s="333">
        <f t="shared" si="1"/>
        <v>5</v>
      </c>
      <c r="B5" s="341" t="s">
        <v>3</v>
      </c>
      <c r="C5" s="342" t="s">
        <v>4</v>
      </c>
      <c r="D5" s="341" t="s">
        <v>5</v>
      </c>
      <c r="E5" s="342" t="s">
        <v>6</v>
      </c>
      <c r="F5" s="342" t="s">
        <v>7</v>
      </c>
      <c r="G5" s="343" t="s">
        <v>8</v>
      </c>
      <c r="H5" s="344" t="s">
        <v>9</v>
      </c>
      <c r="I5" s="404" t="s">
        <v>10</v>
      </c>
      <c r="J5" s="405"/>
      <c r="N5" s="345"/>
      <c r="P5" s="334"/>
      <c r="Q5" s="334"/>
    </row>
    <row r="6" spans="1:17" x14ac:dyDescent="0.35">
      <c r="A6" s="333">
        <f t="shared" si="1"/>
        <v>6</v>
      </c>
      <c r="B6" s="310" t="s">
        <v>649</v>
      </c>
      <c r="C6" s="346"/>
      <c r="D6" s="346"/>
      <c r="E6" s="347"/>
      <c r="F6" s="346"/>
      <c r="G6" s="347"/>
      <c r="H6" s="347"/>
      <c r="I6" s="347"/>
      <c r="J6" s="347"/>
      <c r="N6" s="338"/>
      <c r="O6" s="338"/>
      <c r="P6" s="334"/>
      <c r="Q6" s="334"/>
    </row>
    <row r="7" spans="1:17" x14ac:dyDescent="0.35">
      <c r="A7" s="333">
        <f t="shared" si="1"/>
        <v>7</v>
      </c>
      <c r="P7" s="334"/>
      <c r="Q7" s="334"/>
    </row>
    <row r="8" spans="1:17" x14ac:dyDescent="0.35">
      <c r="A8" s="333">
        <f t="shared" si="1"/>
        <v>8</v>
      </c>
      <c r="B8" s="348" t="s">
        <v>13</v>
      </c>
      <c r="C8" s="348"/>
      <c r="D8" s="348"/>
      <c r="E8" s="348"/>
      <c r="F8" s="348"/>
      <c r="G8" s="348"/>
      <c r="H8" s="349"/>
      <c r="I8" s="349"/>
      <c r="J8" s="349"/>
      <c r="K8" s="349"/>
      <c r="L8" s="349"/>
      <c r="M8" s="349"/>
      <c r="N8" s="350"/>
      <c r="O8" s="350"/>
      <c r="P8" s="334"/>
      <c r="Q8" s="334"/>
    </row>
    <row r="9" spans="1:17" x14ac:dyDescent="0.35">
      <c r="A9" s="333">
        <f t="shared" si="1"/>
        <v>9</v>
      </c>
      <c r="P9" s="334"/>
      <c r="Q9" s="334"/>
    </row>
    <row r="10" spans="1:17" x14ac:dyDescent="0.35">
      <c r="A10" s="333">
        <f t="shared" si="1"/>
        <v>10</v>
      </c>
      <c r="C10" s="2"/>
      <c r="D10" s="2" t="s">
        <v>14</v>
      </c>
      <c r="G10" s="2"/>
      <c r="I10" s="56" t="s">
        <v>17</v>
      </c>
      <c r="J10" s="69"/>
      <c r="K10" s="69"/>
      <c r="L10" s="2" t="s">
        <v>18</v>
      </c>
      <c r="M10" s="4"/>
      <c r="P10" s="334"/>
      <c r="Q10" s="334"/>
    </row>
    <row r="11" spans="1:17" ht="18" customHeight="1" x14ac:dyDescent="0.35">
      <c r="A11" s="333">
        <f t="shared" si="1"/>
        <v>11</v>
      </c>
      <c r="D11" s="3" t="s">
        <v>15</v>
      </c>
      <c r="E11" s="28"/>
      <c r="F11" s="1" t="s">
        <v>16</v>
      </c>
      <c r="I11" s="3" t="s">
        <v>19</v>
      </c>
      <c r="J11" s="28"/>
      <c r="K11" s="1" t="s">
        <v>16</v>
      </c>
      <c r="L11" s="5" t="str">
        <f>IF(J11*J12/12=0,"",J11*J12/12)</f>
        <v/>
      </c>
      <c r="M11" s="406" t="s">
        <v>656</v>
      </c>
      <c r="N11" s="406"/>
      <c r="O11" s="406"/>
      <c r="P11" s="334"/>
      <c r="Q11" s="334"/>
    </row>
    <row r="12" spans="1:17" x14ac:dyDescent="0.35">
      <c r="A12" s="333">
        <f t="shared" si="1"/>
        <v>12</v>
      </c>
      <c r="D12" s="3" t="s">
        <v>514</v>
      </c>
      <c r="E12" s="28"/>
      <c r="F12" s="1" t="s">
        <v>16</v>
      </c>
      <c r="I12" s="3" t="str">
        <f>+IF(J11&gt;1,"Tiempo ocupado por verdeo de invierno","")</f>
        <v/>
      </c>
      <c r="J12" s="351"/>
      <c r="K12" s="6" t="str">
        <f>+IF($J$11&gt;1,"meses","")</f>
        <v/>
      </c>
      <c r="L12" s="69"/>
      <c r="M12" s="406"/>
      <c r="N12" s="406"/>
      <c r="O12" s="406"/>
      <c r="P12" s="334"/>
      <c r="Q12" s="334"/>
    </row>
    <row r="13" spans="1:17" ht="18" customHeight="1" x14ac:dyDescent="0.35">
      <c r="A13" s="333">
        <f t="shared" si="1"/>
        <v>13</v>
      </c>
      <c r="I13" s="3" t="s">
        <v>22</v>
      </c>
      <c r="J13" s="28"/>
      <c r="K13" s="1" t="s">
        <v>16</v>
      </c>
      <c r="L13" s="5" t="str">
        <f>IF(J13*J14/12=0,"",J13*J14/12)</f>
        <v/>
      </c>
      <c r="M13" s="406" t="s">
        <v>657</v>
      </c>
      <c r="N13" s="406"/>
      <c r="O13" s="406"/>
      <c r="P13" s="334"/>
      <c r="Q13" s="334"/>
    </row>
    <row r="14" spans="1:17" x14ac:dyDescent="0.35">
      <c r="A14" s="333">
        <f t="shared" si="1"/>
        <v>14</v>
      </c>
      <c r="C14" s="2"/>
      <c r="D14" s="2" t="s">
        <v>21</v>
      </c>
      <c r="I14" s="3" t="str">
        <f>+IF(J13&gt;1,"Tiempo ocupado por verdeo de verano y diferido","")</f>
        <v/>
      </c>
      <c r="J14" s="351"/>
      <c r="K14" s="6" t="str">
        <f>+IF($J$13&gt;1,"meses","")</f>
        <v/>
      </c>
      <c r="L14" s="69"/>
      <c r="M14" s="406"/>
      <c r="N14" s="406"/>
      <c r="O14" s="406"/>
      <c r="P14" s="334"/>
      <c r="Q14" s="334"/>
    </row>
    <row r="15" spans="1:17" ht="18" customHeight="1" x14ac:dyDescent="0.35">
      <c r="A15" s="333">
        <f t="shared" si="1"/>
        <v>15</v>
      </c>
      <c r="D15" s="3" t="s">
        <v>24</v>
      </c>
      <c r="E15" s="28"/>
      <c r="F15" s="1" t="s">
        <v>16</v>
      </c>
      <c r="I15" s="3" t="s">
        <v>26</v>
      </c>
      <c r="J15" s="28"/>
      <c r="K15" s="1" t="s">
        <v>16</v>
      </c>
      <c r="L15" s="5" t="str">
        <f>IF(J15*J16/12=0,"",J15*J16/12)</f>
        <v/>
      </c>
      <c r="M15" s="406" t="s">
        <v>658</v>
      </c>
      <c r="N15" s="406"/>
      <c r="O15" s="406"/>
      <c r="P15" s="334"/>
      <c r="Q15" s="334"/>
    </row>
    <row r="16" spans="1:17" x14ac:dyDescent="0.35">
      <c r="A16" s="333">
        <f t="shared" si="1"/>
        <v>16</v>
      </c>
      <c r="B16" s="8"/>
      <c r="D16" s="7" t="s">
        <v>25</v>
      </c>
      <c r="E16" s="28"/>
      <c r="F16" s="1" t="s">
        <v>16</v>
      </c>
      <c r="I16" s="3" t="str">
        <f>+IF(J15&gt;1,"Tiempo de ocupación de rastrojos y otros  ","")</f>
        <v/>
      </c>
      <c r="J16" s="351"/>
      <c r="K16" s="6" t="str">
        <f>+IF($J$15&gt;1,"meses","")</f>
        <v/>
      </c>
      <c r="L16" s="69"/>
      <c r="M16" s="406"/>
      <c r="N16" s="406"/>
      <c r="O16" s="406"/>
      <c r="P16" s="334"/>
      <c r="Q16" s="334"/>
    </row>
    <row r="17" spans="1:17" x14ac:dyDescent="0.35">
      <c r="A17" s="333">
        <f t="shared" si="1"/>
        <v>17</v>
      </c>
      <c r="D17" s="3" t="s">
        <v>28</v>
      </c>
      <c r="E17" s="28"/>
      <c r="F17" s="1" t="s">
        <v>16</v>
      </c>
      <c r="M17" s="396"/>
      <c r="N17" s="352"/>
      <c r="O17" s="352"/>
      <c r="P17" s="334"/>
      <c r="Q17" s="334"/>
    </row>
    <row r="18" spans="1:17" x14ac:dyDescent="0.35">
      <c r="A18" s="333">
        <f t="shared" si="1"/>
        <v>18</v>
      </c>
      <c r="D18" s="3" t="s">
        <v>29</v>
      </c>
      <c r="E18" s="28"/>
      <c r="F18" s="1" t="s">
        <v>16</v>
      </c>
      <c r="G18" s="10"/>
      <c r="H18" s="11"/>
      <c r="I18" s="57" t="s">
        <v>30</v>
      </c>
      <c r="J18" s="10"/>
      <c r="K18" s="10"/>
      <c r="P18" s="334"/>
      <c r="Q18" s="334"/>
    </row>
    <row r="19" spans="1:17" x14ac:dyDescent="0.35">
      <c r="A19" s="333">
        <f t="shared" si="1"/>
        <v>19</v>
      </c>
      <c r="C19" s="1" t="s">
        <v>9</v>
      </c>
      <c r="D19" s="329"/>
      <c r="E19" s="329"/>
      <c r="F19" s="1" t="s">
        <v>16</v>
      </c>
      <c r="G19" s="10"/>
      <c r="H19" s="10"/>
      <c r="I19" s="7" t="s">
        <v>31</v>
      </c>
      <c r="J19" s="12">
        <f>+SUM(E15:E20,L11,L13,L15)</f>
        <v>0</v>
      </c>
      <c r="K19" s="10" t="s">
        <v>16</v>
      </c>
      <c r="P19" s="334"/>
      <c r="Q19" s="334"/>
    </row>
    <row r="20" spans="1:17" x14ac:dyDescent="0.35">
      <c r="A20" s="333">
        <f t="shared" si="1"/>
        <v>20</v>
      </c>
      <c r="C20" s="1" t="s">
        <v>9</v>
      </c>
      <c r="D20" s="329"/>
      <c r="E20" s="329"/>
      <c r="F20" s="1" t="s">
        <v>16</v>
      </c>
      <c r="G20" s="10"/>
      <c r="H20" s="10"/>
      <c r="I20" s="3" t="s">
        <v>575</v>
      </c>
      <c r="J20" s="353"/>
      <c r="K20" s="3"/>
      <c r="L20" s="8"/>
      <c r="P20" s="334"/>
      <c r="Q20" s="334"/>
    </row>
    <row r="21" spans="1:17" x14ac:dyDescent="0.35">
      <c r="A21" s="333">
        <f t="shared" si="1"/>
        <v>21</v>
      </c>
      <c r="H21" s="311"/>
      <c r="I21" s="7" t="s">
        <v>517</v>
      </c>
      <c r="J21" s="28"/>
      <c r="K21" s="331" t="s">
        <v>515</v>
      </c>
      <c r="L21" s="8"/>
      <c r="P21" s="334"/>
      <c r="Q21" s="334"/>
    </row>
    <row r="22" spans="1:17" x14ac:dyDescent="0.35">
      <c r="A22" s="333">
        <f t="shared" si="1"/>
        <v>22</v>
      </c>
      <c r="G22" s="10"/>
      <c r="H22" s="10"/>
      <c r="I22" s="3"/>
      <c r="J22" s="3"/>
      <c r="K22" s="3"/>
      <c r="L22" s="8"/>
      <c r="P22" s="334"/>
      <c r="Q22" s="334"/>
    </row>
    <row r="23" spans="1:17" x14ac:dyDescent="0.35">
      <c r="A23" s="333">
        <f t="shared" si="1"/>
        <v>23</v>
      </c>
      <c r="G23" s="10"/>
      <c r="H23" s="10"/>
      <c r="I23" s="3"/>
      <c r="J23" s="3"/>
      <c r="K23" s="3"/>
      <c r="L23" s="8"/>
      <c r="P23" s="334"/>
      <c r="Q23" s="334"/>
    </row>
    <row r="24" spans="1:17" x14ac:dyDescent="0.35">
      <c r="A24" s="333">
        <f t="shared" si="1"/>
        <v>24</v>
      </c>
      <c r="B24" s="348" t="s">
        <v>32</v>
      </c>
      <c r="C24" s="348"/>
      <c r="D24" s="348"/>
      <c r="E24" s="348"/>
      <c r="F24" s="348"/>
      <c r="G24" s="348"/>
      <c r="H24" s="349"/>
      <c r="I24" s="349"/>
      <c r="J24" s="349"/>
      <c r="K24" s="349"/>
      <c r="L24" s="349"/>
      <c r="M24" s="349"/>
      <c r="N24" s="350"/>
      <c r="O24" s="350"/>
      <c r="P24" s="334"/>
      <c r="Q24" s="334"/>
    </row>
    <row r="25" spans="1:17" x14ac:dyDescent="0.35">
      <c r="A25" s="333">
        <f t="shared" si="1"/>
        <v>25</v>
      </c>
      <c r="O25" s="13"/>
      <c r="P25" s="334"/>
      <c r="Q25" s="334"/>
    </row>
    <row r="26" spans="1:17" x14ac:dyDescent="0.35">
      <c r="A26" s="333">
        <f t="shared" si="1"/>
        <v>26</v>
      </c>
      <c r="D26" s="3" t="s">
        <v>33</v>
      </c>
      <c r="E26" s="28"/>
      <c r="F26" s="1" t="s">
        <v>34</v>
      </c>
      <c r="J26" s="354" t="s">
        <v>35</v>
      </c>
      <c r="K26" s="69"/>
      <c r="P26" s="334"/>
      <c r="Q26" s="334"/>
    </row>
    <row r="27" spans="1:17" x14ac:dyDescent="0.35">
      <c r="A27" s="333">
        <f t="shared" si="1"/>
        <v>27</v>
      </c>
      <c r="D27" s="3" t="s">
        <v>36</v>
      </c>
      <c r="E27" s="28"/>
      <c r="F27" s="1" t="s">
        <v>34</v>
      </c>
      <c r="J27" s="67" t="str">
        <f>+IFERROR(E28/J19,"")</f>
        <v/>
      </c>
      <c r="K27" s="1" t="s">
        <v>187</v>
      </c>
      <c r="P27" s="334"/>
      <c r="Q27" s="334"/>
    </row>
    <row r="28" spans="1:17" x14ac:dyDescent="0.35">
      <c r="A28" s="333">
        <f t="shared" si="1"/>
        <v>28</v>
      </c>
      <c r="D28" s="3" t="s">
        <v>40</v>
      </c>
      <c r="E28" s="28"/>
      <c r="F28" s="1" t="s">
        <v>41</v>
      </c>
      <c r="J28" s="68" t="str">
        <f>+IFERROR(E28/(E31),"")</f>
        <v/>
      </c>
      <c r="K28" s="1" t="s">
        <v>516</v>
      </c>
      <c r="P28" s="334"/>
      <c r="Q28" s="334"/>
    </row>
    <row r="29" spans="1:17" x14ac:dyDescent="0.35">
      <c r="A29" s="333">
        <f t="shared" si="1"/>
        <v>29</v>
      </c>
      <c r="J29" s="68" t="str">
        <f>+IFERROR(E32/J19,"")</f>
        <v/>
      </c>
      <c r="K29" s="15" t="s">
        <v>186</v>
      </c>
      <c r="P29" s="334"/>
      <c r="Q29" s="334"/>
    </row>
    <row r="30" spans="1:17" x14ac:dyDescent="0.35">
      <c r="A30" s="333">
        <f t="shared" si="1"/>
        <v>30</v>
      </c>
      <c r="D30" s="3" t="s">
        <v>37</v>
      </c>
      <c r="E30" s="353"/>
      <c r="F30" s="1" t="s">
        <v>38</v>
      </c>
      <c r="J30" s="355" t="str">
        <f>+IFERROR(E28/E32,"")</f>
        <v/>
      </c>
      <c r="K30" s="6" t="s">
        <v>39</v>
      </c>
      <c r="P30" s="334"/>
      <c r="Q30" s="334"/>
    </row>
    <row r="31" spans="1:17" x14ac:dyDescent="0.35">
      <c r="A31" s="333">
        <f t="shared" si="1"/>
        <v>31</v>
      </c>
      <c r="D31" s="7" t="s">
        <v>43</v>
      </c>
      <c r="E31" s="28"/>
      <c r="F31" s="16" t="s">
        <v>518</v>
      </c>
      <c r="J31" s="356" t="str">
        <f>+IFERROR(E28/E33,"")</f>
        <v/>
      </c>
      <c r="K31" s="15" t="s">
        <v>42</v>
      </c>
      <c r="P31" s="334"/>
      <c r="Q31" s="334"/>
    </row>
    <row r="32" spans="1:17" x14ac:dyDescent="0.35">
      <c r="A32" s="333">
        <f t="shared" si="1"/>
        <v>32</v>
      </c>
      <c r="D32" s="3" t="s">
        <v>43</v>
      </c>
      <c r="E32" s="28"/>
      <c r="F32" s="1" t="s">
        <v>41</v>
      </c>
      <c r="M32" s="69"/>
      <c r="P32" s="334"/>
      <c r="Q32" s="334"/>
    </row>
    <row r="33" spans="1:17" ht="17.25" customHeight="1" x14ac:dyDescent="0.35">
      <c r="A33" s="333">
        <f t="shared" si="1"/>
        <v>33</v>
      </c>
      <c r="D33" s="14" t="s">
        <v>44</v>
      </c>
      <c r="E33" s="390"/>
      <c r="M33" s="69"/>
      <c r="P33" s="334"/>
      <c r="Q33" s="334"/>
    </row>
    <row r="34" spans="1:17" x14ac:dyDescent="0.35">
      <c r="A34" s="333">
        <f t="shared" si="1"/>
        <v>34</v>
      </c>
      <c r="P34" s="334"/>
      <c r="Q34" s="334"/>
    </row>
    <row r="35" spans="1:17" x14ac:dyDescent="0.35">
      <c r="A35" s="333">
        <f t="shared" si="1"/>
        <v>35</v>
      </c>
      <c r="B35" s="348" t="s">
        <v>45</v>
      </c>
      <c r="C35" s="348"/>
      <c r="D35" s="348"/>
      <c r="E35" s="348"/>
      <c r="F35" s="348"/>
      <c r="G35" s="348"/>
      <c r="H35" s="349"/>
      <c r="I35" s="349"/>
      <c r="J35" s="349"/>
      <c r="K35" s="349"/>
      <c r="L35" s="349"/>
      <c r="M35" s="349"/>
      <c r="N35" s="350"/>
      <c r="O35" s="350"/>
      <c r="P35" s="334"/>
      <c r="Q35" s="334"/>
    </row>
    <row r="36" spans="1:17" outlineLevel="1" x14ac:dyDescent="0.35">
      <c r="A36" s="333">
        <f t="shared" si="1"/>
        <v>36</v>
      </c>
      <c r="B36" s="8"/>
      <c r="C36" s="8"/>
      <c r="D36" s="17"/>
      <c r="E36" s="8"/>
      <c r="P36" s="334"/>
      <c r="Q36" s="334"/>
    </row>
    <row r="37" spans="1:17" outlineLevel="1" x14ac:dyDescent="0.35">
      <c r="A37" s="333">
        <f t="shared" si="1"/>
        <v>37</v>
      </c>
      <c r="G37" s="358">
        <v>2015</v>
      </c>
      <c r="H37" s="358">
        <f>+G37+1</f>
        <v>2016</v>
      </c>
      <c r="I37" s="358">
        <f>+H37+1</f>
        <v>2017</v>
      </c>
      <c r="P37" s="334"/>
      <c r="Q37" s="334"/>
    </row>
    <row r="38" spans="1:17" outlineLevel="1" x14ac:dyDescent="0.35">
      <c r="A38" s="333">
        <f t="shared" si="1"/>
        <v>38</v>
      </c>
      <c r="G38" s="359" t="s">
        <v>46</v>
      </c>
      <c r="H38" s="360" t="s">
        <v>47</v>
      </c>
      <c r="I38" s="361" t="s">
        <v>48</v>
      </c>
      <c r="P38" s="334"/>
      <c r="Q38" s="334"/>
    </row>
    <row r="39" spans="1:17" outlineLevel="1" x14ac:dyDescent="0.35">
      <c r="A39" s="333">
        <f t="shared" si="1"/>
        <v>39</v>
      </c>
      <c r="G39" s="362"/>
      <c r="H39" s="363" t="s">
        <v>46</v>
      </c>
      <c r="I39" s="364" t="s">
        <v>47</v>
      </c>
      <c r="M39" s="18"/>
      <c r="N39" s="79"/>
      <c r="P39" s="334"/>
      <c r="Q39" s="334"/>
    </row>
    <row r="40" spans="1:17" outlineLevel="1" x14ac:dyDescent="0.35">
      <c r="A40" s="333">
        <f t="shared" si="1"/>
        <v>40</v>
      </c>
      <c r="C40" s="19" t="s">
        <v>49</v>
      </c>
      <c r="D40" s="16"/>
      <c r="P40" s="334"/>
      <c r="Q40" s="334"/>
    </row>
    <row r="41" spans="1:17" outlineLevel="1" x14ac:dyDescent="0.35">
      <c r="A41" s="333">
        <f t="shared" si="1"/>
        <v>41</v>
      </c>
      <c r="C41" s="16"/>
      <c r="D41" s="7" t="s">
        <v>632</v>
      </c>
      <c r="E41" s="391"/>
      <c r="F41" s="1" t="s">
        <v>38</v>
      </c>
      <c r="N41" s="1"/>
      <c r="O41" s="1"/>
      <c r="P41" s="334"/>
      <c r="Q41" s="334"/>
    </row>
    <row r="42" spans="1:17" outlineLevel="1" x14ac:dyDescent="0.35">
      <c r="A42" s="333">
        <f t="shared" si="1"/>
        <v>42</v>
      </c>
      <c r="C42" s="16"/>
      <c r="D42" s="7" t="s">
        <v>633</v>
      </c>
      <c r="E42" s="28"/>
      <c r="F42" s="1" t="s">
        <v>34</v>
      </c>
      <c r="N42" s="1"/>
      <c r="O42" s="1"/>
      <c r="P42" s="334"/>
      <c r="Q42" s="334"/>
    </row>
    <row r="43" spans="1:17" outlineLevel="1" x14ac:dyDescent="0.35">
      <c r="A43" s="333">
        <f t="shared" si="1"/>
        <v>43</v>
      </c>
      <c r="C43" s="20"/>
      <c r="D43" s="20"/>
      <c r="E43" s="21"/>
      <c r="F43" s="21"/>
      <c r="G43" s="21"/>
      <c r="H43" s="21"/>
      <c r="I43" s="21"/>
      <c r="J43" s="21"/>
      <c r="K43" s="21"/>
      <c r="L43" s="21"/>
      <c r="M43" s="21"/>
      <c r="N43" s="21"/>
      <c r="O43" s="1"/>
      <c r="P43" s="334"/>
      <c r="Q43" s="334"/>
    </row>
    <row r="44" spans="1:17" outlineLevel="1" x14ac:dyDescent="0.35">
      <c r="A44" s="333">
        <f t="shared" si="1"/>
        <v>44</v>
      </c>
      <c r="C44" s="19" t="s">
        <v>50</v>
      </c>
      <c r="K44" s="22"/>
      <c r="N44" s="1"/>
      <c r="O44" s="1"/>
      <c r="P44" s="334"/>
      <c r="Q44" s="334"/>
    </row>
    <row r="45" spans="1:17" outlineLevel="1" x14ac:dyDescent="0.35">
      <c r="A45" s="333">
        <f t="shared" si="1"/>
        <v>45</v>
      </c>
      <c r="C45" s="19"/>
      <c r="D45" s="3" t="s">
        <v>634</v>
      </c>
      <c r="E45" s="391"/>
      <c r="F45" s="1" t="s">
        <v>38</v>
      </c>
      <c r="N45" s="1"/>
      <c r="O45" s="1"/>
      <c r="P45" s="334"/>
      <c r="Q45" s="334"/>
    </row>
    <row r="46" spans="1:17" outlineLevel="1" x14ac:dyDescent="0.35">
      <c r="A46" s="333">
        <f t="shared" si="1"/>
        <v>46</v>
      </c>
      <c r="D46" s="3" t="s">
        <v>635</v>
      </c>
      <c r="E46" s="28"/>
      <c r="F46" s="1" t="s">
        <v>34</v>
      </c>
      <c r="N46" s="1"/>
      <c r="O46" s="1"/>
      <c r="P46" s="334"/>
      <c r="Q46" s="334"/>
    </row>
    <row r="47" spans="1:17" outlineLevel="1" x14ac:dyDescent="0.35">
      <c r="A47" s="333">
        <f t="shared" si="1"/>
        <v>47</v>
      </c>
      <c r="C47" s="21"/>
      <c r="D47" s="23"/>
      <c r="E47" s="23"/>
      <c r="F47" s="23"/>
      <c r="G47" s="23"/>
      <c r="H47" s="23"/>
      <c r="I47" s="23"/>
      <c r="J47" s="21"/>
      <c r="K47" s="21"/>
      <c r="L47" s="21"/>
      <c r="M47" s="21"/>
      <c r="N47" s="21"/>
      <c r="O47" s="1"/>
      <c r="P47" s="334"/>
      <c r="Q47" s="334"/>
    </row>
    <row r="48" spans="1:17" outlineLevel="1" x14ac:dyDescent="0.35">
      <c r="A48" s="333">
        <f t="shared" si="1"/>
        <v>48</v>
      </c>
      <c r="C48" s="2" t="s">
        <v>636</v>
      </c>
      <c r="D48" s="3"/>
      <c r="E48" s="3"/>
      <c r="F48" s="3"/>
      <c r="G48" s="3"/>
      <c r="H48" s="3"/>
      <c r="I48" s="3"/>
      <c r="J48" s="3"/>
      <c r="K48" s="3"/>
      <c r="N48" s="1"/>
      <c r="O48" s="1"/>
      <c r="P48" s="334"/>
      <c r="Q48" s="334"/>
    </row>
    <row r="49" spans="1:17" outlineLevel="1" x14ac:dyDescent="0.35">
      <c r="A49" s="333">
        <f t="shared" si="1"/>
        <v>49</v>
      </c>
      <c r="C49" s="2"/>
      <c r="D49" s="7" t="s">
        <v>637</v>
      </c>
      <c r="E49" s="392" t="str">
        <f>IF(E41*E42=0,"",IF(E45*E46=0,"",(E41*(E42/(E42+E46)))+(E45*(E46/(E46+E42)))))</f>
        <v/>
      </c>
      <c r="F49" s="6"/>
      <c r="G49" s="3"/>
      <c r="H49" s="3"/>
      <c r="I49" s="3"/>
      <c r="J49" s="3"/>
      <c r="K49" s="3"/>
      <c r="P49" s="334"/>
      <c r="Q49" s="334"/>
    </row>
    <row r="50" spans="1:17" outlineLevel="1" x14ac:dyDescent="0.35">
      <c r="A50" s="333">
        <f t="shared" si="1"/>
        <v>50</v>
      </c>
      <c r="C50" s="2"/>
      <c r="D50" s="7"/>
      <c r="E50" s="7"/>
      <c r="F50" s="3"/>
      <c r="G50" s="3"/>
      <c r="H50" s="3"/>
      <c r="I50" s="3"/>
      <c r="J50" s="21"/>
      <c r="K50" s="21"/>
      <c r="L50" s="21"/>
      <c r="M50" s="21"/>
      <c r="N50" s="21"/>
      <c r="O50" s="3"/>
      <c r="P50" s="334"/>
      <c r="Q50" s="334"/>
    </row>
    <row r="51" spans="1:17" outlineLevel="1" x14ac:dyDescent="0.35">
      <c r="A51" s="333">
        <f t="shared" si="1"/>
        <v>51</v>
      </c>
      <c r="C51" s="24" t="s">
        <v>512</v>
      </c>
      <c r="D51" s="25"/>
      <c r="E51" s="25"/>
      <c r="F51" s="26"/>
      <c r="G51" s="26"/>
      <c r="H51" s="26"/>
      <c r="I51" s="26"/>
      <c r="J51" s="26"/>
      <c r="K51" s="26"/>
      <c r="P51" s="334"/>
      <c r="Q51" s="334"/>
    </row>
    <row r="52" spans="1:17" outlineLevel="1" x14ac:dyDescent="0.35">
      <c r="A52" s="333">
        <f t="shared" si="1"/>
        <v>52</v>
      </c>
      <c r="C52" s="2"/>
      <c r="D52" s="7" t="s">
        <v>639</v>
      </c>
      <c r="E52" s="391"/>
      <c r="F52" s="1" t="s">
        <v>38</v>
      </c>
      <c r="G52" s="3"/>
      <c r="I52" s="3" t="s">
        <v>638</v>
      </c>
      <c r="J52" s="353"/>
      <c r="K52" s="1" t="s">
        <v>38</v>
      </c>
      <c r="P52" s="334"/>
      <c r="Q52" s="334"/>
    </row>
    <row r="53" spans="1:17" outlineLevel="1" x14ac:dyDescent="0.35">
      <c r="A53" s="333">
        <f t="shared" si="1"/>
        <v>53</v>
      </c>
      <c r="C53" s="16"/>
      <c r="D53" s="7" t="s">
        <v>640</v>
      </c>
      <c r="E53" s="391"/>
      <c r="F53" s="1" t="s">
        <v>38</v>
      </c>
      <c r="G53" s="8" t="str">
        <f>+IF(E53="","",IF(E52&gt;E53,"ERROR! No puede ser el destete mayor a la preñez",""))</f>
        <v/>
      </c>
      <c r="I53" s="14" t="s">
        <v>51</v>
      </c>
      <c r="J53" s="365"/>
      <c r="K53" s="1" t="s">
        <v>52</v>
      </c>
      <c r="P53" s="334"/>
      <c r="Q53" s="334"/>
    </row>
    <row r="54" spans="1:17" outlineLevel="1" x14ac:dyDescent="0.35">
      <c r="A54" s="333">
        <f t="shared" si="1"/>
        <v>54</v>
      </c>
      <c r="C54" s="16"/>
      <c r="D54" s="7" t="s">
        <v>643</v>
      </c>
      <c r="E54" s="367"/>
      <c r="H54" s="3"/>
      <c r="I54" s="3" t="s">
        <v>642</v>
      </c>
      <c r="J54" s="353"/>
      <c r="K54" s="1" t="s">
        <v>38</v>
      </c>
      <c r="P54" s="334"/>
      <c r="Q54" s="334"/>
    </row>
    <row r="55" spans="1:17" outlineLevel="1" x14ac:dyDescent="0.35">
      <c r="A55" s="333">
        <f t="shared" si="1"/>
        <v>55</v>
      </c>
      <c r="C55" s="16"/>
      <c r="D55" s="7" t="s">
        <v>641</v>
      </c>
      <c r="E55" s="367"/>
      <c r="F55" s="1" t="s">
        <v>34</v>
      </c>
      <c r="H55" s="3"/>
      <c r="P55" s="334"/>
      <c r="Q55" s="334"/>
    </row>
    <row r="56" spans="1:17" outlineLevel="1" x14ac:dyDescent="0.35">
      <c r="A56" s="333">
        <f t="shared" si="1"/>
        <v>56</v>
      </c>
      <c r="I56" s="2" t="s">
        <v>645</v>
      </c>
      <c r="J56" s="2" t="s">
        <v>646</v>
      </c>
      <c r="P56" s="334"/>
      <c r="Q56" s="334"/>
    </row>
    <row r="57" spans="1:17" outlineLevel="1" x14ac:dyDescent="0.35">
      <c r="A57" s="333">
        <f t="shared" si="1"/>
        <v>57</v>
      </c>
      <c r="D57" s="3" t="s">
        <v>58</v>
      </c>
      <c r="E57" s="28"/>
      <c r="F57" s="1" t="s">
        <v>59</v>
      </c>
      <c r="H57" s="3" t="s">
        <v>647</v>
      </c>
      <c r="I57" s="389"/>
      <c r="J57" s="366"/>
      <c r="P57" s="334"/>
      <c r="Q57" s="334"/>
    </row>
    <row r="58" spans="1:17" outlineLevel="1" x14ac:dyDescent="0.35">
      <c r="A58" s="333">
        <f t="shared" si="1"/>
        <v>58</v>
      </c>
      <c r="D58" s="3" t="s">
        <v>644</v>
      </c>
      <c r="E58" s="28"/>
      <c r="H58" s="3" t="s">
        <v>648</v>
      </c>
      <c r="I58" s="389"/>
      <c r="J58" s="366"/>
      <c r="P58" s="334"/>
      <c r="Q58" s="334"/>
    </row>
    <row r="59" spans="1:17" outlineLevel="1" x14ac:dyDescent="0.35">
      <c r="A59" s="333">
        <f t="shared" si="1"/>
        <v>59</v>
      </c>
      <c r="F59" s="27"/>
      <c r="G59" s="27"/>
      <c r="P59" s="334"/>
      <c r="Q59" s="334"/>
    </row>
    <row r="60" spans="1:17" outlineLevel="1" x14ac:dyDescent="0.35">
      <c r="A60" s="333">
        <f t="shared" si="1"/>
        <v>60</v>
      </c>
      <c r="C60" s="59" t="s">
        <v>192</v>
      </c>
      <c r="D60" s="27"/>
      <c r="E60" s="18" t="s">
        <v>189</v>
      </c>
      <c r="F60" s="18" t="s">
        <v>190</v>
      </c>
      <c r="G60" s="18" t="s">
        <v>191</v>
      </c>
      <c r="H60" s="18" t="s">
        <v>113</v>
      </c>
      <c r="I60" s="18" t="s">
        <v>193</v>
      </c>
      <c r="P60" s="334"/>
      <c r="Q60" s="334"/>
    </row>
    <row r="61" spans="1:17" outlineLevel="1" x14ac:dyDescent="0.35">
      <c r="A61" s="333">
        <f t="shared" si="1"/>
        <v>61</v>
      </c>
      <c r="D61" s="3" t="s">
        <v>188</v>
      </c>
      <c r="E61" s="28"/>
      <c r="F61" s="28"/>
      <c r="G61" s="28"/>
      <c r="H61" s="28"/>
      <c r="I61" s="28"/>
      <c r="P61" s="334"/>
      <c r="Q61" s="334"/>
    </row>
    <row r="62" spans="1:17" x14ac:dyDescent="0.35">
      <c r="A62" s="333">
        <f t="shared" si="1"/>
        <v>62</v>
      </c>
      <c r="P62" s="334"/>
      <c r="Q62" s="334"/>
    </row>
    <row r="63" spans="1:17" x14ac:dyDescent="0.35">
      <c r="A63" s="333">
        <f t="shared" si="1"/>
        <v>63</v>
      </c>
      <c r="B63" s="348" t="s">
        <v>60</v>
      </c>
      <c r="C63" s="348"/>
      <c r="D63" s="348"/>
      <c r="E63" s="348"/>
      <c r="F63" s="348"/>
      <c r="G63" s="348"/>
      <c r="H63" s="349"/>
      <c r="I63" s="349"/>
      <c r="J63" s="349"/>
      <c r="K63" s="349"/>
      <c r="L63" s="349"/>
      <c r="M63" s="349"/>
      <c r="N63" s="350"/>
      <c r="O63" s="350"/>
      <c r="P63" s="334"/>
      <c r="Q63" s="334"/>
    </row>
    <row r="64" spans="1:17" outlineLevel="2" x14ac:dyDescent="0.35">
      <c r="A64" s="333">
        <f t="shared" si="1"/>
        <v>64</v>
      </c>
      <c r="B64" s="8"/>
      <c r="C64" s="354" t="s">
        <v>513</v>
      </c>
      <c r="D64" s="17"/>
      <c r="E64" s="8"/>
      <c r="L64" s="368"/>
      <c r="M64" s="368"/>
      <c r="N64" s="369"/>
      <c r="O64" s="369"/>
      <c r="P64" s="334"/>
      <c r="Q64" s="334"/>
    </row>
    <row r="65" spans="1:17" outlineLevel="2" x14ac:dyDescent="0.35">
      <c r="A65" s="333">
        <f t="shared" si="1"/>
        <v>65</v>
      </c>
      <c r="C65" s="370" t="s">
        <v>574</v>
      </c>
      <c r="N65" s="1"/>
      <c r="P65" s="334"/>
      <c r="Q65" s="334"/>
    </row>
    <row r="66" spans="1:17" outlineLevel="2" x14ac:dyDescent="0.35">
      <c r="A66" s="333">
        <f t="shared" si="1"/>
        <v>66</v>
      </c>
      <c r="N66" s="1"/>
      <c r="O66" s="1"/>
      <c r="P66" s="334"/>
      <c r="Q66" s="334"/>
    </row>
    <row r="67" spans="1:17" outlineLevel="2" x14ac:dyDescent="0.35">
      <c r="A67" s="333">
        <f t="shared" ref="A67:A130" si="2">+A66+1</f>
        <v>67</v>
      </c>
      <c r="C67" s="60"/>
      <c r="D67" s="60" t="s">
        <v>61</v>
      </c>
      <c r="H67" s="29" t="s">
        <v>567</v>
      </c>
      <c r="I67" s="29"/>
      <c r="N67" s="1"/>
      <c r="O67" s="1"/>
      <c r="P67" s="334"/>
      <c r="Q67" s="334"/>
    </row>
    <row r="68" spans="1:17" outlineLevel="2" x14ac:dyDescent="0.35">
      <c r="A68" s="333">
        <f t="shared" si="2"/>
        <v>68</v>
      </c>
      <c r="D68" s="3" t="s">
        <v>40</v>
      </c>
      <c r="E68" s="28"/>
      <c r="F68" s="1" t="s">
        <v>41</v>
      </c>
      <c r="I68" s="3" t="s">
        <v>40</v>
      </c>
      <c r="J68" s="28"/>
      <c r="K68" s="1" t="s">
        <v>41</v>
      </c>
      <c r="O68" s="1"/>
      <c r="P68" s="334"/>
      <c r="Q68" s="334"/>
    </row>
    <row r="69" spans="1:17" outlineLevel="2" x14ac:dyDescent="0.35">
      <c r="A69" s="333">
        <f t="shared" si="2"/>
        <v>69</v>
      </c>
      <c r="D69" s="3"/>
      <c r="I69" s="3"/>
      <c r="P69" s="334"/>
      <c r="Q69" s="334"/>
    </row>
    <row r="70" spans="1:17" outlineLevel="2" x14ac:dyDescent="0.35">
      <c r="A70" s="333">
        <f t="shared" si="2"/>
        <v>70</v>
      </c>
      <c r="D70" s="7" t="s">
        <v>43</v>
      </c>
      <c r="E70" s="28"/>
      <c r="F70" s="16" t="s">
        <v>518</v>
      </c>
      <c r="I70" s="7" t="s">
        <v>43</v>
      </c>
      <c r="J70" s="28"/>
      <c r="K70" s="16" t="s">
        <v>518</v>
      </c>
      <c r="P70" s="334"/>
      <c r="Q70" s="334"/>
    </row>
    <row r="71" spans="1:17" outlineLevel="2" x14ac:dyDescent="0.35">
      <c r="A71" s="333">
        <f t="shared" si="2"/>
        <v>71</v>
      </c>
      <c r="D71" s="3" t="s">
        <v>43</v>
      </c>
      <c r="E71" s="28"/>
      <c r="F71" s="1" t="s">
        <v>41</v>
      </c>
      <c r="I71" s="3" t="s">
        <v>43</v>
      </c>
      <c r="J71" s="28"/>
      <c r="K71" s="1" t="s">
        <v>41</v>
      </c>
      <c r="P71" s="334"/>
      <c r="Q71" s="334"/>
    </row>
    <row r="72" spans="1:17" outlineLevel="2" x14ac:dyDescent="0.35">
      <c r="A72" s="333">
        <f t="shared" si="2"/>
        <v>72</v>
      </c>
      <c r="D72" s="371" t="s">
        <v>194</v>
      </c>
      <c r="E72" s="357"/>
      <c r="F72" s="1" t="s">
        <v>62</v>
      </c>
      <c r="I72" s="371" t="s">
        <v>194</v>
      </c>
      <c r="J72" s="357"/>
      <c r="K72" s="1" t="s">
        <v>62</v>
      </c>
      <c r="P72" s="334"/>
      <c r="Q72" s="334"/>
    </row>
    <row r="73" spans="1:17" outlineLevel="2" x14ac:dyDescent="0.35">
      <c r="A73" s="333">
        <f t="shared" si="2"/>
        <v>73</v>
      </c>
      <c r="D73" s="372" t="s">
        <v>68</v>
      </c>
      <c r="E73" s="373" t="e">
        <f>+E68/E70/365</f>
        <v>#DIV/0!</v>
      </c>
      <c r="F73" s="1" t="s">
        <v>69</v>
      </c>
      <c r="I73" s="372" t="s">
        <v>68</v>
      </c>
      <c r="J73" s="373" t="e">
        <f>+J68/J70/365</f>
        <v>#DIV/0!</v>
      </c>
      <c r="K73" s="1" t="s">
        <v>69</v>
      </c>
      <c r="P73" s="334"/>
      <c r="Q73" s="334"/>
    </row>
    <row r="74" spans="1:17" outlineLevel="2" x14ac:dyDescent="0.35">
      <c r="A74" s="333">
        <f t="shared" si="2"/>
        <v>74</v>
      </c>
      <c r="D74" s="372" t="s">
        <v>39</v>
      </c>
      <c r="E74" s="373" t="e">
        <f>E68/E71</f>
        <v>#DIV/0!</v>
      </c>
      <c r="I74" s="372" t="s">
        <v>39</v>
      </c>
      <c r="J74" s="373" t="e">
        <f>+J68/J71</f>
        <v>#DIV/0!</v>
      </c>
      <c r="P74" s="334"/>
      <c r="Q74" s="334"/>
    </row>
    <row r="75" spans="1:17" outlineLevel="2" x14ac:dyDescent="0.35">
      <c r="A75" s="333">
        <f t="shared" si="2"/>
        <v>75</v>
      </c>
      <c r="D75" s="14" t="s">
        <v>519</v>
      </c>
      <c r="E75" s="374" t="e">
        <f>+E68/E70</f>
        <v>#DIV/0!</v>
      </c>
      <c r="I75" s="14" t="s">
        <v>519</v>
      </c>
      <c r="J75" s="374" t="e">
        <f>+J68/J70</f>
        <v>#DIV/0!</v>
      </c>
      <c r="P75" s="334"/>
      <c r="Q75" s="334"/>
    </row>
    <row r="76" spans="1:17" outlineLevel="2" x14ac:dyDescent="0.35">
      <c r="A76" s="333">
        <f t="shared" si="2"/>
        <v>76</v>
      </c>
      <c r="P76" s="334"/>
      <c r="Q76" s="334"/>
    </row>
    <row r="77" spans="1:17" outlineLevel="2" x14ac:dyDescent="0.35">
      <c r="A77" s="333">
        <f t="shared" si="2"/>
        <v>77</v>
      </c>
      <c r="C77" s="308" t="s">
        <v>573</v>
      </c>
      <c r="H77" s="308" t="s">
        <v>572</v>
      </c>
      <c r="P77" s="334"/>
      <c r="Q77" s="334"/>
    </row>
    <row r="78" spans="1:17" outlineLevel="2" x14ac:dyDescent="0.35">
      <c r="A78" s="333">
        <f t="shared" si="2"/>
        <v>78</v>
      </c>
      <c r="C78" s="309" t="s">
        <v>565</v>
      </c>
      <c r="H78" s="309" t="s">
        <v>565</v>
      </c>
      <c r="P78" s="334"/>
      <c r="Q78" s="334"/>
    </row>
    <row r="79" spans="1:17" outlineLevel="2" x14ac:dyDescent="0.35">
      <c r="A79" s="333">
        <f t="shared" si="2"/>
        <v>79</v>
      </c>
      <c r="D79" s="1" t="s">
        <v>522</v>
      </c>
      <c r="E79" s="375"/>
      <c r="I79" s="1" t="s">
        <v>522</v>
      </c>
      <c r="J79" s="375"/>
      <c r="P79" s="334"/>
      <c r="Q79" s="334"/>
    </row>
    <row r="80" spans="1:17" outlineLevel="2" x14ac:dyDescent="0.35">
      <c r="A80" s="333">
        <f t="shared" si="2"/>
        <v>80</v>
      </c>
      <c r="I80" s="14" t="s">
        <v>566</v>
      </c>
      <c r="J80" s="28"/>
      <c r="P80" s="334"/>
      <c r="Q80" s="334"/>
    </row>
    <row r="81" spans="1:17" outlineLevel="2" x14ac:dyDescent="0.35">
      <c r="A81" s="333">
        <f t="shared" si="2"/>
        <v>81</v>
      </c>
      <c r="D81" s="1" t="s">
        <v>520</v>
      </c>
      <c r="E81" s="28"/>
      <c r="F81" s="1" t="s">
        <v>59</v>
      </c>
      <c r="I81" s="1" t="s">
        <v>520</v>
      </c>
      <c r="J81" s="28"/>
      <c r="K81" s="1" t="s">
        <v>59</v>
      </c>
      <c r="P81" s="334"/>
      <c r="Q81" s="334"/>
    </row>
    <row r="82" spans="1:17" outlineLevel="2" x14ac:dyDescent="0.35">
      <c r="A82" s="333">
        <f t="shared" si="2"/>
        <v>82</v>
      </c>
      <c r="D82" s="1" t="s">
        <v>521</v>
      </c>
      <c r="E82" s="28"/>
      <c r="F82" s="1" t="s">
        <v>59</v>
      </c>
      <c r="I82" s="1" t="s">
        <v>521</v>
      </c>
      <c r="J82" s="28"/>
      <c r="K82" s="1" t="s">
        <v>59</v>
      </c>
      <c r="P82" s="334"/>
      <c r="Q82" s="334"/>
    </row>
    <row r="83" spans="1:17" outlineLevel="2" x14ac:dyDescent="0.35">
      <c r="A83" s="333">
        <f t="shared" si="2"/>
        <v>83</v>
      </c>
      <c r="D83" s="372" t="s">
        <v>523</v>
      </c>
      <c r="E83" s="376"/>
      <c r="I83" s="372" t="s">
        <v>523</v>
      </c>
      <c r="J83" s="376"/>
      <c r="P83" s="334"/>
      <c r="Q83" s="334"/>
    </row>
    <row r="84" spans="1:17" outlineLevel="2" x14ac:dyDescent="0.35">
      <c r="A84" s="333">
        <f t="shared" si="2"/>
        <v>84</v>
      </c>
      <c r="D84" s="372" t="s">
        <v>66</v>
      </c>
      <c r="E84" s="377"/>
      <c r="F84" s="1" t="s">
        <v>67</v>
      </c>
      <c r="I84" s="372" t="s">
        <v>66</v>
      </c>
      <c r="J84" s="377"/>
      <c r="K84" s="1" t="s">
        <v>67</v>
      </c>
      <c r="P84" s="334"/>
      <c r="Q84" s="334"/>
    </row>
    <row r="85" spans="1:17" outlineLevel="2" x14ac:dyDescent="0.35">
      <c r="A85" s="333">
        <f t="shared" si="2"/>
        <v>85</v>
      </c>
      <c r="D85" s="378"/>
      <c r="E85" s="3"/>
      <c r="F85" s="379"/>
      <c r="G85" s="16"/>
      <c r="H85" s="16"/>
      <c r="I85" s="16"/>
      <c r="J85" s="7"/>
      <c r="K85" s="379"/>
      <c r="P85" s="334"/>
      <c r="Q85" s="334"/>
    </row>
    <row r="86" spans="1:17" x14ac:dyDescent="0.35">
      <c r="A86" s="333">
        <f t="shared" si="2"/>
        <v>86</v>
      </c>
      <c r="B86" s="348" t="s">
        <v>70</v>
      </c>
      <c r="C86" s="348"/>
      <c r="D86" s="348"/>
      <c r="E86" s="348"/>
      <c r="F86" s="348"/>
      <c r="G86" s="348"/>
      <c r="H86" s="349"/>
      <c r="I86" s="349"/>
      <c r="J86" s="349"/>
      <c r="K86" s="349"/>
      <c r="L86" s="349"/>
      <c r="M86" s="349"/>
      <c r="N86" s="350"/>
      <c r="O86" s="350"/>
      <c r="P86" s="334"/>
      <c r="Q86" s="334"/>
    </row>
    <row r="87" spans="1:17" outlineLevel="1" x14ac:dyDescent="0.35">
      <c r="A87" s="333">
        <f t="shared" si="2"/>
        <v>87</v>
      </c>
      <c r="B87" s="8"/>
      <c r="C87" s="354" t="s">
        <v>71</v>
      </c>
      <c r="D87" s="17"/>
      <c r="E87" s="8"/>
      <c r="F87" s="380"/>
      <c r="G87" s="380"/>
      <c r="H87" s="368"/>
      <c r="I87" s="368"/>
      <c r="J87" s="368"/>
      <c r="K87" s="368"/>
      <c r="L87" s="368"/>
      <c r="M87" s="368"/>
      <c r="N87" s="369"/>
      <c r="O87" s="369"/>
      <c r="P87" s="334"/>
      <c r="Q87" s="334"/>
    </row>
    <row r="88" spans="1:17" outlineLevel="1" x14ac:dyDescent="0.35">
      <c r="A88" s="333">
        <f t="shared" si="2"/>
        <v>88</v>
      </c>
      <c r="B88" s="380"/>
      <c r="D88" s="380"/>
      <c r="E88" s="380"/>
      <c r="F88" s="380"/>
      <c r="G88" s="380"/>
      <c r="H88" s="368"/>
      <c r="I88" s="368"/>
      <c r="J88" s="368"/>
      <c r="K88" s="368"/>
      <c r="L88" s="368"/>
      <c r="M88" s="368"/>
      <c r="N88" s="369"/>
      <c r="O88" s="369"/>
      <c r="P88" s="334"/>
      <c r="Q88" s="334"/>
    </row>
    <row r="89" spans="1:17" outlineLevel="1" x14ac:dyDescent="0.35">
      <c r="A89" s="333">
        <f t="shared" si="2"/>
        <v>89</v>
      </c>
      <c r="B89" s="380"/>
      <c r="C89" s="354"/>
      <c r="D89" s="380"/>
      <c r="E89" s="380"/>
      <c r="F89" s="380"/>
      <c r="G89" s="381" t="s">
        <v>72</v>
      </c>
      <c r="H89" s="382"/>
      <c r="I89" s="368"/>
      <c r="J89" s="368"/>
      <c r="K89" s="368"/>
      <c r="L89" s="368"/>
      <c r="M89" s="368"/>
      <c r="N89" s="369"/>
      <c r="O89" s="369"/>
      <c r="P89" s="334"/>
    </row>
    <row r="90" spans="1:17" outlineLevel="1" x14ac:dyDescent="0.35">
      <c r="A90" s="333">
        <f t="shared" si="2"/>
        <v>90</v>
      </c>
      <c r="B90" s="380"/>
      <c r="C90" s="354" t="s">
        <v>661</v>
      </c>
      <c r="D90" s="380"/>
      <c r="E90" s="380"/>
      <c r="F90" s="380"/>
      <c r="G90" s="381" t="s">
        <v>73</v>
      </c>
      <c r="H90" s="383"/>
      <c r="I90" s="368"/>
      <c r="J90" s="368"/>
      <c r="K90" s="368"/>
      <c r="L90" s="368"/>
      <c r="M90" s="368"/>
      <c r="N90" s="369"/>
      <c r="O90" s="369"/>
      <c r="P90" s="334"/>
    </row>
    <row r="91" spans="1:17" outlineLevel="1" x14ac:dyDescent="0.35">
      <c r="A91" s="333">
        <f t="shared" si="2"/>
        <v>91</v>
      </c>
      <c r="P91" s="334"/>
    </row>
    <row r="92" spans="1:17" outlineLevel="1" x14ac:dyDescent="0.35">
      <c r="A92" s="333">
        <f t="shared" si="2"/>
        <v>92</v>
      </c>
      <c r="D92" s="29" t="s">
        <v>74</v>
      </c>
      <c r="G92" s="30"/>
      <c r="H92" s="31"/>
      <c r="I92" s="29" t="s">
        <v>75</v>
      </c>
      <c r="P92" s="334"/>
    </row>
    <row r="93" spans="1:17" outlineLevel="1" x14ac:dyDescent="0.35">
      <c r="A93" s="333">
        <f t="shared" si="2"/>
        <v>93</v>
      </c>
      <c r="D93" s="371"/>
      <c r="G93" s="30"/>
      <c r="H93" s="31"/>
      <c r="P93" s="334"/>
    </row>
    <row r="94" spans="1:17" outlineLevel="1" x14ac:dyDescent="0.35">
      <c r="A94" s="333">
        <f t="shared" si="2"/>
        <v>94</v>
      </c>
      <c r="D94" s="372" t="s">
        <v>63</v>
      </c>
      <c r="E94" s="28"/>
      <c r="F94" s="1" t="s">
        <v>64</v>
      </c>
      <c r="G94" s="30"/>
      <c r="I94" s="3" t="s">
        <v>40</v>
      </c>
      <c r="J94" s="28"/>
      <c r="K94" s="1" t="s">
        <v>41</v>
      </c>
      <c r="M94" s="10"/>
      <c r="P94" s="334"/>
    </row>
    <row r="95" spans="1:17" ht="18" customHeight="1" outlineLevel="1" x14ac:dyDescent="0.35">
      <c r="A95" s="333">
        <f t="shared" si="2"/>
        <v>95</v>
      </c>
      <c r="D95" s="3"/>
      <c r="E95" s="3"/>
      <c r="G95" s="30"/>
      <c r="I95" s="3"/>
      <c r="M95" s="10"/>
      <c r="P95" s="334"/>
    </row>
    <row r="96" spans="1:17" outlineLevel="1" x14ac:dyDescent="0.35">
      <c r="A96" s="333">
        <f t="shared" si="2"/>
        <v>96</v>
      </c>
      <c r="D96" s="14" t="s">
        <v>519</v>
      </c>
      <c r="E96" s="28"/>
      <c r="F96" s="1" t="s">
        <v>655</v>
      </c>
      <c r="G96" s="30"/>
      <c r="I96" s="14" t="s">
        <v>519</v>
      </c>
      <c r="J96" s="28"/>
      <c r="K96" s="16" t="s">
        <v>518</v>
      </c>
      <c r="M96" s="10"/>
      <c r="P96" s="334"/>
    </row>
    <row r="97" spans="1:17 16382:16382" outlineLevel="1" x14ac:dyDescent="0.35">
      <c r="A97" s="333">
        <f t="shared" si="2"/>
        <v>97</v>
      </c>
      <c r="D97" s="372" t="s">
        <v>660</v>
      </c>
      <c r="E97" s="397"/>
      <c r="F97" s="1" t="s">
        <v>69</v>
      </c>
      <c r="G97" s="30"/>
      <c r="I97" s="372" t="s">
        <v>660</v>
      </c>
      <c r="J97" s="397"/>
      <c r="K97" s="1" t="s">
        <v>41</v>
      </c>
      <c r="P97" s="334"/>
    </row>
    <row r="98" spans="1:17 16382:16382" outlineLevel="1" x14ac:dyDescent="0.35">
      <c r="A98" s="333">
        <f t="shared" si="2"/>
        <v>98</v>
      </c>
      <c r="D98" s="371" t="s">
        <v>194</v>
      </c>
      <c r="E98" s="357"/>
      <c r="F98" s="1" t="s">
        <v>62</v>
      </c>
      <c r="G98" s="30"/>
      <c r="I98" s="371" t="s">
        <v>194</v>
      </c>
      <c r="J98" s="357"/>
      <c r="K98" s="1" t="s">
        <v>62</v>
      </c>
      <c r="P98" s="334"/>
    </row>
    <row r="99" spans="1:17 16382:16382" outlineLevel="1" x14ac:dyDescent="0.35">
      <c r="A99" s="333">
        <f t="shared" si="2"/>
        <v>99</v>
      </c>
      <c r="D99" s="372" t="s">
        <v>76</v>
      </c>
      <c r="E99" s="357"/>
      <c r="F99" s="1" t="s">
        <v>77</v>
      </c>
      <c r="G99" s="30"/>
      <c r="I99" s="372" t="s">
        <v>76</v>
      </c>
      <c r="J99" s="357"/>
      <c r="K99" s="1" t="s">
        <v>77</v>
      </c>
      <c r="P99" s="334"/>
    </row>
    <row r="100" spans="1:17 16382:16382" outlineLevel="1" x14ac:dyDescent="0.35">
      <c r="A100" s="333">
        <f t="shared" si="2"/>
        <v>100</v>
      </c>
      <c r="D100" s="372"/>
      <c r="E100" s="372"/>
      <c r="F100" s="372"/>
      <c r="G100" s="30"/>
      <c r="P100" s="334"/>
    </row>
    <row r="101" spans="1:17 16382:16382" outlineLevel="1" x14ac:dyDescent="0.35">
      <c r="A101" s="333">
        <f t="shared" si="2"/>
        <v>101</v>
      </c>
      <c r="C101" s="10"/>
      <c r="D101" s="14" t="s">
        <v>551</v>
      </c>
      <c r="E101" s="393" t="e">
        <f>+E99/E94</f>
        <v>#DIV/0!</v>
      </c>
      <c r="F101" s="372"/>
      <c r="G101" s="30"/>
      <c r="I101" s="14" t="s">
        <v>551</v>
      </c>
      <c r="J101" s="393" t="e">
        <f>+J99/J94</f>
        <v>#DIV/0!</v>
      </c>
      <c r="P101" s="334"/>
    </row>
    <row r="102" spans="1:17 16382:16382" outlineLevel="1" x14ac:dyDescent="0.35">
      <c r="A102" s="333">
        <f t="shared" si="2"/>
        <v>102</v>
      </c>
      <c r="D102" s="372"/>
      <c r="G102" s="30"/>
      <c r="P102" s="334"/>
    </row>
    <row r="103" spans="1:17 16382:16382" outlineLevel="1" x14ac:dyDescent="0.35">
      <c r="A103" s="333">
        <f t="shared" si="2"/>
        <v>103</v>
      </c>
      <c r="G103" s="30"/>
      <c r="P103" s="334"/>
    </row>
    <row r="104" spans="1:17 16382:16382" outlineLevel="1" x14ac:dyDescent="0.35">
      <c r="A104" s="333">
        <f t="shared" si="2"/>
        <v>104</v>
      </c>
      <c r="D104" s="308" t="s">
        <v>563</v>
      </c>
      <c r="G104" s="30"/>
      <c r="P104" s="334"/>
    </row>
    <row r="105" spans="1:17 16382:16382" outlineLevel="1" x14ac:dyDescent="0.35">
      <c r="A105" s="333">
        <f t="shared" si="2"/>
        <v>105</v>
      </c>
      <c r="C105" s="309" t="s">
        <v>564</v>
      </c>
      <c r="D105" s="308"/>
      <c r="G105" s="30"/>
      <c r="I105" s="308" t="s">
        <v>568</v>
      </c>
      <c r="P105" s="334"/>
    </row>
    <row r="106" spans="1:17 16382:16382" outlineLevel="2" x14ac:dyDescent="0.35">
      <c r="A106" s="333">
        <f t="shared" si="2"/>
        <v>106</v>
      </c>
      <c r="B106" s="309"/>
      <c r="G106" s="30"/>
      <c r="H106" s="1" t="s">
        <v>564</v>
      </c>
      <c r="P106" s="334"/>
      <c r="Q106" s="334"/>
    </row>
    <row r="107" spans="1:17 16382:16382" outlineLevel="1" x14ac:dyDescent="0.35">
      <c r="A107" s="333">
        <f t="shared" si="2"/>
        <v>107</v>
      </c>
      <c r="D107" s="1" t="s">
        <v>522</v>
      </c>
      <c r="E107" s="375"/>
      <c r="G107" s="30"/>
      <c r="I107" s="1" t="s">
        <v>522</v>
      </c>
      <c r="J107" s="375"/>
      <c r="P107" s="334"/>
      <c r="XFB107" s="1"/>
    </row>
    <row r="108" spans="1:17 16382:16382" outlineLevel="1" x14ac:dyDescent="0.35">
      <c r="A108" s="333">
        <f t="shared" si="2"/>
        <v>108</v>
      </c>
      <c r="G108" s="30"/>
      <c r="I108" s="14" t="s">
        <v>566</v>
      </c>
      <c r="J108" s="28"/>
      <c r="P108" s="334"/>
      <c r="XFB108" s="1"/>
    </row>
    <row r="109" spans="1:17 16382:16382" outlineLevel="1" x14ac:dyDescent="0.35">
      <c r="A109" s="333">
        <f t="shared" si="2"/>
        <v>109</v>
      </c>
      <c r="D109" s="1" t="s">
        <v>520</v>
      </c>
      <c r="E109" s="28"/>
      <c r="F109" s="1" t="s">
        <v>59</v>
      </c>
      <c r="G109" s="30"/>
      <c r="I109" s="1" t="s">
        <v>520</v>
      </c>
      <c r="J109" s="28"/>
      <c r="K109" s="1" t="s">
        <v>59</v>
      </c>
      <c r="P109" s="334"/>
    </row>
    <row r="110" spans="1:17 16382:16382" outlineLevel="1" x14ac:dyDescent="0.35">
      <c r="A110" s="333">
        <f t="shared" si="2"/>
        <v>110</v>
      </c>
      <c r="D110" s="1" t="s">
        <v>521</v>
      </c>
      <c r="E110" s="28"/>
      <c r="F110" s="1" t="s">
        <v>59</v>
      </c>
      <c r="G110" s="30"/>
      <c r="I110" s="1" t="s">
        <v>521</v>
      </c>
      <c r="J110" s="28"/>
      <c r="K110" s="1" t="s">
        <v>59</v>
      </c>
      <c r="P110" s="334"/>
    </row>
    <row r="111" spans="1:17 16382:16382" ht="15" customHeight="1" outlineLevel="1" x14ac:dyDescent="0.35">
      <c r="A111" s="333">
        <f t="shared" si="2"/>
        <v>111</v>
      </c>
      <c r="G111" s="30"/>
      <c r="P111" s="334"/>
    </row>
    <row r="112" spans="1:17 16382:16382" ht="15" customHeight="1" outlineLevel="1" x14ac:dyDescent="0.35">
      <c r="A112" s="333">
        <f t="shared" si="2"/>
        <v>112</v>
      </c>
      <c r="C112" s="10"/>
      <c r="D112" s="384" t="s">
        <v>540</v>
      </c>
      <c r="E112" s="1" t="s">
        <v>67</v>
      </c>
      <c r="G112" s="30"/>
      <c r="I112" s="384" t="s">
        <v>540</v>
      </c>
      <c r="J112" s="1" t="s">
        <v>67</v>
      </c>
      <c r="P112" s="334"/>
    </row>
    <row r="113" spans="1:16" outlineLevel="1" x14ac:dyDescent="0.35">
      <c r="A113" s="333">
        <f t="shared" si="2"/>
        <v>113</v>
      </c>
      <c r="D113" s="372" t="s">
        <v>78</v>
      </c>
      <c r="E113" s="385"/>
      <c r="G113" s="30"/>
      <c r="I113" s="372" t="s">
        <v>78</v>
      </c>
      <c r="J113" s="385"/>
      <c r="P113" s="334"/>
    </row>
    <row r="114" spans="1:16" outlineLevel="1" x14ac:dyDescent="0.35">
      <c r="A114" s="333">
        <f t="shared" si="2"/>
        <v>114</v>
      </c>
      <c r="D114" s="14" t="s">
        <v>79</v>
      </c>
      <c r="E114" s="385"/>
      <c r="G114" s="30"/>
      <c r="I114" s="14" t="s">
        <v>79</v>
      </c>
      <c r="J114" s="385"/>
      <c r="P114" s="334"/>
    </row>
    <row r="115" spans="1:16" outlineLevel="1" x14ac:dyDescent="0.35">
      <c r="A115" s="333">
        <f t="shared" si="2"/>
        <v>115</v>
      </c>
      <c r="D115" s="14" t="s">
        <v>80</v>
      </c>
      <c r="E115" s="385"/>
      <c r="G115" s="30"/>
      <c r="I115" s="14" t="s">
        <v>80</v>
      </c>
      <c r="J115" s="385"/>
      <c r="P115" s="334"/>
    </row>
    <row r="116" spans="1:16" outlineLevel="1" x14ac:dyDescent="0.35">
      <c r="A116" s="333">
        <f t="shared" si="2"/>
        <v>116</v>
      </c>
      <c r="D116" s="14" t="s">
        <v>81</v>
      </c>
      <c r="E116" s="385"/>
      <c r="G116" s="30"/>
      <c r="I116" s="14" t="s">
        <v>81</v>
      </c>
      <c r="J116" s="385"/>
      <c r="P116" s="334"/>
    </row>
    <row r="117" spans="1:16" outlineLevel="1" x14ac:dyDescent="0.35">
      <c r="A117" s="333">
        <f t="shared" si="2"/>
        <v>117</v>
      </c>
      <c r="D117" s="14" t="s">
        <v>82</v>
      </c>
      <c r="E117" s="385"/>
      <c r="G117" s="30"/>
      <c r="I117" s="14" t="s">
        <v>82</v>
      </c>
      <c r="J117" s="385"/>
      <c r="P117" s="334"/>
    </row>
    <row r="118" spans="1:16" outlineLevel="1" x14ac:dyDescent="0.35">
      <c r="A118" s="333">
        <f t="shared" si="2"/>
        <v>118</v>
      </c>
      <c r="D118" s="14" t="s">
        <v>83</v>
      </c>
      <c r="E118" s="385"/>
      <c r="G118" s="30"/>
      <c r="H118" s="31"/>
      <c r="I118" s="14" t="s">
        <v>83</v>
      </c>
      <c r="J118" s="385"/>
      <c r="P118" s="334"/>
    </row>
    <row r="119" spans="1:16" outlineLevel="1" x14ac:dyDescent="0.35">
      <c r="A119" s="333">
        <f t="shared" si="2"/>
        <v>119</v>
      </c>
      <c r="G119" s="33"/>
      <c r="P119" s="334"/>
    </row>
    <row r="120" spans="1:16" outlineLevel="1" x14ac:dyDescent="0.35">
      <c r="A120" s="333">
        <f t="shared" si="2"/>
        <v>120</v>
      </c>
      <c r="C120" s="2"/>
      <c r="D120" s="386" t="s">
        <v>84</v>
      </c>
      <c r="E120" s="387" t="str">
        <f>IFERROR(E94/(E94+E68),"")</f>
        <v/>
      </c>
      <c r="G120" s="33"/>
      <c r="I120" s="386" t="s">
        <v>85</v>
      </c>
      <c r="J120" s="387" t="str">
        <f>IFERROR(J94/(J94+J68),"")</f>
        <v/>
      </c>
      <c r="M120" s="16"/>
      <c r="N120" s="1"/>
      <c r="P120" s="334"/>
    </row>
    <row r="121" spans="1:16" outlineLevel="1" x14ac:dyDescent="0.35">
      <c r="A121" s="333">
        <f t="shared" si="2"/>
        <v>121</v>
      </c>
      <c r="D121" s="386" t="s">
        <v>86</v>
      </c>
      <c r="E121" s="388" t="str">
        <f>IF(E120="","",1-E120)</f>
        <v/>
      </c>
      <c r="G121" s="33"/>
      <c r="I121" s="386" t="s">
        <v>87</v>
      </c>
      <c r="J121" s="388" t="str">
        <f>IF(J120="","",1-J120)</f>
        <v/>
      </c>
      <c r="M121" s="16"/>
      <c r="N121" s="1"/>
      <c r="P121" s="334"/>
    </row>
    <row r="122" spans="1:16" outlineLevel="1" x14ac:dyDescent="0.35">
      <c r="A122" s="333">
        <f t="shared" si="2"/>
        <v>122</v>
      </c>
      <c r="G122" s="33"/>
      <c r="M122" s="16"/>
      <c r="N122" s="1"/>
      <c r="P122" s="334"/>
    </row>
    <row r="123" spans="1:16" outlineLevel="1" x14ac:dyDescent="0.35">
      <c r="A123" s="333">
        <f t="shared" si="2"/>
        <v>123</v>
      </c>
      <c r="E123" s="378"/>
      <c r="F123" s="16"/>
      <c r="G123" s="16"/>
      <c r="J123" s="378"/>
      <c r="K123" s="16"/>
      <c r="L123" s="378"/>
      <c r="M123" s="16"/>
      <c r="N123" s="1"/>
      <c r="P123" s="334"/>
    </row>
    <row r="124" spans="1:16" x14ac:dyDescent="0.35">
      <c r="A124" s="333">
        <f t="shared" si="2"/>
        <v>124</v>
      </c>
      <c r="C124" s="403" t="s">
        <v>552</v>
      </c>
      <c r="D124" s="403"/>
      <c r="E124" s="403"/>
      <c r="F124" s="403"/>
      <c r="G124" s="403"/>
      <c r="H124" s="403"/>
      <c r="I124" s="403"/>
      <c r="J124" s="403"/>
      <c r="K124" s="403"/>
      <c r="L124" s="403"/>
      <c r="M124" s="403"/>
      <c r="N124" s="403"/>
      <c r="P124" s="334"/>
    </row>
    <row r="125" spans="1:16" x14ac:dyDescent="0.35">
      <c r="A125" s="333">
        <f t="shared" si="2"/>
        <v>125</v>
      </c>
      <c r="C125" s="401"/>
      <c r="D125" s="401"/>
      <c r="E125" s="401"/>
      <c r="F125" s="401"/>
      <c r="G125" s="401"/>
      <c r="H125" s="401"/>
      <c r="I125" s="401"/>
      <c r="J125" s="401"/>
      <c r="K125" s="401"/>
      <c r="L125" s="401"/>
      <c r="M125" s="401"/>
      <c r="N125" s="401"/>
      <c r="P125" s="334"/>
    </row>
    <row r="126" spans="1:16" x14ac:dyDescent="0.35">
      <c r="A126" s="333">
        <f t="shared" si="2"/>
        <v>126</v>
      </c>
      <c r="C126" s="402"/>
      <c r="D126" s="402"/>
      <c r="E126" s="402"/>
      <c r="F126" s="402"/>
      <c r="G126" s="402"/>
      <c r="H126" s="402"/>
      <c r="I126" s="402"/>
      <c r="J126" s="402"/>
      <c r="K126" s="402"/>
      <c r="L126" s="402"/>
      <c r="M126" s="402"/>
      <c r="N126" s="402"/>
      <c r="P126" s="334"/>
    </row>
    <row r="127" spans="1:16" x14ac:dyDescent="0.35">
      <c r="A127" s="333">
        <f t="shared" si="2"/>
        <v>127</v>
      </c>
      <c r="C127" s="402"/>
      <c r="D127" s="402"/>
      <c r="E127" s="402"/>
      <c r="F127" s="402"/>
      <c r="G127" s="402"/>
      <c r="H127" s="402"/>
      <c r="I127" s="402"/>
      <c r="J127" s="402"/>
      <c r="K127" s="402"/>
      <c r="L127" s="402"/>
      <c r="M127" s="402"/>
      <c r="N127" s="402"/>
      <c r="P127" s="334"/>
    </row>
    <row r="128" spans="1:16" x14ac:dyDescent="0.35">
      <c r="A128" s="333">
        <f t="shared" si="2"/>
        <v>128</v>
      </c>
      <c r="C128" s="402"/>
      <c r="D128" s="402"/>
      <c r="E128" s="402"/>
      <c r="F128" s="402"/>
      <c r="G128" s="402"/>
      <c r="H128" s="402"/>
      <c r="I128" s="402"/>
      <c r="J128" s="402"/>
      <c r="K128" s="402"/>
      <c r="L128" s="402"/>
      <c r="M128" s="402"/>
      <c r="N128" s="402"/>
      <c r="P128" s="334"/>
    </row>
    <row r="129" spans="1:16" x14ac:dyDescent="0.35">
      <c r="A129" s="333">
        <f t="shared" si="2"/>
        <v>129</v>
      </c>
      <c r="C129" s="402"/>
      <c r="D129" s="402"/>
      <c r="E129" s="402"/>
      <c r="F129" s="402"/>
      <c r="G129" s="402"/>
      <c r="H129" s="402"/>
      <c r="I129" s="402"/>
      <c r="J129" s="402"/>
      <c r="K129" s="402"/>
      <c r="L129" s="402"/>
      <c r="M129" s="402"/>
      <c r="N129" s="402"/>
      <c r="P129" s="334"/>
    </row>
    <row r="130" spans="1:16" x14ac:dyDescent="0.35">
      <c r="A130" s="333">
        <f t="shared" si="2"/>
        <v>130</v>
      </c>
      <c r="C130" s="402"/>
      <c r="D130" s="402"/>
      <c r="E130" s="402"/>
      <c r="F130" s="402"/>
      <c r="G130" s="402"/>
      <c r="H130" s="402"/>
      <c r="I130" s="402"/>
      <c r="J130" s="402"/>
      <c r="K130" s="402"/>
      <c r="L130" s="402"/>
      <c r="M130" s="402"/>
      <c r="N130" s="402"/>
      <c r="P130" s="334"/>
    </row>
    <row r="131" spans="1:16" x14ac:dyDescent="0.35">
      <c r="A131" s="333">
        <f t="shared" ref="A131:O135" si="3">+A130+1</f>
        <v>131</v>
      </c>
      <c r="C131" s="402"/>
      <c r="D131" s="402"/>
      <c r="E131" s="402"/>
      <c r="F131" s="402"/>
      <c r="G131" s="402"/>
      <c r="H131" s="402"/>
      <c r="I131" s="402"/>
      <c r="J131" s="402"/>
      <c r="K131" s="402"/>
      <c r="L131" s="402"/>
      <c r="M131" s="402"/>
      <c r="N131" s="402"/>
      <c r="P131" s="334"/>
    </row>
    <row r="132" spans="1:16" x14ac:dyDescent="0.35">
      <c r="A132" s="333">
        <f t="shared" si="3"/>
        <v>132</v>
      </c>
      <c r="C132" s="402"/>
      <c r="D132" s="402"/>
      <c r="E132" s="402"/>
      <c r="F132" s="402"/>
      <c r="G132" s="402"/>
      <c r="H132" s="402"/>
      <c r="I132" s="402"/>
      <c r="J132" s="402"/>
      <c r="K132" s="402"/>
      <c r="L132" s="402"/>
      <c r="M132" s="402"/>
      <c r="N132" s="402"/>
      <c r="P132" s="334"/>
    </row>
    <row r="133" spans="1:16" x14ac:dyDescent="0.35">
      <c r="A133" s="333">
        <f t="shared" si="3"/>
        <v>133</v>
      </c>
      <c r="P133" s="334"/>
    </row>
    <row r="134" spans="1:16" ht="14.5" x14ac:dyDescent="0.35">
      <c r="A134" s="333">
        <f t="shared" si="3"/>
        <v>134</v>
      </c>
      <c r="B134" s="333">
        <f t="shared" si="3"/>
        <v>1</v>
      </c>
      <c r="C134" s="333">
        <f t="shared" si="3"/>
        <v>1</v>
      </c>
      <c r="D134" s="333">
        <f t="shared" si="3"/>
        <v>1</v>
      </c>
      <c r="E134" s="333">
        <f t="shared" si="3"/>
        <v>1</v>
      </c>
      <c r="F134" s="333">
        <f t="shared" si="3"/>
        <v>1</v>
      </c>
      <c r="G134" s="333">
        <f t="shared" si="3"/>
        <v>1</v>
      </c>
      <c r="H134" s="333">
        <f t="shared" si="3"/>
        <v>1</v>
      </c>
      <c r="I134" s="333">
        <f t="shared" si="3"/>
        <v>1</v>
      </c>
      <c r="J134" s="333">
        <f t="shared" si="3"/>
        <v>1</v>
      </c>
      <c r="K134" s="333">
        <f t="shared" si="3"/>
        <v>1</v>
      </c>
      <c r="L134" s="333">
        <f t="shared" si="3"/>
        <v>1</v>
      </c>
      <c r="M134" s="333">
        <f t="shared" si="3"/>
        <v>1</v>
      </c>
      <c r="N134" s="333">
        <f t="shared" si="3"/>
        <v>1</v>
      </c>
      <c r="O134" s="333">
        <f t="shared" si="3"/>
        <v>1</v>
      </c>
      <c r="P134" s="334"/>
    </row>
    <row r="135" spans="1:16" ht="14.5" x14ac:dyDescent="0.35">
      <c r="A135" s="333">
        <f t="shared" si="3"/>
        <v>135</v>
      </c>
      <c r="B135" s="333">
        <f t="shared" si="3"/>
        <v>2</v>
      </c>
      <c r="C135" s="333">
        <f t="shared" si="3"/>
        <v>2</v>
      </c>
      <c r="D135" s="333">
        <f t="shared" si="3"/>
        <v>2</v>
      </c>
      <c r="E135" s="333">
        <f t="shared" si="3"/>
        <v>2</v>
      </c>
      <c r="F135" s="333">
        <f t="shared" si="3"/>
        <v>2</v>
      </c>
      <c r="G135" s="333">
        <f t="shared" si="3"/>
        <v>2</v>
      </c>
      <c r="H135" s="333">
        <f t="shared" si="3"/>
        <v>2</v>
      </c>
      <c r="I135" s="333">
        <f t="shared" si="3"/>
        <v>2</v>
      </c>
      <c r="J135" s="333">
        <f t="shared" si="3"/>
        <v>2</v>
      </c>
      <c r="K135" s="333">
        <f t="shared" si="3"/>
        <v>2</v>
      </c>
      <c r="L135" s="333">
        <f t="shared" si="3"/>
        <v>2</v>
      </c>
      <c r="M135" s="333">
        <f t="shared" si="3"/>
        <v>2</v>
      </c>
      <c r="N135" s="333">
        <f t="shared" si="3"/>
        <v>2</v>
      </c>
      <c r="O135" s="333">
        <f t="shared" si="3"/>
        <v>2</v>
      </c>
      <c r="P135" s="334"/>
    </row>
  </sheetData>
  <sheetProtection sheet="1" objects="1" scenarios="1" selectLockedCells="1"/>
  <protectedRanges>
    <protectedRange sqref="G37" name="Rango1"/>
  </protectedRanges>
  <dataConsolidate/>
  <mergeCells count="6">
    <mergeCell ref="C125:N132"/>
    <mergeCell ref="I5:J5"/>
    <mergeCell ref="M11:O12"/>
    <mergeCell ref="M13:O14"/>
    <mergeCell ref="M15:O16"/>
    <mergeCell ref="C124:N124"/>
  </mergeCells>
  <conditionalFormatting sqref="J12">
    <cfRule type="expression" dxfId="26" priority="3">
      <formula>$J$11&gt;1</formula>
    </cfRule>
  </conditionalFormatting>
  <conditionalFormatting sqref="J14">
    <cfRule type="expression" dxfId="25" priority="2">
      <formula>$J$13&gt;1</formula>
    </cfRule>
  </conditionalFormatting>
  <conditionalFormatting sqref="J16">
    <cfRule type="expression" dxfId="24" priority="1">
      <formula>$J$15&gt;1</formula>
    </cfRule>
  </conditionalFormatting>
  <dataValidations count="62">
    <dataValidation allowBlank="1" showInputMessage="1" showErrorMessage="1" prompt="Aumento diario de peso vivo promedio" sqref="J97 E97"/>
    <dataValidation allowBlank="1" showErrorMessage="1" prompt="Kilos de materia seca ofrecidos en total" sqref="E96 J96"/>
    <dataValidation allowBlank="1" showInputMessage="1" showErrorMessage="1" prompt="Stock medio en terminación: promedio de los valores de stock mensual en kilos totales para el ejercicio." sqref="J71"/>
    <dataValidation allowBlank="1" showInputMessage="1" showErrorMessage="1" prompt="Stock medio en terminación: promedio de los valores de stock mensual en cabezas para el ejercicio." sqref="J70"/>
    <dataValidation allowBlank="1" showInputMessage="1" showErrorMessage="1" prompt="Stock medio en recría: promedio de los valores de stock mensual en kilos totales para el ejercicio." sqref="E71"/>
    <dataValidation allowBlank="1" showInputMessage="1" showErrorMessage="1" prompt="Promedio de los valores de stock mensual en cabezas para el ejercicio (incluye corrales). Los terneros al pie de la madre se deben contabilizar para el cálculo de carga." sqref="E31"/>
    <dataValidation allowBlank="1" showInputMessage="1" showErrorMessage="1" prompt="Promedio de los valores de stock mensual en kg para el ejercicio (incluye corrales). Los terneros al pie de la madre se deben contabilizar como stock para el cálculo de carga." sqref="E32"/>
    <dataValidation allowBlank="1" showInputMessage="1" showErrorMessage="1" prompt="Kilos de materia seca ofrecidos en los corrales de terminación." sqref="J99"/>
    <dataValidation allowBlank="1" showInputMessage="1" showErrorMessage="1" prompt="Kilos de materia seca ofrecidos en los corrales de recría" sqref="E99"/>
    <dataValidation type="list" allowBlank="1" showInputMessage="1" showErrorMessage="1" prompt="Edad promedio al destete '17. Si hubo diferentes destetes, poner una edad promedio. Si merece aclaraciones, anotarlas en observaciones. " sqref="E58">
      <formula1>Destete</formula1>
    </dataValidation>
    <dataValidation type="list" allowBlank="1" showInputMessage="1" showErrorMessage="1" prompt="% de la dieta en MS suplementada" sqref="E84 J84">
      <formula1>supl</formula1>
    </dataValidation>
    <dataValidation allowBlank="1" showInputMessage="1" showErrorMessage="1" prompt="Tiempo promedio de la terminación. Si hay distintos lotes/rodeos, poner la duración ponderada." sqref="J72 J98"/>
    <dataValidation allowBlank="1" showInputMessage="1" showErrorMessage="1" prompt="Tiempo promedio de la recría. Si hay distintos lotes/rodeos, poner la duración ponderada." sqref="E72 E98"/>
    <dataValidation allowBlank="1" showInputMessage="1" showErrorMessage="1" prompt="Si la empresa tiene más de un establecimiento, llenar una planilla por cada campo." sqref="D6"/>
    <dataValidation allowBlank="1" showInputMessage="1" showErrorMessage="1" prompt="Superficie en en ganadería con aptitud agrícola (clase I a IV) propias y alquiladas." sqref="J20"/>
    <dataValidation type="list" allowBlank="1" showInputMessage="1" showErrorMessage="1" sqref="J80 J108">
      <formula1>sino</formula1>
    </dataValidation>
    <dataValidation type="list" allowBlank="1" showInputMessage="1" showErrorMessage="1" sqref="E115:E118 E113 J115:J118 J113">
      <formula1>Dieta</formula1>
    </dataValidation>
    <dataValidation type="list" allowBlank="1" showInputMessage="1" showErrorMessage="1" sqref="E114 J114">
      <formula1>CC</formula1>
    </dataValidation>
    <dataValidation allowBlank="1" showInputMessage="1" showErrorMessage="1" prompt="Stock medio en recría: promedio de los valores de stock mensual en cabezas para el ejercicio." sqref="E70"/>
    <dataValidation type="list" allowBlank="1" showInputMessage="1" showErrorMessage="1" sqref="E82 E110">
      <formula1>PSR</formula1>
    </dataValidation>
    <dataValidation type="list" allowBlank="1" showInputMessage="1" showErrorMessage="1" sqref="E81 E109">
      <formula1>PER</formula1>
    </dataValidation>
    <dataValidation type="list" allowBlank="1" showInputMessage="1" showErrorMessage="1" sqref="J82 J110">
      <formula1>PST</formula1>
    </dataValidation>
    <dataValidation type="list" allowBlank="1" showInputMessage="1" showErrorMessage="1" sqref="J81 J109">
      <formula1>PET</formula1>
    </dataValidation>
    <dataValidation type="list" allowBlank="1" showInputMessage="1" showErrorMessage="1" sqref="E79 J79 J107 E107">
      <formula1>MH</formula1>
    </dataValidation>
    <dataValidation allowBlank="1" showInputMessage="1" showErrorMessage="1" prompt="Ingrese un valor estimativo promedio de venta de la hectárea donde está realizando la ganadería." sqref="J21"/>
    <dataValidation allowBlank="1" showInputMessage="1" showErrorMessage="1" prompt="Capacidad máxima instantanea" sqref="H89"/>
    <dataValidation type="list" allowBlank="1" showInputMessage="1" showErrorMessage="1" prompt="Servicio '15_x000a_" sqref="I57">
      <formula1>fechaservicio</formula1>
    </dataValidation>
    <dataValidation allowBlank="1" showInputMessage="1" showErrorMessage="1" prompt="Peso medio de destete '17" sqref="E57"/>
    <dataValidation allowBlank="1" showInputMessage="1" showErrorMessage="1" prompt="% de vacas inseminadas en la campaña vacas Inseminadas/Vacas en Servicio)" sqref="J52"/>
    <dataValidation allowBlank="1" showInputMessage="1" showErrorMessage="1" prompt="% de vaquillonas inseminadas en la campaña (Vaquillona Inseminadas/Vaquillonas en Servicio)" sqref="J54"/>
    <dataValidation type="list" allowBlank="1" showInputMessage="1" showErrorMessage="1" sqref="J53">
      <formula1>edadservicio</formula1>
    </dataValidation>
    <dataValidation type="list" allowBlank="1" showInputMessage="1" showErrorMessage="1" prompt="Región donde se encuentra el establecimiento, independientemente del CREA al que pertenezca el establecimiento." sqref="F6">
      <formula1>Crea</formula1>
    </dataValidation>
    <dataValidation type="list" allowBlank="1" showErrorMessage="1" sqref="E61:I61">
      <formula1>cruz</formula1>
    </dataValidation>
    <dataValidation allowBlank="1" showInputMessage="1" showErrorMessage="1" prompt="Vacas preñadas 17´sobre vacas entoradas servicio 16´" sqref="E41"/>
    <dataValidation allowBlank="1" showInputMessage="1" showErrorMessage="1" prompt="Este indicador no debe ser tenido en cuenta en producciones a corral" sqref="J27 J29"/>
    <dataValidation allowBlank="1" showInputMessage="1" showErrorMessage="1" prompt="Incluye vacas y vaquillonas" sqref="E54:E55"/>
    <dataValidation allowBlank="1" showInputMessage="1" showErrorMessage="1" prompt="Ponderar en función de la cantidad de tiempo que se le dedica a la ganadería. Se tiene en cuenta el personal de maquinaria que le presta un servicio a la ganadería." sqref="E33 H90"/>
    <dataValidation allowBlank="1" showInputMessage="1" showErrorMessage="1" prompt="Stock bovino al 1 de julio 2016 (todo lo que está en el establecimiento)" sqref="E26"/>
    <dataValidation allowBlank="1" showInputMessage="1" showErrorMessage="1" prompt="Superficie de monte productivos de la unidad de producción" sqref="E16"/>
    <dataValidation allowBlank="1" showInputMessage="1" showErrorMessage="1" prompt="Superfice sembrada con verdeos de invierno tal cual. En la celda contigua se calculará las has asignadas a dicho recurso según las Normas CREA." sqref="J11"/>
    <dataValidation allowBlank="1" showInputMessage="1" showErrorMessage="1" prompt="Superficie de praderas perennes ya implantadas" sqref="E17"/>
    <dataValidation allowBlank="1" showInputMessage="1" showErrorMessage="1" prompt="Superficie de campo natural de la unidad de producción" sqref="E15"/>
    <dataValidation allowBlank="1" showInputMessage="1" showErrorMessage="1" prompt="Nro de cabezas muertas/cabezas ingresadas" sqref="E30"/>
    <dataValidation allowBlank="1" showInputMessage="1" showErrorMessage="1" prompt="Cantidad de Vaquillonas de 1 en servicio en 2016" sqref="E46"/>
    <dataValidation allowBlank="1" showInputMessage="1" showErrorMessage="1" prompt="Producción de carne (kg totales) = SALIDAS (kg vendidos,  traslados, consumo del eto.) - ENTRADAS (kg por compra o traslados de otras procedencias) + DIF. INVENTARIO (en Kg)" sqref="E28 J68 E68 E94 J94"/>
    <dataValidation allowBlank="1" showInputMessage="1" showErrorMessage="1" prompt="Stock bovino al 30 de junio 2017 (todo lo que está en el establecimiento)" sqref="E27"/>
    <dataValidation allowBlank="1" showInputMessage="1" showErrorMessage="1" prompt="Praderas implantadas en la campaña en análisis." sqref="E18"/>
    <dataValidation type="list" allowBlank="1" showInputMessage="1" showErrorMessage="1" sqref="G6">
      <formula1>MP</formula1>
    </dataValidation>
    <dataValidation allowBlank="1" showInputMessage="1" showErrorMessage="1" prompt="Superficie de suelo de la unidad de producción en agricultura, propias y alquiladas." sqref="E12"/>
    <dataValidation allowBlank="1" showInputMessage="1" showErrorMessage="1" prompt="Superficie del establecimiento en producción." sqref="E11"/>
    <dataValidation allowBlank="1" showInputMessage="1" showErrorMessage="1" prompt="Superfice sembrada (tal cual) con verdeos de verano para consumo fresco o diferido. En la celda contigua se calculará las has asignadas a dicho recurso según las Normas CREA." sqref="J13"/>
    <dataValidation allowBlank="1" showInputMessage="1" showErrorMessage="1" prompt="Superfice de rastrojos pastoreados. En la celda contigua se calculará las has asignadas a dicho recurso según las Normas CREA." sqref="J15"/>
    <dataValidation allowBlank="1" showErrorMessage="1" sqref="J19"/>
    <dataValidation allowBlank="1" showErrorMessage="1" prompt="Superficie de monte productivos del establecimiento" sqref="J16"/>
    <dataValidation allowBlank="1" showInputMessage="1" showErrorMessage="1" prompt="Terneros destetados 17´sobre vientres entorados en servicio´15" sqref="E52"/>
    <dataValidation allowBlank="1" showInputMessage="1" showErrorMessage="1" prompt="Vacas y vaquillonas preñadas sobre vientres entoradas en servicio 15´" sqref="E53"/>
    <dataValidation allowBlank="1" showInputMessage="1" showErrorMessage="1" prompt="Vaquillonas de 1° servicio preñadas 17´/ vaquillonas de 1° s. entoradas en 16´" sqref="E45"/>
    <dataValidation type="list" allowBlank="1" showInputMessage="1" showErrorMessage="1" sqref="J83 E83">
      <formula1>RRFF</formula1>
    </dataValidation>
    <dataValidation allowBlank="1" showInputMessage="1" showErrorMessage="1" prompt="Tiempo desde la primer labor del verdeo hasta cambio de uso del lote (no sólo tiempo que fue pastoreado)." sqref="J12"/>
    <dataValidation allowBlank="1" showInputMessage="1" showErrorMessage="1" prompt="Tiempo desde la primer labor del verdeo/diferido hasta cambio de uso del lote (no sólo tiempo que fue pastoreado)." sqref="J14"/>
    <dataValidation type="list" allowBlank="1" showInputMessage="1" showErrorMessage="1" prompt="Servicio '15" sqref="I58">
      <formula1>fechaservicio</formula1>
    </dataValidation>
    <dataValidation type="list" allowBlank="1" showInputMessage="1" showErrorMessage="1" prompt="Servicio '15" sqref="J57:J58">
      <formula1>duracion</formula1>
    </dataValidation>
  </dataValidations>
  <hyperlinks>
    <hyperlink ref="G95" location="'1 (prop.sup)'!F115" display="Ir a cálculo desbaste"/>
    <hyperlink ref="G95:G96" location="'1'!D118" display="Ir a cálculo desbaste"/>
    <hyperlink ref="L95:L96" location="'1'!D118" display="Ir a cálculo desbaste"/>
    <hyperlink ref="L95" location="'1 (prop.sup)'!F115" display="Ir a cálculo desbaste"/>
  </hyperlinks>
  <pageMargins left="0.25" right="0.25" top="0.75" bottom="0.75" header="0.3" footer="0.3"/>
  <pageSetup paperSize="9" scale="48" fitToHeight="0" orientation="portrait" verticalDpi="599" r:id="rId1"/>
  <rowBreaks count="1" manualBreakCount="1">
    <brk id="60" min="1" max="12"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B135"/>
  <sheetViews>
    <sheetView showGridLines="0" zoomScale="90" zoomScaleNormal="90" workbookViewId="0">
      <pane xSplit="1" ySplit="1" topLeftCell="B2" activePane="bottomRight" state="frozen"/>
      <selection activeCell="G25" sqref="G25"/>
      <selection pane="topRight" activeCell="G25" sqref="G25"/>
      <selection pane="bottomLeft" activeCell="G25" sqref="G25"/>
      <selection pane="bottomRight" activeCell="C6" sqref="C6"/>
    </sheetView>
  </sheetViews>
  <sheetFormatPr baseColWidth="10" defaultColWidth="0" defaultRowHeight="15.5" customHeight="1" zeroHeight="1" outlineLevelRow="2" x14ac:dyDescent="0.35"/>
  <cols>
    <col min="1" max="1" width="5" style="330" customWidth="1"/>
    <col min="2" max="2" width="11.81640625" style="1" customWidth="1"/>
    <col min="3" max="3" width="16" style="1" customWidth="1"/>
    <col min="4" max="4" width="18.54296875" style="1" customWidth="1"/>
    <col min="5" max="6" width="14.54296875" style="1" customWidth="1"/>
    <col min="7" max="7" width="12.1796875" style="1" customWidth="1"/>
    <col min="8" max="8" width="16.26953125" style="1" customWidth="1"/>
    <col min="9" max="10" width="14.54296875" style="1" customWidth="1"/>
    <col min="11" max="12" width="13.453125" style="1" customWidth="1"/>
    <col min="13" max="13" width="14.54296875" style="1" customWidth="1"/>
    <col min="14" max="15" width="11.453125" style="69" customWidth="1"/>
    <col min="16" max="16" width="5.54296875" style="69" customWidth="1"/>
    <col min="17" max="17" width="11.453125" style="69" hidden="1"/>
    <col min="18" max="16382" width="0" style="69" hidden="1"/>
    <col min="16383" max="16384" width="11.453125" style="69" hidden="1"/>
  </cols>
  <sheetData>
    <row r="1" spans="1:17" s="333" customFormat="1" ht="14.5" x14ac:dyDescent="0.35">
      <c r="A1" s="333">
        <v>1</v>
      </c>
      <c r="B1" s="333">
        <f t="shared" ref="B1:P1" si="0">+A1+1</f>
        <v>2</v>
      </c>
      <c r="C1" s="333">
        <f t="shared" si="0"/>
        <v>3</v>
      </c>
      <c r="D1" s="333">
        <f t="shared" si="0"/>
        <v>4</v>
      </c>
      <c r="E1" s="333">
        <f t="shared" si="0"/>
        <v>5</v>
      </c>
      <c r="F1" s="333">
        <f t="shared" si="0"/>
        <v>6</v>
      </c>
      <c r="G1" s="333">
        <f t="shared" si="0"/>
        <v>7</v>
      </c>
      <c r="H1" s="333">
        <f t="shared" si="0"/>
        <v>8</v>
      </c>
      <c r="I1" s="333">
        <f t="shared" si="0"/>
        <v>9</v>
      </c>
      <c r="J1" s="333">
        <f t="shared" si="0"/>
        <v>10</v>
      </c>
      <c r="K1" s="333">
        <f t="shared" si="0"/>
        <v>11</v>
      </c>
      <c r="L1" s="333">
        <f t="shared" si="0"/>
        <v>12</v>
      </c>
      <c r="M1" s="333">
        <f t="shared" si="0"/>
        <v>13</v>
      </c>
      <c r="N1" s="333">
        <f t="shared" si="0"/>
        <v>14</v>
      </c>
      <c r="O1" s="333">
        <f t="shared" si="0"/>
        <v>15</v>
      </c>
      <c r="P1" s="333">
        <f t="shared" si="0"/>
        <v>16</v>
      </c>
    </row>
    <row r="2" spans="1:17" x14ac:dyDescent="0.35">
      <c r="A2" s="333">
        <f>+A1+1</f>
        <v>2</v>
      </c>
      <c r="P2" s="334"/>
      <c r="Q2" s="334"/>
    </row>
    <row r="3" spans="1:17" x14ac:dyDescent="0.35">
      <c r="A3" s="333">
        <f t="shared" ref="A3:A66" si="1">+A2+1</f>
        <v>3</v>
      </c>
      <c r="B3" s="335" t="s">
        <v>0</v>
      </c>
      <c r="C3" s="336"/>
      <c r="D3" s="58"/>
      <c r="E3" s="302"/>
      <c r="F3" s="337" t="s">
        <v>1</v>
      </c>
      <c r="G3" s="58"/>
      <c r="H3" s="303"/>
      <c r="I3" s="337" t="s">
        <v>2</v>
      </c>
      <c r="J3" s="58"/>
      <c r="K3" s="58"/>
      <c r="L3" s="336"/>
      <c r="M3" s="336"/>
      <c r="N3" s="338"/>
      <c r="O3" s="339"/>
      <c r="P3" s="334"/>
      <c r="Q3" s="334"/>
    </row>
    <row r="4" spans="1:17" x14ac:dyDescent="0.35">
      <c r="A4" s="333">
        <f t="shared" si="1"/>
        <v>4</v>
      </c>
      <c r="B4" s="340"/>
      <c r="C4" s="340"/>
      <c r="E4" s="336"/>
      <c r="F4" s="336"/>
      <c r="G4" s="336"/>
      <c r="H4" s="336"/>
      <c r="I4" s="336"/>
      <c r="J4" s="336"/>
      <c r="K4" s="336"/>
      <c r="L4" s="336"/>
      <c r="M4" s="336"/>
      <c r="N4" s="338"/>
      <c r="O4" s="338"/>
      <c r="P4" s="334"/>
      <c r="Q4" s="334"/>
    </row>
    <row r="5" spans="1:17" ht="29" x14ac:dyDescent="0.35">
      <c r="A5" s="333">
        <f t="shared" si="1"/>
        <v>5</v>
      </c>
      <c r="B5" s="341" t="s">
        <v>3</v>
      </c>
      <c r="C5" s="342" t="s">
        <v>4</v>
      </c>
      <c r="D5" s="341" t="s">
        <v>5</v>
      </c>
      <c r="E5" s="342" t="s">
        <v>6</v>
      </c>
      <c r="F5" s="342" t="s">
        <v>7</v>
      </c>
      <c r="G5" s="343" t="s">
        <v>8</v>
      </c>
      <c r="H5" s="344" t="s">
        <v>9</v>
      </c>
      <c r="I5" s="404" t="s">
        <v>10</v>
      </c>
      <c r="J5" s="405"/>
      <c r="N5" s="345"/>
      <c r="P5" s="334"/>
      <c r="Q5" s="334"/>
    </row>
    <row r="6" spans="1:17" x14ac:dyDescent="0.35">
      <c r="A6" s="333">
        <f t="shared" si="1"/>
        <v>6</v>
      </c>
      <c r="B6" s="310" t="s">
        <v>649</v>
      </c>
      <c r="C6" s="346"/>
      <c r="D6" s="346"/>
      <c r="E6" s="347"/>
      <c r="F6" s="346"/>
      <c r="G6" s="347"/>
      <c r="H6" s="347"/>
      <c r="I6" s="347"/>
      <c r="J6" s="347"/>
      <c r="N6" s="338"/>
      <c r="O6" s="338"/>
      <c r="P6" s="334"/>
      <c r="Q6" s="334"/>
    </row>
    <row r="7" spans="1:17" x14ac:dyDescent="0.35">
      <c r="A7" s="333">
        <f t="shared" si="1"/>
        <v>7</v>
      </c>
      <c r="P7" s="334"/>
      <c r="Q7" s="334"/>
    </row>
    <row r="8" spans="1:17" x14ac:dyDescent="0.35">
      <c r="A8" s="333">
        <f t="shared" si="1"/>
        <v>8</v>
      </c>
      <c r="B8" s="348" t="s">
        <v>13</v>
      </c>
      <c r="C8" s="348"/>
      <c r="D8" s="348"/>
      <c r="E8" s="348"/>
      <c r="F8" s="348"/>
      <c r="G8" s="348"/>
      <c r="H8" s="349"/>
      <c r="I8" s="349"/>
      <c r="J8" s="349"/>
      <c r="K8" s="349"/>
      <c r="L8" s="349"/>
      <c r="M8" s="349"/>
      <c r="N8" s="350"/>
      <c r="O8" s="350"/>
      <c r="P8" s="334"/>
      <c r="Q8" s="334"/>
    </row>
    <row r="9" spans="1:17" x14ac:dyDescent="0.35">
      <c r="A9" s="333">
        <f t="shared" si="1"/>
        <v>9</v>
      </c>
      <c r="P9" s="334"/>
      <c r="Q9" s="334"/>
    </row>
    <row r="10" spans="1:17" x14ac:dyDescent="0.35">
      <c r="A10" s="333">
        <f t="shared" si="1"/>
        <v>10</v>
      </c>
      <c r="C10" s="2"/>
      <c r="D10" s="2" t="s">
        <v>14</v>
      </c>
      <c r="G10" s="2"/>
      <c r="I10" s="56" t="s">
        <v>17</v>
      </c>
      <c r="J10" s="69"/>
      <c r="K10" s="69"/>
      <c r="L10" s="2" t="s">
        <v>18</v>
      </c>
      <c r="M10" s="4"/>
      <c r="P10" s="334"/>
      <c r="Q10" s="334"/>
    </row>
    <row r="11" spans="1:17" ht="18" customHeight="1" x14ac:dyDescent="0.35">
      <c r="A11" s="333">
        <f t="shared" si="1"/>
        <v>11</v>
      </c>
      <c r="D11" s="3" t="s">
        <v>15</v>
      </c>
      <c r="E11" s="28"/>
      <c r="F11" s="1" t="s">
        <v>16</v>
      </c>
      <c r="I11" s="3" t="s">
        <v>19</v>
      </c>
      <c r="J11" s="28"/>
      <c r="K11" s="1" t="s">
        <v>16</v>
      </c>
      <c r="L11" s="5" t="str">
        <f>IF(J11*J12/12=0,"",J11*J12/12)</f>
        <v/>
      </c>
      <c r="M11" s="406" t="s">
        <v>656</v>
      </c>
      <c r="N11" s="406"/>
      <c r="O11" s="406"/>
      <c r="P11" s="334"/>
      <c r="Q11" s="334"/>
    </row>
    <row r="12" spans="1:17" x14ac:dyDescent="0.35">
      <c r="A12" s="333">
        <f t="shared" si="1"/>
        <v>12</v>
      </c>
      <c r="D12" s="3" t="s">
        <v>514</v>
      </c>
      <c r="E12" s="28"/>
      <c r="F12" s="1" t="s">
        <v>16</v>
      </c>
      <c r="I12" s="3" t="str">
        <f>+IF(J11&gt;1,"Tiempo ocupado por verdeo de invierno","")</f>
        <v/>
      </c>
      <c r="J12" s="351"/>
      <c r="K12" s="6" t="str">
        <f>+IF($J$11&gt;1,"meses","")</f>
        <v/>
      </c>
      <c r="L12" s="69"/>
      <c r="M12" s="406"/>
      <c r="N12" s="406"/>
      <c r="O12" s="406"/>
      <c r="P12" s="334"/>
      <c r="Q12" s="334"/>
    </row>
    <row r="13" spans="1:17" ht="18" customHeight="1" x14ac:dyDescent="0.35">
      <c r="A13" s="333">
        <f t="shared" si="1"/>
        <v>13</v>
      </c>
      <c r="I13" s="3" t="s">
        <v>22</v>
      </c>
      <c r="J13" s="28"/>
      <c r="K13" s="1" t="s">
        <v>16</v>
      </c>
      <c r="L13" s="5" t="str">
        <f>IF(J13*J14/12=0,"",J13*J14/12)</f>
        <v/>
      </c>
      <c r="M13" s="406" t="s">
        <v>657</v>
      </c>
      <c r="N13" s="406"/>
      <c r="O13" s="406"/>
      <c r="P13" s="334"/>
      <c r="Q13" s="334"/>
    </row>
    <row r="14" spans="1:17" x14ac:dyDescent="0.35">
      <c r="A14" s="333">
        <f t="shared" si="1"/>
        <v>14</v>
      </c>
      <c r="C14" s="2"/>
      <c r="D14" s="2" t="s">
        <v>21</v>
      </c>
      <c r="I14" s="3" t="str">
        <f>+IF(J13&gt;1,"Tiempo ocupado por verdeo de verano y diferido","")</f>
        <v/>
      </c>
      <c r="J14" s="351"/>
      <c r="K14" s="6" t="str">
        <f>+IF($J$13&gt;1,"meses","")</f>
        <v/>
      </c>
      <c r="L14" s="69"/>
      <c r="M14" s="406"/>
      <c r="N14" s="406"/>
      <c r="O14" s="406"/>
      <c r="P14" s="334"/>
      <c r="Q14" s="334"/>
    </row>
    <row r="15" spans="1:17" ht="18" customHeight="1" x14ac:dyDescent="0.35">
      <c r="A15" s="333">
        <f t="shared" si="1"/>
        <v>15</v>
      </c>
      <c r="D15" s="3" t="s">
        <v>24</v>
      </c>
      <c r="E15" s="28"/>
      <c r="F15" s="1" t="s">
        <v>16</v>
      </c>
      <c r="I15" s="3" t="s">
        <v>26</v>
      </c>
      <c r="J15" s="28"/>
      <c r="K15" s="1" t="s">
        <v>16</v>
      </c>
      <c r="L15" s="5" t="str">
        <f>IF(J15*J16/12=0,"",J15*J16/12)</f>
        <v/>
      </c>
      <c r="M15" s="406" t="s">
        <v>658</v>
      </c>
      <c r="N15" s="406"/>
      <c r="O15" s="406"/>
      <c r="P15" s="334"/>
      <c r="Q15" s="334"/>
    </row>
    <row r="16" spans="1:17" x14ac:dyDescent="0.35">
      <c r="A16" s="333">
        <f t="shared" si="1"/>
        <v>16</v>
      </c>
      <c r="B16" s="8"/>
      <c r="D16" s="7" t="s">
        <v>25</v>
      </c>
      <c r="E16" s="28"/>
      <c r="F16" s="1" t="s">
        <v>16</v>
      </c>
      <c r="I16" s="3" t="str">
        <f>+IF(J15&gt;1,"Tiempo de ocupación de rastrojos y otros  ","")</f>
        <v/>
      </c>
      <c r="J16" s="351"/>
      <c r="K16" s="6" t="str">
        <f>+IF($J$15&gt;1,"meses","")</f>
        <v/>
      </c>
      <c r="L16" s="69"/>
      <c r="M16" s="406"/>
      <c r="N16" s="406"/>
      <c r="O16" s="406"/>
      <c r="P16" s="334"/>
      <c r="Q16" s="334"/>
    </row>
    <row r="17" spans="1:17" x14ac:dyDescent="0.35">
      <c r="A17" s="333">
        <f t="shared" si="1"/>
        <v>17</v>
      </c>
      <c r="D17" s="3" t="s">
        <v>28</v>
      </c>
      <c r="E17" s="28"/>
      <c r="F17" s="1" t="s">
        <v>16</v>
      </c>
      <c r="M17" s="396"/>
      <c r="N17" s="352"/>
      <c r="O17" s="352"/>
      <c r="P17" s="334"/>
      <c r="Q17" s="334"/>
    </row>
    <row r="18" spans="1:17" x14ac:dyDescent="0.35">
      <c r="A18" s="333">
        <f t="shared" si="1"/>
        <v>18</v>
      </c>
      <c r="D18" s="3" t="s">
        <v>29</v>
      </c>
      <c r="E18" s="28"/>
      <c r="F18" s="1" t="s">
        <v>16</v>
      </c>
      <c r="G18" s="10"/>
      <c r="H18" s="11"/>
      <c r="I18" s="57" t="s">
        <v>30</v>
      </c>
      <c r="J18" s="10"/>
      <c r="K18" s="10"/>
      <c r="P18" s="334"/>
      <c r="Q18" s="334"/>
    </row>
    <row r="19" spans="1:17" x14ac:dyDescent="0.35">
      <c r="A19" s="333">
        <f t="shared" si="1"/>
        <v>19</v>
      </c>
      <c r="C19" s="1" t="s">
        <v>9</v>
      </c>
      <c r="D19" s="329"/>
      <c r="E19" s="329"/>
      <c r="F19" s="1" t="s">
        <v>16</v>
      </c>
      <c r="G19" s="10"/>
      <c r="H19" s="10"/>
      <c r="I19" s="7" t="s">
        <v>31</v>
      </c>
      <c r="J19" s="12">
        <f>+SUM(E15:E20,L11,L13,L15)</f>
        <v>0</v>
      </c>
      <c r="K19" s="10" t="s">
        <v>16</v>
      </c>
      <c r="P19" s="334"/>
      <c r="Q19" s="334"/>
    </row>
    <row r="20" spans="1:17" x14ac:dyDescent="0.35">
      <c r="A20" s="333">
        <f t="shared" si="1"/>
        <v>20</v>
      </c>
      <c r="C20" s="1" t="s">
        <v>9</v>
      </c>
      <c r="D20" s="329"/>
      <c r="E20" s="329"/>
      <c r="F20" s="1" t="s">
        <v>16</v>
      </c>
      <c r="G20" s="10"/>
      <c r="H20" s="10"/>
      <c r="I20" s="3" t="s">
        <v>575</v>
      </c>
      <c r="J20" s="353"/>
      <c r="K20" s="3"/>
      <c r="L20" s="8"/>
      <c r="P20" s="334"/>
      <c r="Q20" s="334"/>
    </row>
    <row r="21" spans="1:17" x14ac:dyDescent="0.35">
      <c r="A21" s="333">
        <f t="shared" si="1"/>
        <v>21</v>
      </c>
      <c r="H21" s="311"/>
      <c r="I21" s="7" t="s">
        <v>517</v>
      </c>
      <c r="J21" s="28"/>
      <c r="K21" s="331" t="s">
        <v>515</v>
      </c>
      <c r="L21" s="8"/>
      <c r="P21" s="334"/>
      <c r="Q21" s="334"/>
    </row>
    <row r="22" spans="1:17" x14ac:dyDescent="0.35">
      <c r="A22" s="333">
        <f t="shared" si="1"/>
        <v>22</v>
      </c>
      <c r="G22" s="10"/>
      <c r="H22" s="10"/>
      <c r="I22" s="3"/>
      <c r="J22" s="3"/>
      <c r="K22" s="3"/>
      <c r="L22" s="8"/>
      <c r="P22" s="334"/>
      <c r="Q22" s="334"/>
    </row>
    <row r="23" spans="1:17" x14ac:dyDescent="0.35">
      <c r="A23" s="333">
        <f t="shared" si="1"/>
        <v>23</v>
      </c>
      <c r="G23" s="10"/>
      <c r="H23" s="10"/>
      <c r="I23" s="3"/>
      <c r="J23" s="3"/>
      <c r="K23" s="3"/>
      <c r="L23" s="8"/>
      <c r="P23" s="334"/>
      <c r="Q23" s="334"/>
    </row>
    <row r="24" spans="1:17" x14ac:dyDescent="0.35">
      <c r="A24" s="333">
        <f t="shared" si="1"/>
        <v>24</v>
      </c>
      <c r="B24" s="348" t="s">
        <v>32</v>
      </c>
      <c r="C24" s="348"/>
      <c r="D24" s="348"/>
      <c r="E24" s="348"/>
      <c r="F24" s="348"/>
      <c r="G24" s="348"/>
      <c r="H24" s="349"/>
      <c r="I24" s="349"/>
      <c r="J24" s="349"/>
      <c r="K24" s="349"/>
      <c r="L24" s="349"/>
      <c r="M24" s="349"/>
      <c r="N24" s="350"/>
      <c r="O24" s="350"/>
      <c r="P24" s="334"/>
      <c r="Q24" s="334"/>
    </row>
    <row r="25" spans="1:17" x14ac:dyDescent="0.35">
      <c r="A25" s="333">
        <f t="shared" si="1"/>
        <v>25</v>
      </c>
      <c r="O25" s="13"/>
      <c r="P25" s="334"/>
      <c r="Q25" s="334"/>
    </row>
    <row r="26" spans="1:17" x14ac:dyDescent="0.35">
      <c r="A26" s="333">
        <f t="shared" si="1"/>
        <v>26</v>
      </c>
      <c r="D26" s="3" t="s">
        <v>33</v>
      </c>
      <c r="E26" s="28"/>
      <c r="F26" s="1" t="s">
        <v>34</v>
      </c>
      <c r="J26" s="354" t="s">
        <v>35</v>
      </c>
      <c r="K26" s="69"/>
      <c r="P26" s="334"/>
      <c r="Q26" s="334"/>
    </row>
    <row r="27" spans="1:17" x14ac:dyDescent="0.35">
      <c r="A27" s="333">
        <f t="shared" si="1"/>
        <v>27</v>
      </c>
      <c r="D27" s="3" t="s">
        <v>36</v>
      </c>
      <c r="E27" s="28"/>
      <c r="F27" s="1" t="s">
        <v>34</v>
      </c>
      <c r="J27" s="67" t="str">
        <f>+IFERROR(E28/J19,"")</f>
        <v/>
      </c>
      <c r="K27" s="1" t="s">
        <v>187</v>
      </c>
      <c r="P27" s="334"/>
      <c r="Q27" s="334"/>
    </row>
    <row r="28" spans="1:17" x14ac:dyDescent="0.35">
      <c r="A28" s="333">
        <f t="shared" si="1"/>
        <v>28</v>
      </c>
      <c r="D28" s="3" t="s">
        <v>40</v>
      </c>
      <c r="E28" s="28"/>
      <c r="F28" s="1" t="s">
        <v>41</v>
      </c>
      <c r="J28" s="68" t="str">
        <f>+IFERROR(E28/(E31),"")</f>
        <v/>
      </c>
      <c r="K28" s="1" t="s">
        <v>516</v>
      </c>
      <c r="P28" s="334"/>
      <c r="Q28" s="334"/>
    </row>
    <row r="29" spans="1:17" x14ac:dyDescent="0.35">
      <c r="A29" s="333">
        <f t="shared" si="1"/>
        <v>29</v>
      </c>
      <c r="J29" s="68" t="str">
        <f>+IFERROR(E32/J19,"")</f>
        <v/>
      </c>
      <c r="K29" s="15" t="s">
        <v>186</v>
      </c>
      <c r="P29" s="334"/>
      <c r="Q29" s="334"/>
    </row>
    <row r="30" spans="1:17" x14ac:dyDescent="0.35">
      <c r="A30" s="333">
        <f t="shared" si="1"/>
        <v>30</v>
      </c>
      <c r="D30" s="3" t="s">
        <v>37</v>
      </c>
      <c r="E30" s="353"/>
      <c r="F30" s="1" t="s">
        <v>38</v>
      </c>
      <c r="J30" s="355" t="str">
        <f>+IFERROR(E28/E32,"")</f>
        <v/>
      </c>
      <c r="K30" s="6" t="s">
        <v>39</v>
      </c>
      <c r="P30" s="334"/>
      <c r="Q30" s="334"/>
    </row>
    <row r="31" spans="1:17" x14ac:dyDescent="0.35">
      <c r="A31" s="333">
        <f t="shared" si="1"/>
        <v>31</v>
      </c>
      <c r="D31" s="7" t="s">
        <v>43</v>
      </c>
      <c r="E31" s="28"/>
      <c r="F31" s="16" t="s">
        <v>518</v>
      </c>
      <c r="J31" s="356" t="str">
        <f>+IFERROR(E28/E33,"")</f>
        <v/>
      </c>
      <c r="K31" s="15" t="s">
        <v>42</v>
      </c>
      <c r="P31" s="334"/>
      <c r="Q31" s="334"/>
    </row>
    <row r="32" spans="1:17" x14ac:dyDescent="0.35">
      <c r="A32" s="333">
        <f t="shared" si="1"/>
        <v>32</v>
      </c>
      <c r="D32" s="3" t="s">
        <v>43</v>
      </c>
      <c r="E32" s="28"/>
      <c r="F32" s="1" t="s">
        <v>41</v>
      </c>
      <c r="M32" s="69"/>
      <c r="P32" s="334"/>
      <c r="Q32" s="334"/>
    </row>
    <row r="33" spans="1:17" ht="17.25" customHeight="1" x14ac:dyDescent="0.35">
      <c r="A33" s="333">
        <f t="shared" si="1"/>
        <v>33</v>
      </c>
      <c r="D33" s="14" t="s">
        <v>44</v>
      </c>
      <c r="E33" s="390"/>
      <c r="M33" s="69"/>
      <c r="P33" s="334"/>
      <c r="Q33" s="334"/>
    </row>
    <row r="34" spans="1:17" x14ac:dyDescent="0.35">
      <c r="A34" s="333">
        <f t="shared" si="1"/>
        <v>34</v>
      </c>
      <c r="P34" s="334"/>
      <c r="Q34" s="334"/>
    </row>
    <row r="35" spans="1:17" x14ac:dyDescent="0.35">
      <c r="A35" s="333">
        <f t="shared" si="1"/>
        <v>35</v>
      </c>
      <c r="B35" s="348" t="s">
        <v>45</v>
      </c>
      <c r="C35" s="348"/>
      <c r="D35" s="348"/>
      <c r="E35" s="348"/>
      <c r="F35" s="348"/>
      <c r="G35" s="348"/>
      <c r="H35" s="349"/>
      <c r="I35" s="349"/>
      <c r="J35" s="349"/>
      <c r="K35" s="349"/>
      <c r="L35" s="349"/>
      <c r="M35" s="349"/>
      <c r="N35" s="350"/>
      <c r="O35" s="350"/>
      <c r="P35" s="334"/>
      <c r="Q35" s="334"/>
    </row>
    <row r="36" spans="1:17" outlineLevel="1" x14ac:dyDescent="0.35">
      <c r="A36" s="333">
        <f t="shared" si="1"/>
        <v>36</v>
      </c>
      <c r="B36" s="8"/>
      <c r="C36" s="8"/>
      <c r="D36" s="17"/>
      <c r="E36" s="8"/>
      <c r="P36" s="334"/>
      <c r="Q36" s="334"/>
    </row>
    <row r="37" spans="1:17" outlineLevel="1" x14ac:dyDescent="0.35">
      <c r="A37" s="333">
        <f t="shared" si="1"/>
        <v>37</v>
      </c>
      <c r="G37" s="358">
        <v>2015</v>
      </c>
      <c r="H37" s="358">
        <f>+G37+1</f>
        <v>2016</v>
      </c>
      <c r="I37" s="358">
        <f>+H37+1</f>
        <v>2017</v>
      </c>
      <c r="P37" s="334"/>
      <c r="Q37" s="334"/>
    </row>
    <row r="38" spans="1:17" outlineLevel="1" x14ac:dyDescent="0.35">
      <c r="A38" s="333">
        <f t="shared" si="1"/>
        <v>38</v>
      </c>
      <c r="G38" s="359" t="s">
        <v>46</v>
      </c>
      <c r="H38" s="360" t="s">
        <v>47</v>
      </c>
      <c r="I38" s="361" t="s">
        <v>48</v>
      </c>
      <c r="P38" s="334"/>
      <c r="Q38" s="334"/>
    </row>
    <row r="39" spans="1:17" outlineLevel="1" x14ac:dyDescent="0.35">
      <c r="A39" s="333">
        <f t="shared" si="1"/>
        <v>39</v>
      </c>
      <c r="G39" s="362"/>
      <c r="H39" s="363" t="s">
        <v>46</v>
      </c>
      <c r="I39" s="364" t="s">
        <v>47</v>
      </c>
      <c r="M39" s="18"/>
      <c r="N39" s="79"/>
      <c r="P39" s="334"/>
      <c r="Q39" s="334"/>
    </row>
    <row r="40" spans="1:17" outlineLevel="1" x14ac:dyDescent="0.35">
      <c r="A40" s="333">
        <f t="shared" si="1"/>
        <v>40</v>
      </c>
      <c r="C40" s="19" t="s">
        <v>49</v>
      </c>
      <c r="D40" s="16"/>
      <c r="P40" s="334"/>
      <c r="Q40" s="334"/>
    </row>
    <row r="41" spans="1:17" outlineLevel="1" x14ac:dyDescent="0.35">
      <c r="A41" s="333">
        <f t="shared" si="1"/>
        <v>41</v>
      </c>
      <c r="C41" s="16"/>
      <c r="D41" s="7" t="s">
        <v>632</v>
      </c>
      <c r="E41" s="391"/>
      <c r="F41" s="1" t="s">
        <v>38</v>
      </c>
      <c r="N41" s="1"/>
      <c r="O41" s="1"/>
      <c r="P41" s="334"/>
      <c r="Q41" s="334"/>
    </row>
    <row r="42" spans="1:17" outlineLevel="1" x14ac:dyDescent="0.35">
      <c r="A42" s="333">
        <f t="shared" si="1"/>
        <v>42</v>
      </c>
      <c r="C42" s="16"/>
      <c r="D42" s="7" t="s">
        <v>633</v>
      </c>
      <c r="E42" s="28"/>
      <c r="F42" s="1" t="s">
        <v>34</v>
      </c>
      <c r="N42" s="1"/>
      <c r="O42" s="1"/>
      <c r="P42" s="334"/>
      <c r="Q42" s="334"/>
    </row>
    <row r="43" spans="1:17" outlineLevel="1" x14ac:dyDescent="0.35">
      <c r="A43" s="333">
        <f t="shared" si="1"/>
        <v>43</v>
      </c>
      <c r="C43" s="20"/>
      <c r="D43" s="20"/>
      <c r="E43" s="21"/>
      <c r="F43" s="21"/>
      <c r="G43" s="21"/>
      <c r="H43" s="21"/>
      <c r="I43" s="21"/>
      <c r="J43" s="21"/>
      <c r="K43" s="21"/>
      <c r="L43" s="21"/>
      <c r="M43" s="21"/>
      <c r="N43" s="21"/>
      <c r="O43" s="1"/>
      <c r="P43" s="334"/>
      <c r="Q43" s="334"/>
    </row>
    <row r="44" spans="1:17" outlineLevel="1" x14ac:dyDescent="0.35">
      <c r="A44" s="333">
        <f t="shared" si="1"/>
        <v>44</v>
      </c>
      <c r="C44" s="19" t="s">
        <v>50</v>
      </c>
      <c r="K44" s="22"/>
      <c r="N44" s="1"/>
      <c r="O44" s="1"/>
      <c r="P44" s="334"/>
      <c r="Q44" s="334"/>
    </row>
    <row r="45" spans="1:17" outlineLevel="1" x14ac:dyDescent="0.35">
      <c r="A45" s="333">
        <f t="shared" si="1"/>
        <v>45</v>
      </c>
      <c r="C45" s="19"/>
      <c r="D45" s="3" t="s">
        <v>634</v>
      </c>
      <c r="E45" s="391"/>
      <c r="F45" s="1" t="s">
        <v>38</v>
      </c>
      <c r="N45" s="1"/>
      <c r="O45" s="1"/>
      <c r="P45" s="334"/>
      <c r="Q45" s="334"/>
    </row>
    <row r="46" spans="1:17" outlineLevel="1" x14ac:dyDescent="0.35">
      <c r="A46" s="333">
        <f t="shared" si="1"/>
        <v>46</v>
      </c>
      <c r="D46" s="3" t="s">
        <v>635</v>
      </c>
      <c r="E46" s="28"/>
      <c r="F46" s="1" t="s">
        <v>34</v>
      </c>
      <c r="N46" s="1"/>
      <c r="O46" s="1"/>
      <c r="P46" s="334"/>
      <c r="Q46" s="334"/>
    </row>
    <row r="47" spans="1:17" outlineLevel="1" x14ac:dyDescent="0.35">
      <c r="A47" s="333">
        <f t="shared" si="1"/>
        <v>47</v>
      </c>
      <c r="C47" s="21"/>
      <c r="D47" s="23"/>
      <c r="E47" s="23"/>
      <c r="F47" s="23"/>
      <c r="G47" s="23"/>
      <c r="H47" s="23"/>
      <c r="I47" s="23"/>
      <c r="J47" s="21"/>
      <c r="K47" s="21"/>
      <c r="L47" s="21"/>
      <c r="M47" s="21"/>
      <c r="N47" s="21"/>
      <c r="O47" s="1"/>
      <c r="P47" s="334"/>
      <c r="Q47" s="334"/>
    </row>
    <row r="48" spans="1:17" outlineLevel="1" x14ac:dyDescent="0.35">
      <c r="A48" s="333">
        <f t="shared" si="1"/>
        <v>48</v>
      </c>
      <c r="C48" s="2" t="s">
        <v>636</v>
      </c>
      <c r="D48" s="3"/>
      <c r="E48" s="3"/>
      <c r="F48" s="3"/>
      <c r="G48" s="3"/>
      <c r="H48" s="3"/>
      <c r="I48" s="3"/>
      <c r="J48" s="3"/>
      <c r="K48" s="3"/>
      <c r="N48" s="1"/>
      <c r="O48" s="1"/>
      <c r="P48" s="334"/>
      <c r="Q48" s="334"/>
    </row>
    <row r="49" spans="1:17" outlineLevel="1" x14ac:dyDescent="0.35">
      <c r="A49" s="333">
        <f t="shared" si="1"/>
        <v>49</v>
      </c>
      <c r="C49" s="2"/>
      <c r="D49" s="7" t="s">
        <v>637</v>
      </c>
      <c r="E49" s="392" t="str">
        <f>IF(E41*E42=0,"",IF(E45*E46=0,"",(E41*(E42/(E42+E46)))+(E45*(E46/(E46+E42)))))</f>
        <v/>
      </c>
      <c r="F49" s="6"/>
      <c r="G49" s="3"/>
      <c r="H49" s="3"/>
      <c r="I49" s="3"/>
      <c r="J49" s="3"/>
      <c r="K49" s="3"/>
      <c r="P49" s="334"/>
      <c r="Q49" s="334"/>
    </row>
    <row r="50" spans="1:17" outlineLevel="1" x14ac:dyDescent="0.35">
      <c r="A50" s="333">
        <f t="shared" si="1"/>
        <v>50</v>
      </c>
      <c r="C50" s="2"/>
      <c r="D50" s="7"/>
      <c r="E50" s="7"/>
      <c r="F50" s="3"/>
      <c r="G50" s="3"/>
      <c r="H50" s="3"/>
      <c r="I50" s="3"/>
      <c r="J50" s="21"/>
      <c r="K50" s="21"/>
      <c r="L50" s="21"/>
      <c r="M50" s="21"/>
      <c r="N50" s="21"/>
      <c r="O50" s="3"/>
      <c r="P50" s="334"/>
      <c r="Q50" s="334"/>
    </row>
    <row r="51" spans="1:17" outlineLevel="1" x14ac:dyDescent="0.35">
      <c r="A51" s="333">
        <f t="shared" si="1"/>
        <v>51</v>
      </c>
      <c r="C51" s="24" t="s">
        <v>512</v>
      </c>
      <c r="D51" s="25"/>
      <c r="E51" s="25"/>
      <c r="F51" s="26"/>
      <c r="G51" s="26"/>
      <c r="H51" s="26"/>
      <c r="I51" s="26"/>
      <c r="J51" s="26"/>
      <c r="K51" s="26"/>
      <c r="P51" s="334"/>
      <c r="Q51" s="334"/>
    </row>
    <row r="52" spans="1:17" outlineLevel="1" x14ac:dyDescent="0.35">
      <c r="A52" s="333">
        <f t="shared" si="1"/>
        <v>52</v>
      </c>
      <c r="C52" s="2"/>
      <c r="D52" s="7" t="s">
        <v>639</v>
      </c>
      <c r="E52" s="391"/>
      <c r="F52" s="1" t="s">
        <v>38</v>
      </c>
      <c r="G52" s="3"/>
      <c r="I52" s="3" t="s">
        <v>638</v>
      </c>
      <c r="J52" s="353"/>
      <c r="K52" s="1" t="s">
        <v>38</v>
      </c>
      <c r="P52" s="334"/>
      <c r="Q52" s="334"/>
    </row>
    <row r="53" spans="1:17" outlineLevel="1" x14ac:dyDescent="0.35">
      <c r="A53" s="333">
        <f t="shared" si="1"/>
        <v>53</v>
      </c>
      <c r="C53" s="16"/>
      <c r="D53" s="7" t="s">
        <v>640</v>
      </c>
      <c r="E53" s="391"/>
      <c r="F53" s="1" t="s">
        <v>38</v>
      </c>
      <c r="G53" s="8" t="str">
        <f>+IF(E53="","",IF(E52&gt;E53,"ERROR! No puede ser el destete mayor a la preñez",""))</f>
        <v/>
      </c>
      <c r="I53" s="14" t="s">
        <v>51</v>
      </c>
      <c r="J53" s="365"/>
      <c r="K53" s="1" t="s">
        <v>52</v>
      </c>
      <c r="P53" s="334"/>
      <c r="Q53" s="334"/>
    </row>
    <row r="54" spans="1:17" outlineLevel="1" x14ac:dyDescent="0.35">
      <c r="A54" s="333">
        <f t="shared" si="1"/>
        <v>54</v>
      </c>
      <c r="C54" s="16"/>
      <c r="D54" s="7" t="s">
        <v>643</v>
      </c>
      <c r="E54" s="367"/>
      <c r="H54" s="3"/>
      <c r="I54" s="3" t="s">
        <v>642</v>
      </c>
      <c r="J54" s="353"/>
      <c r="K54" s="1" t="s">
        <v>38</v>
      </c>
      <c r="P54" s="334"/>
      <c r="Q54" s="334"/>
    </row>
    <row r="55" spans="1:17" outlineLevel="1" x14ac:dyDescent="0.35">
      <c r="A55" s="333">
        <f t="shared" si="1"/>
        <v>55</v>
      </c>
      <c r="C55" s="16"/>
      <c r="D55" s="7" t="s">
        <v>641</v>
      </c>
      <c r="E55" s="367"/>
      <c r="F55" s="1" t="s">
        <v>34</v>
      </c>
      <c r="H55" s="3"/>
      <c r="P55" s="334"/>
      <c r="Q55" s="334"/>
    </row>
    <row r="56" spans="1:17" outlineLevel="1" x14ac:dyDescent="0.35">
      <c r="A56" s="333">
        <f t="shared" si="1"/>
        <v>56</v>
      </c>
      <c r="I56" s="2" t="s">
        <v>645</v>
      </c>
      <c r="J56" s="2" t="s">
        <v>646</v>
      </c>
      <c r="P56" s="334"/>
      <c r="Q56" s="334"/>
    </row>
    <row r="57" spans="1:17" outlineLevel="1" x14ac:dyDescent="0.35">
      <c r="A57" s="333">
        <f t="shared" si="1"/>
        <v>57</v>
      </c>
      <c r="D57" s="3" t="s">
        <v>58</v>
      </c>
      <c r="E57" s="28"/>
      <c r="F57" s="1" t="s">
        <v>59</v>
      </c>
      <c r="H57" s="3" t="s">
        <v>647</v>
      </c>
      <c r="I57" s="389"/>
      <c r="J57" s="366"/>
      <c r="P57" s="334"/>
      <c r="Q57" s="334"/>
    </row>
    <row r="58" spans="1:17" outlineLevel="1" x14ac:dyDescent="0.35">
      <c r="A58" s="333">
        <f t="shared" si="1"/>
        <v>58</v>
      </c>
      <c r="D58" s="3" t="s">
        <v>644</v>
      </c>
      <c r="E58" s="28"/>
      <c r="H58" s="3" t="s">
        <v>648</v>
      </c>
      <c r="I58" s="389"/>
      <c r="J58" s="366"/>
      <c r="P58" s="334"/>
      <c r="Q58" s="334"/>
    </row>
    <row r="59" spans="1:17" outlineLevel="1" x14ac:dyDescent="0.35">
      <c r="A59" s="333">
        <f t="shared" si="1"/>
        <v>59</v>
      </c>
      <c r="F59" s="27"/>
      <c r="G59" s="27"/>
      <c r="P59" s="334"/>
      <c r="Q59" s="334"/>
    </row>
    <row r="60" spans="1:17" outlineLevel="1" x14ac:dyDescent="0.35">
      <c r="A60" s="333">
        <f t="shared" si="1"/>
        <v>60</v>
      </c>
      <c r="C60" s="59" t="s">
        <v>192</v>
      </c>
      <c r="D60" s="27"/>
      <c r="E60" s="18" t="s">
        <v>189</v>
      </c>
      <c r="F60" s="18" t="s">
        <v>190</v>
      </c>
      <c r="G60" s="18" t="s">
        <v>191</v>
      </c>
      <c r="H60" s="18" t="s">
        <v>113</v>
      </c>
      <c r="I60" s="18" t="s">
        <v>193</v>
      </c>
      <c r="P60" s="334"/>
      <c r="Q60" s="334"/>
    </row>
    <row r="61" spans="1:17" outlineLevel="1" x14ac:dyDescent="0.35">
      <c r="A61" s="333">
        <f t="shared" si="1"/>
        <v>61</v>
      </c>
      <c r="D61" s="3" t="s">
        <v>188</v>
      </c>
      <c r="E61" s="28"/>
      <c r="F61" s="28"/>
      <c r="G61" s="28"/>
      <c r="H61" s="28"/>
      <c r="I61" s="28"/>
      <c r="P61" s="334"/>
      <c r="Q61" s="334"/>
    </row>
    <row r="62" spans="1:17" x14ac:dyDescent="0.35">
      <c r="A62" s="333">
        <f t="shared" si="1"/>
        <v>62</v>
      </c>
      <c r="P62" s="334"/>
      <c r="Q62" s="334"/>
    </row>
    <row r="63" spans="1:17" x14ac:dyDescent="0.35">
      <c r="A63" s="333">
        <f t="shared" si="1"/>
        <v>63</v>
      </c>
      <c r="B63" s="348" t="s">
        <v>60</v>
      </c>
      <c r="C63" s="348"/>
      <c r="D63" s="348"/>
      <c r="E63" s="348"/>
      <c r="F63" s="348"/>
      <c r="G63" s="348"/>
      <c r="H63" s="349"/>
      <c r="I63" s="349"/>
      <c r="J63" s="349"/>
      <c r="K63" s="349"/>
      <c r="L63" s="349"/>
      <c r="M63" s="349"/>
      <c r="N63" s="350"/>
      <c r="O63" s="350"/>
      <c r="P63" s="334"/>
      <c r="Q63" s="334"/>
    </row>
    <row r="64" spans="1:17" outlineLevel="2" x14ac:dyDescent="0.35">
      <c r="A64" s="333">
        <f t="shared" si="1"/>
        <v>64</v>
      </c>
      <c r="B64" s="8"/>
      <c r="C64" s="354" t="s">
        <v>513</v>
      </c>
      <c r="D64" s="17"/>
      <c r="E64" s="8"/>
      <c r="L64" s="368"/>
      <c r="M64" s="368"/>
      <c r="N64" s="369"/>
      <c r="O64" s="369"/>
      <c r="P64" s="334"/>
      <c r="Q64" s="334"/>
    </row>
    <row r="65" spans="1:17" outlineLevel="2" x14ac:dyDescent="0.35">
      <c r="A65" s="333">
        <f t="shared" si="1"/>
        <v>65</v>
      </c>
      <c r="C65" s="370" t="s">
        <v>574</v>
      </c>
      <c r="N65" s="1"/>
      <c r="P65" s="334"/>
      <c r="Q65" s="334"/>
    </row>
    <row r="66" spans="1:17" outlineLevel="2" x14ac:dyDescent="0.35">
      <c r="A66" s="333">
        <f t="shared" si="1"/>
        <v>66</v>
      </c>
      <c r="N66" s="1"/>
      <c r="O66" s="1"/>
      <c r="P66" s="334"/>
      <c r="Q66" s="334"/>
    </row>
    <row r="67" spans="1:17" outlineLevel="2" x14ac:dyDescent="0.35">
      <c r="A67" s="333">
        <f t="shared" ref="A67:A130" si="2">+A66+1</f>
        <v>67</v>
      </c>
      <c r="C67" s="60"/>
      <c r="D67" s="60" t="s">
        <v>61</v>
      </c>
      <c r="H67" s="29" t="s">
        <v>567</v>
      </c>
      <c r="I67" s="29"/>
      <c r="N67" s="1"/>
      <c r="O67" s="1"/>
      <c r="P67" s="334"/>
      <c r="Q67" s="334"/>
    </row>
    <row r="68" spans="1:17" outlineLevel="2" x14ac:dyDescent="0.35">
      <c r="A68" s="333">
        <f t="shared" si="2"/>
        <v>68</v>
      </c>
      <c r="D68" s="3" t="s">
        <v>40</v>
      </c>
      <c r="E68" s="28"/>
      <c r="F68" s="1" t="s">
        <v>41</v>
      </c>
      <c r="I68" s="3" t="s">
        <v>40</v>
      </c>
      <c r="J68" s="28"/>
      <c r="K68" s="1" t="s">
        <v>41</v>
      </c>
      <c r="O68" s="1"/>
      <c r="P68" s="334"/>
      <c r="Q68" s="334"/>
    </row>
    <row r="69" spans="1:17" outlineLevel="2" x14ac:dyDescent="0.35">
      <c r="A69" s="333">
        <f t="shared" si="2"/>
        <v>69</v>
      </c>
      <c r="D69" s="3"/>
      <c r="I69" s="3"/>
      <c r="P69" s="334"/>
      <c r="Q69" s="334"/>
    </row>
    <row r="70" spans="1:17" outlineLevel="2" x14ac:dyDescent="0.35">
      <c r="A70" s="333">
        <f t="shared" si="2"/>
        <v>70</v>
      </c>
      <c r="D70" s="7" t="s">
        <v>43</v>
      </c>
      <c r="E70" s="28"/>
      <c r="F70" s="16" t="s">
        <v>518</v>
      </c>
      <c r="I70" s="7" t="s">
        <v>43</v>
      </c>
      <c r="J70" s="28"/>
      <c r="K70" s="16" t="s">
        <v>518</v>
      </c>
      <c r="P70" s="334"/>
      <c r="Q70" s="334"/>
    </row>
    <row r="71" spans="1:17" outlineLevel="2" x14ac:dyDescent="0.35">
      <c r="A71" s="333">
        <f t="shared" si="2"/>
        <v>71</v>
      </c>
      <c r="D71" s="3" t="s">
        <v>43</v>
      </c>
      <c r="E71" s="28"/>
      <c r="F71" s="1" t="s">
        <v>41</v>
      </c>
      <c r="I71" s="3" t="s">
        <v>43</v>
      </c>
      <c r="J71" s="28"/>
      <c r="K71" s="1" t="s">
        <v>41</v>
      </c>
      <c r="P71" s="334"/>
      <c r="Q71" s="334"/>
    </row>
    <row r="72" spans="1:17" outlineLevel="2" x14ac:dyDescent="0.35">
      <c r="A72" s="333">
        <f t="shared" si="2"/>
        <v>72</v>
      </c>
      <c r="D72" s="371" t="s">
        <v>194</v>
      </c>
      <c r="E72" s="357"/>
      <c r="F72" s="1" t="s">
        <v>62</v>
      </c>
      <c r="I72" s="371" t="s">
        <v>194</v>
      </c>
      <c r="J72" s="357"/>
      <c r="K72" s="1" t="s">
        <v>62</v>
      </c>
      <c r="P72" s="334"/>
      <c r="Q72" s="334"/>
    </row>
    <row r="73" spans="1:17" outlineLevel="2" x14ac:dyDescent="0.35">
      <c r="A73" s="333">
        <f t="shared" si="2"/>
        <v>73</v>
      </c>
      <c r="D73" s="372" t="s">
        <v>68</v>
      </c>
      <c r="E73" s="373" t="e">
        <f>+E68/E70/365</f>
        <v>#DIV/0!</v>
      </c>
      <c r="F73" s="1" t="s">
        <v>69</v>
      </c>
      <c r="I73" s="372" t="s">
        <v>68</v>
      </c>
      <c r="J73" s="373" t="e">
        <f>+J68/J70/365</f>
        <v>#DIV/0!</v>
      </c>
      <c r="K73" s="1" t="s">
        <v>69</v>
      </c>
      <c r="P73" s="334"/>
      <c r="Q73" s="334"/>
    </row>
    <row r="74" spans="1:17" outlineLevel="2" x14ac:dyDescent="0.35">
      <c r="A74" s="333">
        <f t="shared" si="2"/>
        <v>74</v>
      </c>
      <c r="D74" s="372" t="s">
        <v>39</v>
      </c>
      <c r="E74" s="373" t="e">
        <f>E68/E71</f>
        <v>#DIV/0!</v>
      </c>
      <c r="I74" s="372" t="s">
        <v>39</v>
      </c>
      <c r="J74" s="373" t="e">
        <f>+J68/J71</f>
        <v>#DIV/0!</v>
      </c>
      <c r="P74" s="334"/>
      <c r="Q74" s="334"/>
    </row>
    <row r="75" spans="1:17" outlineLevel="2" x14ac:dyDescent="0.35">
      <c r="A75" s="333">
        <f t="shared" si="2"/>
        <v>75</v>
      </c>
      <c r="D75" s="14" t="s">
        <v>519</v>
      </c>
      <c r="E75" s="374" t="e">
        <f>+E68/E70</f>
        <v>#DIV/0!</v>
      </c>
      <c r="I75" s="14" t="s">
        <v>519</v>
      </c>
      <c r="J75" s="374" t="e">
        <f>+J68/J70</f>
        <v>#DIV/0!</v>
      </c>
      <c r="P75" s="334"/>
      <c r="Q75" s="334"/>
    </row>
    <row r="76" spans="1:17" outlineLevel="2" x14ac:dyDescent="0.35">
      <c r="A76" s="333">
        <f t="shared" si="2"/>
        <v>76</v>
      </c>
      <c r="P76" s="334"/>
      <c r="Q76" s="334"/>
    </row>
    <row r="77" spans="1:17" outlineLevel="2" x14ac:dyDescent="0.35">
      <c r="A77" s="333">
        <f t="shared" si="2"/>
        <v>77</v>
      </c>
      <c r="C77" s="308" t="s">
        <v>573</v>
      </c>
      <c r="H77" s="308" t="s">
        <v>572</v>
      </c>
      <c r="P77" s="334"/>
      <c r="Q77" s="334"/>
    </row>
    <row r="78" spans="1:17" outlineLevel="2" x14ac:dyDescent="0.35">
      <c r="A78" s="333">
        <f t="shared" si="2"/>
        <v>78</v>
      </c>
      <c r="C78" s="309" t="s">
        <v>565</v>
      </c>
      <c r="H78" s="309" t="s">
        <v>565</v>
      </c>
      <c r="P78" s="334"/>
      <c r="Q78" s="334"/>
    </row>
    <row r="79" spans="1:17" outlineLevel="2" x14ac:dyDescent="0.35">
      <c r="A79" s="333">
        <f t="shared" si="2"/>
        <v>79</v>
      </c>
      <c r="D79" s="1" t="s">
        <v>522</v>
      </c>
      <c r="E79" s="375"/>
      <c r="I79" s="1" t="s">
        <v>522</v>
      </c>
      <c r="J79" s="375"/>
      <c r="P79" s="334"/>
      <c r="Q79" s="334"/>
    </row>
    <row r="80" spans="1:17" outlineLevel="2" x14ac:dyDescent="0.35">
      <c r="A80" s="333">
        <f t="shared" si="2"/>
        <v>80</v>
      </c>
      <c r="I80" s="14" t="s">
        <v>566</v>
      </c>
      <c r="J80" s="28"/>
      <c r="P80" s="334"/>
      <c r="Q80" s="334"/>
    </row>
    <row r="81" spans="1:17" outlineLevel="2" x14ac:dyDescent="0.35">
      <c r="A81" s="333">
        <f t="shared" si="2"/>
        <v>81</v>
      </c>
      <c r="D81" s="1" t="s">
        <v>520</v>
      </c>
      <c r="E81" s="28"/>
      <c r="F81" s="1" t="s">
        <v>59</v>
      </c>
      <c r="I81" s="1" t="s">
        <v>520</v>
      </c>
      <c r="J81" s="28"/>
      <c r="K81" s="1" t="s">
        <v>59</v>
      </c>
      <c r="P81" s="334"/>
      <c r="Q81" s="334"/>
    </row>
    <row r="82" spans="1:17" outlineLevel="2" x14ac:dyDescent="0.35">
      <c r="A82" s="333">
        <f t="shared" si="2"/>
        <v>82</v>
      </c>
      <c r="D82" s="1" t="s">
        <v>521</v>
      </c>
      <c r="E82" s="28"/>
      <c r="F82" s="1" t="s">
        <v>59</v>
      </c>
      <c r="I82" s="1" t="s">
        <v>521</v>
      </c>
      <c r="J82" s="28"/>
      <c r="K82" s="1" t="s">
        <v>59</v>
      </c>
      <c r="P82" s="334"/>
      <c r="Q82" s="334"/>
    </row>
    <row r="83" spans="1:17" outlineLevel="2" x14ac:dyDescent="0.35">
      <c r="A83" s="333">
        <f t="shared" si="2"/>
        <v>83</v>
      </c>
      <c r="D83" s="372" t="s">
        <v>523</v>
      </c>
      <c r="E83" s="376"/>
      <c r="I83" s="372" t="s">
        <v>523</v>
      </c>
      <c r="J83" s="376"/>
      <c r="P83" s="334"/>
      <c r="Q83" s="334"/>
    </row>
    <row r="84" spans="1:17" outlineLevel="2" x14ac:dyDescent="0.35">
      <c r="A84" s="333">
        <f t="shared" si="2"/>
        <v>84</v>
      </c>
      <c r="D84" s="372" t="s">
        <v>66</v>
      </c>
      <c r="E84" s="377"/>
      <c r="F84" s="1" t="s">
        <v>67</v>
      </c>
      <c r="I84" s="372" t="s">
        <v>66</v>
      </c>
      <c r="J84" s="377"/>
      <c r="K84" s="1" t="s">
        <v>67</v>
      </c>
      <c r="P84" s="334"/>
      <c r="Q84" s="334"/>
    </row>
    <row r="85" spans="1:17" outlineLevel="2" x14ac:dyDescent="0.35">
      <c r="A85" s="333">
        <f t="shared" si="2"/>
        <v>85</v>
      </c>
      <c r="D85" s="378"/>
      <c r="E85" s="3"/>
      <c r="F85" s="379"/>
      <c r="G85" s="16"/>
      <c r="H85" s="16"/>
      <c r="I85" s="16"/>
      <c r="J85" s="7"/>
      <c r="K85" s="379"/>
      <c r="P85" s="334"/>
      <c r="Q85" s="334"/>
    </row>
    <row r="86" spans="1:17" x14ac:dyDescent="0.35">
      <c r="A86" s="333">
        <f t="shared" si="2"/>
        <v>86</v>
      </c>
      <c r="B86" s="348" t="s">
        <v>70</v>
      </c>
      <c r="C86" s="348"/>
      <c r="D86" s="348"/>
      <c r="E86" s="348"/>
      <c r="F86" s="348"/>
      <c r="G86" s="348"/>
      <c r="H86" s="349"/>
      <c r="I86" s="349"/>
      <c r="J86" s="349"/>
      <c r="K86" s="349"/>
      <c r="L86" s="349"/>
      <c r="M86" s="349"/>
      <c r="N86" s="350"/>
      <c r="O86" s="350"/>
      <c r="P86" s="334"/>
      <c r="Q86" s="334"/>
    </row>
    <row r="87" spans="1:17" outlineLevel="1" x14ac:dyDescent="0.35">
      <c r="A87" s="333">
        <f t="shared" si="2"/>
        <v>87</v>
      </c>
      <c r="B87" s="8"/>
      <c r="C87" s="354" t="s">
        <v>71</v>
      </c>
      <c r="D87" s="17"/>
      <c r="E87" s="8"/>
      <c r="F87" s="380"/>
      <c r="G87" s="380"/>
      <c r="H87" s="368"/>
      <c r="I87" s="368"/>
      <c r="J87" s="368"/>
      <c r="K87" s="368"/>
      <c r="L87" s="368"/>
      <c r="M87" s="368"/>
      <c r="N87" s="369"/>
      <c r="O87" s="369"/>
      <c r="P87" s="334"/>
      <c r="Q87" s="334"/>
    </row>
    <row r="88" spans="1:17" outlineLevel="1" x14ac:dyDescent="0.35">
      <c r="A88" s="333">
        <f t="shared" si="2"/>
        <v>88</v>
      </c>
      <c r="B88" s="380"/>
      <c r="D88" s="380"/>
      <c r="E88" s="380"/>
      <c r="F88" s="380"/>
      <c r="G88" s="380"/>
      <c r="H88" s="368"/>
      <c r="I88" s="368"/>
      <c r="J88" s="368"/>
      <c r="K88" s="368"/>
      <c r="L88" s="368"/>
      <c r="M88" s="368"/>
      <c r="N88" s="369"/>
      <c r="O88" s="369"/>
      <c r="P88" s="334"/>
      <c r="Q88" s="334"/>
    </row>
    <row r="89" spans="1:17" outlineLevel="1" x14ac:dyDescent="0.35">
      <c r="A89" s="333">
        <f t="shared" si="2"/>
        <v>89</v>
      </c>
      <c r="B89" s="380"/>
      <c r="C89" s="354"/>
      <c r="D89" s="380"/>
      <c r="E89" s="380"/>
      <c r="F89" s="380"/>
      <c r="G89" s="381" t="s">
        <v>72</v>
      </c>
      <c r="H89" s="382"/>
      <c r="I89" s="368"/>
      <c r="J89" s="368"/>
      <c r="K89" s="368"/>
      <c r="L89" s="368"/>
      <c r="M89" s="368"/>
      <c r="N89" s="369"/>
      <c r="O89" s="369"/>
      <c r="P89" s="334"/>
    </row>
    <row r="90" spans="1:17" outlineLevel="1" x14ac:dyDescent="0.35">
      <c r="A90" s="333">
        <f t="shared" si="2"/>
        <v>90</v>
      </c>
      <c r="B90" s="380"/>
      <c r="C90" s="354" t="s">
        <v>661</v>
      </c>
      <c r="D90" s="380"/>
      <c r="E90" s="380"/>
      <c r="F90" s="380"/>
      <c r="G90" s="381" t="s">
        <v>73</v>
      </c>
      <c r="H90" s="383"/>
      <c r="I90" s="368"/>
      <c r="J90" s="368"/>
      <c r="K90" s="368"/>
      <c r="L90" s="368"/>
      <c r="M90" s="368"/>
      <c r="N90" s="369"/>
      <c r="O90" s="369"/>
      <c r="P90" s="334"/>
    </row>
    <row r="91" spans="1:17" outlineLevel="1" x14ac:dyDescent="0.35">
      <c r="A91" s="333">
        <f t="shared" si="2"/>
        <v>91</v>
      </c>
      <c r="P91" s="334"/>
    </row>
    <row r="92" spans="1:17" outlineLevel="1" x14ac:dyDescent="0.35">
      <c r="A92" s="333">
        <f t="shared" si="2"/>
        <v>92</v>
      </c>
      <c r="D92" s="29" t="s">
        <v>74</v>
      </c>
      <c r="G92" s="30"/>
      <c r="H92" s="31"/>
      <c r="I92" s="29" t="s">
        <v>75</v>
      </c>
      <c r="P92" s="334"/>
    </row>
    <row r="93" spans="1:17" outlineLevel="1" x14ac:dyDescent="0.35">
      <c r="A93" s="333">
        <f t="shared" si="2"/>
        <v>93</v>
      </c>
      <c r="D93" s="371"/>
      <c r="G93" s="30"/>
      <c r="H93" s="31"/>
      <c r="P93" s="334"/>
    </row>
    <row r="94" spans="1:17" outlineLevel="1" x14ac:dyDescent="0.35">
      <c r="A94" s="333">
        <f t="shared" si="2"/>
        <v>94</v>
      </c>
      <c r="D94" s="372" t="s">
        <v>63</v>
      </c>
      <c r="E94" s="28"/>
      <c r="F94" s="1" t="s">
        <v>64</v>
      </c>
      <c r="G94" s="30"/>
      <c r="I94" s="3" t="s">
        <v>40</v>
      </c>
      <c r="J94" s="28"/>
      <c r="K94" s="1" t="s">
        <v>41</v>
      </c>
      <c r="M94" s="10"/>
      <c r="P94" s="334"/>
    </row>
    <row r="95" spans="1:17" ht="18" customHeight="1" outlineLevel="1" x14ac:dyDescent="0.35">
      <c r="A95" s="333">
        <f t="shared" si="2"/>
        <v>95</v>
      </c>
      <c r="D95" s="3"/>
      <c r="E95" s="3"/>
      <c r="G95" s="30"/>
      <c r="I95" s="3"/>
      <c r="M95" s="10"/>
      <c r="P95" s="334"/>
    </row>
    <row r="96" spans="1:17" outlineLevel="1" x14ac:dyDescent="0.35">
      <c r="A96" s="333">
        <f t="shared" si="2"/>
        <v>96</v>
      </c>
      <c r="D96" s="14" t="s">
        <v>519</v>
      </c>
      <c r="E96" s="28"/>
      <c r="F96" s="1" t="s">
        <v>655</v>
      </c>
      <c r="G96" s="30"/>
      <c r="I96" s="14" t="s">
        <v>519</v>
      </c>
      <c r="J96" s="28"/>
      <c r="K96" s="16" t="s">
        <v>518</v>
      </c>
      <c r="M96" s="10"/>
      <c r="P96" s="334"/>
    </row>
    <row r="97" spans="1:17 16382:16382" outlineLevel="1" x14ac:dyDescent="0.35">
      <c r="A97" s="333">
        <f t="shared" si="2"/>
        <v>97</v>
      </c>
      <c r="D97" s="372" t="s">
        <v>660</v>
      </c>
      <c r="E97" s="397"/>
      <c r="F97" s="1" t="s">
        <v>69</v>
      </c>
      <c r="G97" s="30"/>
      <c r="I97" s="372" t="s">
        <v>660</v>
      </c>
      <c r="J97" s="397"/>
      <c r="K97" s="1" t="s">
        <v>41</v>
      </c>
      <c r="P97" s="334"/>
    </row>
    <row r="98" spans="1:17 16382:16382" outlineLevel="1" x14ac:dyDescent="0.35">
      <c r="A98" s="333">
        <f t="shared" si="2"/>
        <v>98</v>
      </c>
      <c r="D98" s="371" t="s">
        <v>194</v>
      </c>
      <c r="E98" s="357"/>
      <c r="F98" s="1" t="s">
        <v>62</v>
      </c>
      <c r="G98" s="30"/>
      <c r="I98" s="371" t="s">
        <v>194</v>
      </c>
      <c r="J98" s="357"/>
      <c r="K98" s="1" t="s">
        <v>62</v>
      </c>
      <c r="P98" s="334"/>
    </row>
    <row r="99" spans="1:17 16382:16382" outlineLevel="1" x14ac:dyDescent="0.35">
      <c r="A99" s="333">
        <f t="shared" si="2"/>
        <v>99</v>
      </c>
      <c r="D99" s="372" t="s">
        <v>76</v>
      </c>
      <c r="E99" s="357"/>
      <c r="F99" s="1" t="s">
        <v>77</v>
      </c>
      <c r="G99" s="30"/>
      <c r="I99" s="372" t="s">
        <v>76</v>
      </c>
      <c r="J99" s="357"/>
      <c r="K99" s="1" t="s">
        <v>77</v>
      </c>
      <c r="P99" s="334"/>
    </row>
    <row r="100" spans="1:17 16382:16382" outlineLevel="1" x14ac:dyDescent="0.35">
      <c r="A100" s="333">
        <f t="shared" si="2"/>
        <v>100</v>
      </c>
      <c r="D100" s="372"/>
      <c r="E100" s="372"/>
      <c r="F100" s="372"/>
      <c r="G100" s="30"/>
      <c r="P100" s="334"/>
    </row>
    <row r="101" spans="1:17 16382:16382" outlineLevel="1" x14ac:dyDescent="0.35">
      <c r="A101" s="333">
        <f t="shared" si="2"/>
        <v>101</v>
      </c>
      <c r="C101" s="10"/>
      <c r="D101" s="14" t="s">
        <v>551</v>
      </c>
      <c r="E101" s="393" t="e">
        <f>+E99/E94</f>
        <v>#DIV/0!</v>
      </c>
      <c r="F101" s="372"/>
      <c r="G101" s="30"/>
      <c r="I101" s="14" t="s">
        <v>551</v>
      </c>
      <c r="J101" s="393" t="e">
        <f>+J99/J94</f>
        <v>#DIV/0!</v>
      </c>
      <c r="P101" s="334"/>
    </row>
    <row r="102" spans="1:17 16382:16382" outlineLevel="1" x14ac:dyDescent="0.35">
      <c r="A102" s="333">
        <f t="shared" si="2"/>
        <v>102</v>
      </c>
      <c r="D102" s="372"/>
      <c r="G102" s="30"/>
      <c r="P102" s="334"/>
    </row>
    <row r="103" spans="1:17 16382:16382" outlineLevel="1" x14ac:dyDescent="0.35">
      <c r="A103" s="333">
        <f t="shared" si="2"/>
        <v>103</v>
      </c>
      <c r="G103" s="30"/>
      <c r="P103" s="334"/>
    </row>
    <row r="104" spans="1:17 16382:16382" outlineLevel="1" x14ac:dyDescent="0.35">
      <c r="A104" s="333">
        <f t="shared" si="2"/>
        <v>104</v>
      </c>
      <c r="D104" s="308" t="s">
        <v>563</v>
      </c>
      <c r="G104" s="30"/>
      <c r="P104" s="334"/>
    </row>
    <row r="105" spans="1:17 16382:16382" outlineLevel="1" x14ac:dyDescent="0.35">
      <c r="A105" s="333">
        <f t="shared" si="2"/>
        <v>105</v>
      </c>
      <c r="C105" s="309" t="s">
        <v>564</v>
      </c>
      <c r="D105" s="308"/>
      <c r="G105" s="30"/>
      <c r="I105" s="308" t="s">
        <v>568</v>
      </c>
      <c r="P105" s="334"/>
    </row>
    <row r="106" spans="1:17 16382:16382" outlineLevel="2" x14ac:dyDescent="0.35">
      <c r="A106" s="333">
        <f t="shared" si="2"/>
        <v>106</v>
      </c>
      <c r="B106" s="309"/>
      <c r="G106" s="30"/>
      <c r="H106" s="1" t="s">
        <v>564</v>
      </c>
      <c r="P106" s="334"/>
      <c r="Q106" s="334"/>
    </row>
    <row r="107" spans="1:17 16382:16382" outlineLevel="1" x14ac:dyDescent="0.35">
      <c r="A107" s="333">
        <f t="shared" si="2"/>
        <v>107</v>
      </c>
      <c r="D107" s="1" t="s">
        <v>522</v>
      </c>
      <c r="E107" s="375"/>
      <c r="G107" s="30"/>
      <c r="I107" s="1" t="s">
        <v>522</v>
      </c>
      <c r="J107" s="375"/>
      <c r="P107" s="334"/>
      <c r="XFB107" s="1"/>
    </row>
    <row r="108" spans="1:17 16382:16382" outlineLevel="1" x14ac:dyDescent="0.35">
      <c r="A108" s="333">
        <f t="shared" si="2"/>
        <v>108</v>
      </c>
      <c r="G108" s="30"/>
      <c r="I108" s="14" t="s">
        <v>566</v>
      </c>
      <c r="J108" s="28"/>
      <c r="P108" s="334"/>
      <c r="XFB108" s="1"/>
    </row>
    <row r="109" spans="1:17 16382:16382" outlineLevel="1" x14ac:dyDescent="0.35">
      <c r="A109" s="333">
        <f t="shared" si="2"/>
        <v>109</v>
      </c>
      <c r="D109" s="1" t="s">
        <v>520</v>
      </c>
      <c r="E109" s="28"/>
      <c r="F109" s="1" t="s">
        <v>59</v>
      </c>
      <c r="G109" s="30"/>
      <c r="I109" s="1" t="s">
        <v>520</v>
      </c>
      <c r="J109" s="28"/>
      <c r="K109" s="1" t="s">
        <v>59</v>
      </c>
      <c r="P109" s="334"/>
    </row>
    <row r="110" spans="1:17 16382:16382" outlineLevel="1" x14ac:dyDescent="0.35">
      <c r="A110" s="333">
        <f t="shared" si="2"/>
        <v>110</v>
      </c>
      <c r="D110" s="1" t="s">
        <v>521</v>
      </c>
      <c r="E110" s="28"/>
      <c r="F110" s="1" t="s">
        <v>59</v>
      </c>
      <c r="G110" s="30"/>
      <c r="I110" s="1" t="s">
        <v>521</v>
      </c>
      <c r="J110" s="28"/>
      <c r="K110" s="1" t="s">
        <v>59</v>
      </c>
      <c r="P110" s="334"/>
    </row>
    <row r="111" spans="1:17 16382:16382" ht="15" customHeight="1" outlineLevel="1" x14ac:dyDescent="0.35">
      <c r="A111" s="333">
        <f t="shared" si="2"/>
        <v>111</v>
      </c>
      <c r="G111" s="30"/>
      <c r="P111" s="334"/>
    </row>
    <row r="112" spans="1:17 16382:16382" ht="15" customHeight="1" outlineLevel="1" x14ac:dyDescent="0.35">
      <c r="A112" s="333">
        <f t="shared" si="2"/>
        <v>112</v>
      </c>
      <c r="C112" s="10"/>
      <c r="D112" s="384" t="s">
        <v>540</v>
      </c>
      <c r="E112" s="1" t="s">
        <v>67</v>
      </c>
      <c r="G112" s="30"/>
      <c r="I112" s="384" t="s">
        <v>540</v>
      </c>
      <c r="J112" s="1" t="s">
        <v>67</v>
      </c>
      <c r="P112" s="334"/>
    </row>
    <row r="113" spans="1:16" outlineLevel="1" x14ac:dyDescent="0.35">
      <c r="A113" s="333">
        <f t="shared" si="2"/>
        <v>113</v>
      </c>
      <c r="D113" s="372" t="s">
        <v>78</v>
      </c>
      <c r="E113" s="385"/>
      <c r="G113" s="30"/>
      <c r="I113" s="372" t="s">
        <v>78</v>
      </c>
      <c r="J113" s="385"/>
      <c r="P113" s="334"/>
    </row>
    <row r="114" spans="1:16" outlineLevel="1" x14ac:dyDescent="0.35">
      <c r="A114" s="333">
        <f t="shared" si="2"/>
        <v>114</v>
      </c>
      <c r="D114" s="14" t="s">
        <v>79</v>
      </c>
      <c r="E114" s="385"/>
      <c r="G114" s="30"/>
      <c r="I114" s="14" t="s">
        <v>79</v>
      </c>
      <c r="J114" s="385"/>
      <c r="P114" s="334"/>
    </row>
    <row r="115" spans="1:16" outlineLevel="1" x14ac:dyDescent="0.35">
      <c r="A115" s="333">
        <f t="shared" si="2"/>
        <v>115</v>
      </c>
      <c r="D115" s="14" t="s">
        <v>80</v>
      </c>
      <c r="E115" s="385"/>
      <c r="G115" s="30"/>
      <c r="I115" s="14" t="s">
        <v>80</v>
      </c>
      <c r="J115" s="385"/>
      <c r="P115" s="334"/>
    </row>
    <row r="116" spans="1:16" outlineLevel="1" x14ac:dyDescent="0.35">
      <c r="A116" s="333">
        <f t="shared" si="2"/>
        <v>116</v>
      </c>
      <c r="D116" s="14" t="s">
        <v>81</v>
      </c>
      <c r="E116" s="385"/>
      <c r="G116" s="30"/>
      <c r="I116" s="14" t="s">
        <v>81</v>
      </c>
      <c r="J116" s="385"/>
      <c r="P116" s="334"/>
    </row>
    <row r="117" spans="1:16" outlineLevel="1" x14ac:dyDescent="0.35">
      <c r="A117" s="333">
        <f t="shared" si="2"/>
        <v>117</v>
      </c>
      <c r="D117" s="14" t="s">
        <v>82</v>
      </c>
      <c r="E117" s="385"/>
      <c r="G117" s="30"/>
      <c r="I117" s="14" t="s">
        <v>82</v>
      </c>
      <c r="J117" s="385"/>
      <c r="P117" s="334"/>
    </row>
    <row r="118" spans="1:16" outlineLevel="1" x14ac:dyDescent="0.35">
      <c r="A118" s="333">
        <f t="shared" si="2"/>
        <v>118</v>
      </c>
      <c r="D118" s="14" t="s">
        <v>83</v>
      </c>
      <c r="E118" s="385"/>
      <c r="G118" s="30"/>
      <c r="H118" s="31"/>
      <c r="I118" s="14" t="s">
        <v>83</v>
      </c>
      <c r="J118" s="385"/>
      <c r="P118" s="334"/>
    </row>
    <row r="119" spans="1:16" outlineLevel="1" x14ac:dyDescent="0.35">
      <c r="A119" s="333">
        <f t="shared" si="2"/>
        <v>119</v>
      </c>
      <c r="G119" s="33"/>
      <c r="P119" s="334"/>
    </row>
    <row r="120" spans="1:16" outlineLevel="1" x14ac:dyDescent="0.35">
      <c r="A120" s="333">
        <f t="shared" si="2"/>
        <v>120</v>
      </c>
      <c r="C120" s="2"/>
      <c r="D120" s="386" t="s">
        <v>84</v>
      </c>
      <c r="E120" s="387" t="str">
        <f>IFERROR(E94/(E94+E68),"")</f>
        <v/>
      </c>
      <c r="G120" s="33"/>
      <c r="I120" s="386" t="s">
        <v>85</v>
      </c>
      <c r="J120" s="387" t="str">
        <f>IFERROR(J94/(J94+J68),"")</f>
        <v/>
      </c>
      <c r="M120" s="16"/>
      <c r="N120" s="1"/>
      <c r="P120" s="334"/>
    </row>
    <row r="121" spans="1:16" outlineLevel="1" x14ac:dyDescent="0.35">
      <c r="A121" s="333">
        <f t="shared" si="2"/>
        <v>121</v>
      </c>
      <c r="D121" s="386" t="s">
        <v>86</v>
      </c>
      <c r="E121" s="388" t="str">
        <f>IF(E120="","",1-E120)</f>
        <v/>
      </c>
      <c r="G121" s="33"/>
      <c r="I121" s="386" t="s">
        <v>87</v>
      </c>
      <c r="J121" s="388" t="str">
        <f>IF(J120="","",1-J120)</f>
        <v/>
      </c>
      <c r="M121" s="16"/>
      <c r="N121" s="1"/>
      <c r="P121" s="334"/>
    </row>
    <row r="122" spans="1:16" outlineLevel="1" x14ac:dyDescent="0.35">
      <c r="A122" s="333">
        <f t="shared" si="2"/>
        <v>122</v>
      </c>
      <c r="G122" s="33"/>
      <c r="M122" s="16"/>
      <c r="N122" s="1"/>
      <c r="P122" s="334"/>
    </row>
    <row r="123" spans="1:16" outlineLevel="1" x14ac:dyDescent="0.35">
      <c r="A123" s="333">
        <f t="shared" si="2"/>
        <v>123</v>
      </c>
      <c r="E123" s="378"/>
      <c r="F123" s="16"/>
      <c r="G123" s="16"/>
      <c r="J123" s="378"/>
      <c r="K123" s="16"/>
      <c r="L123" s="378"/>
      <c r="M123" s="16"/>
      <c r="N123" s="1"/>
      <c r="P123" s="334"/>
    </row>
    <row r="124" spans="1:16" x14ac:dyDescent="0.35">
      <c r="A124" s="333">
        <f t="shared" si="2"/>
        <v>124</v>
      </c>
      <c r="C124" s="403" t="s">
        <v>552</v>
      </c>
      <c r="D124" s="403"/>
      <c r="E124" s="403"/>
      <c r="F124" s="403"/>
      <c r="G124" s="403"/>
      <c r="H124" s="403"/>
      <c r="I124" s="403"/>
      <c r="J124" s="403"/>
      <c r="K124" s="403"/>
      <c r="L124" s="403"/>
      <c r="M124" s="403"/>
      <c r="N124" s="403"/>
      <c r="P124" s="334"/>
    </row>
    <row r="125" spans="1:16" x14ac:dyDescent="0.35">
      <c r="A125" s="333">
        <f t="shared" si="2"/>
        <v>125</v>
      </c>
      <c r="C125" s="401"/>
      <c r="D125" s="401"/>
      <c r="E125" s="401"/>
      <c r="F125" s="401"/>
      <c r="G125" s="401"/>
      <c r="H125" s="401"/>
      <c r="I125" s="401"/>
      <c r="J125" s="401"/>
      <c r="K125" s="401"/>
      <c r="L125" s="401"/>
      <c r="M125" s="401"/>
      <c r="N125" s="401"/>
      <c r="P125" s="334"/>
    </row>
    <row r="126" spans="1:16" x14ac:dyDescent="0.35">
      <c r="A126" s="333">
        <f t="shared" si="2"/>
        <v>126</v>
      </c>
      <c r="C126" s="402"/>
      <c r="D126" s="402"/>
      <c r="E126" s="402"/>
      <c r="F126" s="402"/>
      <c r="G126" s="402"/>
      <c r="H126" s="402"/>
      <c r="I126" s="402"/>
      <c r="J126" s="402"/>
      <c r="K126" s="402"/>
      <c r="L126" s="402"/>
      <c r="M126" s="402"/>
      <c r="N126" s="402"/>
      <c r="P126" s="334"/>
    </row>
    <row r="127" spans="1:16" x14ac:dyDescent="0.35">
      <c r="A127" s="333">
        <f t="shared" si="2"/>
        <v>127</v>
      </c>
      <c r="C127" s="402"/>
      <c r="D127" s="402"/>
      <c r="E127" s="402"/>
      <c r="F127" s="402"/>
      <c r="G127" s="402"/>
      <c r="H127" s="402"/>
      <c r="I127" s="402"/>
      <c r="J127" s="402"/>
      <c r="K127" s="402"/>
      <c r="L127" s="402"/>
      <c r="M127" s="402"/>
      <c r="N127" s="402"/>
      <c r="P127" s="334"/>
    </row>
    <row r="128" spans="1:16" x14ac:dyDescent="0.35">
      <c r="A128" s="333">
        <f t="shared" si="2"/>
        <v>128</v>
      </c>
      <c r="C128" s="402"/>
      <c r="D128" s="402"/>
      <c r="E128" s="402"/>
      <c r="F128" s="402"/>
      <c r="G128" s="402"/>
      <c r="H128" s="402"/>
      <c r="I128" s="402"/>
      <c r="J128" s="402"/>
      <c r="K128" s="402"/>
      <c r="L128" s="402"/>
      <c r="M128" s="402"/>
      <c r="N128" s="402"/>
      <c r="P128" s="334"/>
    </row>
    <row r="129" spans="1:16" x14ac:dyDescent="0.35">
      <c r="A129" s="333">
        <f t="shared" si="2"/>
        <v>129</v>
      </c>
      <c r="C129" s="402"/>
      <c r="D129" s="402"/>
      <c r="E129" s="402"/>
      <c r="F129" s="402"/>
      <c r="G129" s="402"/>
      <c r="H129" s="402"/>
      <c r="I129" s="402"/>
      <c r="J129" s="402"/>
      <c r="K129" s="402"/>
      <c r="L129" s="402"/>
      <c r="M129" s="402"/>
      <c r="N129" s="402"/>
      <c r="P129" s="334"/>
    </row>
    <row r="130" spans="1:16" x14ac:dyDescent="0.35">
      <c r="A130" s="333">
        <f t="shared" si="2"/>
        <v>130</v>
      </c>
      <c r="C130" s="402"/>
      <c r="D130" s="402"/>
      <c r="E130" s="402"/>
      <c r="F130" s="402"/>
      <c r="G130" s="402"/>
      <c r="H130" s="402"/>
      <c r="I130" s="402"/>
      <c r="J130" s="402"/>
      <c r="K130" s="402"/>
      <c r="L130" s="402"/>
      <c r="M130" s="402"/>
      <c r="N130" s="402"/>
      <c r="P130" s="334"/>
    </row>
    <row r="131" spans="1:16" x14ac:dyDescent="0.35">
      <c r="A131" s="333">
        <f t="shared" ref="A131:O135" si="3">+A130+1</f>
        <v>131</v>
      </c>
      <c r="C131" s="402"/>
      <c r="D131" s="402"/>
      <c r="E131" s="402"/>
      <c r="F131" s="402"/>
      <c r="G131" s="402"/>
      <c r="H131" s="402"/>
      <c r="I131" s="402"/>
      <c r="J131" s="402"/>
      <c r="K131" s="402"/>
      <c r="L131" s="402"/>
      <c r="M131" s="402"/>
      <c r="N131" s="402"/>
      <c r="P131" s="334"/>
    </row>
    <row r="132" spans="1:16" x14ac:dyDescent="0.35">
      <c r="A132" s="333">
        <f t="shared" si="3"/>
        <v>132</v>
      </c>
      <c r="C132" s="402"/>
      <c r="D132" s="402"/>
      <c r="E132" s="402"/>
      <c r="F132" s="402"/>
      <c r="G132" s="402"/>
      <c r="H132" s="402"/>
      <c r="I132" s="402"/>
      <c r="J132" s="402"/>
      <c r="K132" s="402"/>
      <c r="L132" s="402"/>
      <c r="M132" s="402"/>
      <c r="N132" s="402"/>
      <c r="P132" s="334"/>
    </row>
    <row r="133" spans="1:16" x14ac:dyDescent="0.35">
      <c r="A133" s="333">
        <f t="shared" si="3"/>
        <v>133</v>
      </c>
      <c r="P133" s="334"/>
    </row>
    <row r="134" spans="1:16" ht="14.5" x14ac:dyDescent="0.35">
      <c r="A134" s="333">
        <f t="shared" si="3"/>
        <v>134</v>
      </c>
      <c r="B134" s="333">
        <f t="shared" si="3"/>
        <v>1</v>
      </c>
      <c r="C134" s="333">
        <f t="shared" si="3"/>
        <v>1</v>
      </c>
      <c r="D134" s="333">
        <f t="shared" si="3"/>
        <v>1</v>
      </c>
      <c r="E134" s="333">
        <f t="shared" si="3"/>
        <v>1</v>
      </c>
      <c r="F134" s="333">
        <f t="shared" si="3"/>
        <v>1</v>
      </c>
      <c r="G134" s="333">
        <f t="shared" si="3"/>
        <v>1</v>
      </c>
      <c r="H134" s="333">
        <f t="shared" si="3"/>
        <v>1</v>
      </c>
      <c r="I134" s="333">
        <f t="shared" si="3"/>
        <v>1</v>
      </c>
      <c r="J134" s="333">
        <f t="shared" si="3"/>
        <v>1</v>
      </c>
      <c r="K134" s="333">
        <f t="shared" si="3"/>
        <v>1</v>
      </c>
      <c r="L134" s="333">
        <f t="shared" si="3"/>
        <v>1</v>
      </c>
      <c r="M134" s="333">
        <f t="shared" si="3"/>
        <v>1</v>
      </c>
      <c r="N134" s="333">
        <f t="shared" si="3"/>
        <v>1</v>
      </c>
      <c r="O134" s="333">
        <f t="shared" si="3"/>
        <v>1</v>
      </c>
      <c r="P134" s="334"/>
    </row>
    <row r="135" spans="1:16" ht="14.5" x14ac:dyDescent="0.35">
      <c r="A135" s="333">
        <f t="shared" si="3"/>
        <v>135</v>
      </c>
      <c r="B135" s="333">
        <f t="shared" si="3"/>
        <v>2</v>
      </c>
      <c r="C135" s="333">
        <f t="shared" si="3"/>
        <v>2</v>
      </c>
      <c r="D135" s="333">
        <f t="shared" si="3"/>
        <v>2</v>
      </c>
      <c r="E135" s="333">
        <f t="shared" si="3"/>
        <v>2</v>
      </c>
      <c r="F135" s="333">
        <f t="shared" si="3"/>
        <v>2</v>
      </c>
      <c r="G135" s="333">
        <f t="shared" si="3"/>
        <v>2</v>
      </c>
      <c r="H135" s="333">
        <f t="shared" si="3"/>
        <v>2</v>
      </c>
      <c r="I135" s="333">
        <f t="shared" si="3"/>
        <v>2</v>
      </c>
      <c r="J135" s="333">
        <f t="shared" si="3"/>
        <v>2</v>
      </c>
      <c r="K135" s="333">
        <f t="shared" si="3"/>
        <v>2</v>
      </c>
      <c r="L135" s="333">
        <f t="shared" si="3"/>
        <v>2</v>
      </c>
      <c r="M135" s="333">
        <f t="shared" si="3"/>
        <v>2</v>
      </c>
      <c r="N135" s="333">
        <f t="shared" si="3"/>
        <v>2</v>
      </c>
      <c r="O135" s="333">
        <f t="shared" si="3"/>
        <v>2</v>
      </c>
      <c r="P135" s="334"/>
    </row>
  </sheetData>
  <sheetProtection sheet="1" objects="1" scenarios="1" selectLockedCells="1"/>
  <protectedRanges>
    <protectedRange sqref="G37" name="Rango1"/>
  </protectedRanges>
  <dataConsolidate/>
  <mergeCells count="6">
    <mergeCell ref="C125:N132"/>
    <mergeCell ref="I5:J5"/>
    <mergeCell ref="M11:O12"/>
    <mergeCell ref="M13:O14"/>
    <mergeCell ref="M15:O16"/>
    <mergeCell ref="C124:N124"/>
  </mergeCells>
  <conditionalFormatting sqref="J12">
    <cfRule type="expression" dxfId="23" priority="3">
      <formula>$J$11&gt;1</formula>
    </cfRule>
  </conditionalFormatting>
  <conditionalFormatting sqref="J14">
    <cfRule type="expression" dxfId="22" priority="2">
      <formula>$J$13&gt;1</formula>
    </cfRule>
  </conditionalFormatting>
  <conditionalFormatting sqref="J16">
    <cfRule type="expression" dxfId="21" priority="1">
      <formula>$J$15&gt;1</formula>
    </cfRule>
  </conditionalFormatting>
  <dataValidations count="62">
    <dataValidation allowBlank="1" showInputMessage="1" showErrorMessage="1" prompt="Aumento diario de peso vivo promedio" sqref="J97 E97"/>
    <dataValidation allowBlank="1" showErrorMessage="1" prompt="Kilos de materia seca ofrecidos en total" sqref="E96 J96"/>
    <dataValidation allowBlank="1" showInputMessage="1" showErrorMessage="1" prompt="Stock medio en terminación: promedio de los valores de stock mensual en kilos totales para el ejercicio." sqref="J71"/>
    <dataValidation allowBlank="1" showInputMessage="1" showErrorMessage="1" prompt="Stock medio en terminación: promedio de los valores de stock mensual en cabezas para el ejercicio." sqref="J70"/>
    <dataValidation allowBlank="1" showInputMessage="1" showErrorMessage="1" prompt="Stock medio en recría: promedio de los valores de stock mensual en kilos totales para el ejercicio." sqref="E71"/>
    <dataValidation allowBlank="1" showInputMessage="1" showErrorMessage="1" prompt="Promedio de los valores de stock mensual en cabezas para el ejercicio (incluye corrales). Los terneros al pie de la madre se deben contabilizar para el cálculo de carga." sqref="E31"/>
    <dataValidation allowBlank="1" showInputMessage="1" showErrorMessage="1" prompt="Promedio de los valores de stock mensual en kg para el ejercicio (incluye corrales). Los terneros al pie de la madre se deben contabilizar como stock para el cálculo de carga." sqref="E32"/>
    <dataValidation allowBlank="1" showInputMessage="1" showErrorMessage="1" prompt="Kilos de materia seca ofrecidos en los corrales de terminación." sqref="J99"/>
    <dataValidation allowBlank="1" showInputMessage="1" showErrorMessage="1" prompt="Kilos de materia seca ofrecidos en los corrales de recría" sqref="E99"/>
    <dataValidation type="list" allowBlank="1" showInputMessage="1" showErrorMessage="1" prompt="Edad promedio al destete '17. Si hubo diferentes destetes, poner una edad promedio. Si merece aclaraciones, anotarlas en observaciones. " sqref="E58">
      <formula1>Destete</formula1>
    </dataValidation>
    <dataValidation type="list" allowBlank="1" showInputMessage="1" showErrorMessage="1" prompt="% de la dieta en MS suplementada" sqref="E84 J84">
      <formula1>supl</formula1>
    </dataValidation>
    <dataValidation allowBlank="1" showInputMessage="1" showErrorMessage="1" prompt="Tiempo promedio de la terminación. Si hay distintos lotes/rodeos, poner la duración ponderada." sqref="J72 J98"/>
    <dataValidation allowBlank="1" showInputMessage="1" showErrorMessage="1" prompt="Tiempo promedio de la recría. Si hay distintos lotes/rodeos, poner la duración ponderada." sqref="E72 E98"/>
    <dataValidation allowBlank="1" showInputMessage="1" showErrorMessage="1" prompt="Si la empresa tiene más de un establecimiento, llenar una planilla por cada campo." sqref="D6"/>
    <dataValidation allowBlank="1" showInputMessage="1" showErrorMessage="1" prompt="Superficie en en ganadería con aptitud agrícola (clase I a IV) propias y alquiladas." sqref="J20"/>
    <dataValidation type="list" allowBlank="1" showInputMessage="1" showErrorMessage="1" sqref="J80 J108">
      <formula1>sino</formula1>
    </dataValidation>
    <dataValidation type="list" allowBlank="1" showInputMessage="1" showErrorMessage="1" sqref="E115:E118 E113 J115:J118 J113">
      <formula1>Dieta</formula1>
    </dataValidation>
    <dataValidation type="list" allowBlank="1" showInputMessage="1" showErrorMessage="1" sqref="E114 J114">
      <formula1>CC</formula1>
    </dataValidation>
    <dataValidation allowBlank="1" showInputMessage="1" showErrorMessage="1" prompt="Stock medio en recría: promedio de los valores de stock mensual en cabezas para el ejercicio." sqref="E70"/>
    <dataValidation type="list" allowBlank="1" showInputMessage="1" showErrorMessage="1" sqref="E82 E110">
      <formula1>PSR</formula1>
    </dataValidation>
    <dataValidation type="list" allowBlank="1" showInputMessage="1" showErrorMessage="1" sqref="E81 E109">
      <formula1>PER</formula1>
    </dataValidation>
    <dataValidation type="list" allowBlank="1" showInputMessage="1" showErrorMessage="1" sqref="J82 J110">
      <formula1>PST</formula1>
    </dataValidation>
    <dataValidation type="list" allowBlank="1" showInputMessage="1" showErrorMessage="1" sqref="J81 J109">
      <formula1>PET</formula1>
    </dataValidation>
    <dataValidation type="list" allowBlank="1" showInputMessage="1" showErrorMessage="1" sqref="E79 J79 J107 E107">
      <formula1>MH</formula1>
    </dataValidation>
    <dataValidation allowBlank="1" showInputMessage="1" showErrorMessage="1" prompt="Ingrese un valor estimativo promedio de venta de la hectárea donde está realizando la ganadería." sqref="J21"/>
    <dataValidation allowBlank="1" showInputMessage="1" showErrorMessage="1" prompt="Capacidad máxima instantanea" sqref="H89"/>
    <dataValidation type="list" allowBlank="1" showInputMessage="1" showErrorMessage="1" prompt="Servicio '15_x000a_" sqref="I57">
      <formula1>fechaservicio</formula1>
    </dataValidation>
    <dataValidation allowBlank="1" showInputMessage="1" showErrorMessage="1" prompt="Peso medio de destete '17" sqref="E57"/>
    <dataValidation allowBlank="1" showInputMessage="1" showErrorMessage="1" prompt="% de vacas inseminadas en la campaña vacas Inseminadas/Vacas en Servicio)" sqref="J52"/>
    <dataValidation allowBlank="1" showInputMessage="1" showErrorMessage="1" prompt="% de vaquillonas inseminadas en la campaña (Vaquillona Inseminadas/Vaquillonas en Servicio)" sqref="J54"/>
    <dataValidation type="list" allowBlank="1" showInputMessage="1" showErrorMessage="1" sqref="J53">
      <formula1>edadservicio</formula1>
    </dataValidation>
    <dataValidation type="list" allowBlank="1" showInputMessage="1" showErrorMessage="1" prompt="Región donde se encuentra el establecimiento, independientemente del CREA al que pertenezca el establecimiento." sqref="F6">
      <formula1>Crea</formula1>
    </dataValidation>
    <dataValidation type="list" allowBlank="1" showErrorMessage="1" sqref="E61:I61">
      <formula1>cruz</formula1>
    </dataValidation>
    <dataValidation allowBlank="1" showInputMessage="1" showErrorMessage="1" prompt="Vacas preñadas 17´sobre vacas entoradas servicio 16´" sqref="E41"/>
    <dataValidation allowBlank="1" showInputMessage="1" showErrorMessage="1" prompt="Este indicador no debe ser tenido en cuenta en producciones a corral" sqref="J27 J29"/>
    <dataValidation allowBlank="1" showInputMessage="1" showErrorMessage="1" prompt="Incluye vacas y vaquillonas" sqref="E54:E55"/>
    <dataValidation allowBlank="1" showInputMessage="1" showErrorMessage="1" prompt="Ponderar en función de la cantidad de tiempo que se le dedica a la ganadería. Se tiene en cuenta el personal de maquinaria que le presta un servicio a la ganadería." sqref="E33 H90"/>
    <dataValidation allowBlank="1" showInputMessage="1" showErrorMessage="1" prompt="Stock bovino al 1 de julio 2016 (todo lo que está en el establecimiento)" sqref="E26"/>
    <dataValidation allowBlank="1" showInputMessage="1" showErrorMessage="1" prompt="Superficie de monte productivos de la unidad de producción" sqref="E16"/>
    <dataValidation allowBlank="1" showInputMessage="1" showErrorMessage="1" prompt="Superfice sembrada con verdeos de invierno tal cual. En la celda contigua se calculará las has asignadas a dicho recurso según las Normas CREA." sqref="J11"/>
    <dataValidation allowBlank="1" showInputMessage="1" showErrorMessage="1" prompt="Superficie de praderas perennes ya implantadas" sqref="E17"/>
    <dataValidation allowBlank="1" showInputMessage="1" showErrorMessage="1" prompt="Superficie de campo natural de la unidad de producción" sqref="E15"/>
    <dataValidation allowBlank="1" showInputMessage="1" showErrorMessage="1" prompt="Nro de cabezas muertas/cabezas ingresadas" sqref="E30"/>
    <dataValidation allowBlank="1" showInputMessage="1" showErrorMessage="1" prompt="Cantidad de Vaquillonas de 1 en servicio en 2016" sqref="E46"/>
    <dataValidation allowBlank="1" showInputMessage="1" showErrorMessage="1" prompt="Producción de carne (kg totales) = SALIDAS (kg vendidos,  traslados, consumo del eto.) - ENTRADAS (kg por compra o traslados de otras procedencias) + DIF. INVENTARIO (en Kg)" sqref="E28 J68 E68 E94 J94"/>
    <dataValidation allowBlank="1" showInputMessage="1" showErrorMessage="1" prompt="Stock bovino al 30 de junio 2017 (todo lo que está en el establecimiento)" sqref="E27"/>
    <dataValidation allowBlank="1" showInputMessage="1" showErrorMessage="1" prompt="Praderas implantadas en la campaña en análisis." sqref="E18"/>
    <dataValidation type="list" allowBlank="1" showInputMessage="1" showErrorMessage="1" sqref="G6">
      <formula1>MP</formula1>
    </dataValidation>
    <dataValidation allowBlank="1" showInputMessage="1" showErrorMessage="1" prompt="Superficie de suelo de la unidad de producción en agricultura, propias y alquiladas." sqref="E12"/>
    <dataValidation allowBlank="1" showInputMessage="1" showErrorMessage="1" prompt="Superficie del establecimiento en producción." sqref="E11"/>
    <dataValidation allowBlank="1" showInputMessage="1" showErrorMessage="1" prompt="Superfice sembrada (tal cual) con verdeos de verano para consumo fresco o diferido. En la celda contigua se calculará las has asignadas a dicho recurso según las Normas CREA." sqref="J13"/>
    <dataValidation allowBlank="1" showInputMessage="1" showErrorMessage="1" prompt="Superfice de rastrojos pastoreados. En la celda contigua se calculará las has asignadas a dicho recurso según las Normas CREA." sqref="J15"/>
    <dataValidation allowBlank="1" showErrorMessage="1" sqref="J19"/>
    <dataValidation allowBlank="1" showErrorMessage="1" prompt="Superficie de monte productivos del establecimiento" sqref="J16"/>
    <dataValidation allowBlank="1" showInputMessage="1" showErrorMessage="1" prompt="Terneros destetados 17´sobre vientres entorados en servicio´15" sqref="E52"/>
    <dataValidation allowBlank="1" showInputMessage="1" showErrorMessage="1" prompt="Vacas y vaquillonas preñadas sobre vientres entoradas en servicio 15´" sqref="E53"/>
    <dataValidation allowBlank="1" showInputMessage="1" showErrorMessage="1" prompt="Vaquillonas de 1° servicio preñadas 17´/ vaquillonas de 1° s. entoradas en 16´" sqref="E45"/>
    <dataValidation type="list" allowBlank="1" showInputMessage="1" showErrorMessage="1" sqref="J83 E83">
      <formula1>RRFF</formula1>
    </dataValidation>
    <dataValidation allowBlank="1" showInputMessage="1" showErrorMessage="1" prompt="Tiempo desde la primer labor del verdeo hasta cambio de uso del lote (no sólo tiempo que fue pastoreado)." sqref="J12"/>
    <dataValidation allowBlank="1" showInputMessage="1" showErrorMessage="1" prompt="Tiempo desde la primer labor del verdeo/diferido hasta cambio de uso del lote (no sólo tiempo que fue pastoreado)." sqref="J14"/>
    <dataValidation type="list" allowBlank="1" showInputMessage="1" showErrorMessage="1" prompt="Servicio '15" sqref="I58">
      <formula1>fechaservicio</formula1>
    </dataValidation>
    <dataValidation type="list" allowBlank="1" showInputMessage="1" showErrorMessage="1" prompt="Servicio '15" sqref="J57:J58">
      <formula1>duracion</formula1>
    </dataValidation>
  </dataValidations>
  <hyperlinks>
    <hyperlink ref="G95" location="'1 (prop.sup)'!F115" display="Ir a cálculo desbaste"/>
    <hyperlink ref="G95:G96" location="'1'!D118" display="Ir a cálculo desbaste"/>
    <hyperlink ref="L95:L96" location="'1'!D118" display="Ir a cálculo desbaste"/>
    <hyperlink ref="L95" location="'1 (prop.sup)'!F115" display="Ir a cálculo desbaste"/>
  </hyperlinks>
  <pageMargins left="0.25" right="0.25" top="0.75" bottom="0.75" header="0.3" footer="0.3"/>
  <pageSetup paperSize="9" scale="48" fitToHeight="0" orientation="portrait" verticalDpi="599" r:id="rId1"/>
  <rowBreaks count="1" manualBreakCount="1">
    <brk id="60" min="1" max="12"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B135"/>
  <sheetViews>
    <sheetView showGridLines="0" zoomScale="90" zoomScaleNormal="90" workbookViewId="0">
      <pane xSplit="1" ySplit="1" topLeftCell="B7" activePane="bottomRight" state="frozen"/>
      <selection activeCell="G25" sqref="G25"/>
      <selection pane="topRight" activeCell="G25" sqref="G25"/>
      <selection pane="bottomLeft" activeCell="G25" sqref="G25"/>
      <selection pane="bottomRight" activeCell="E26" sqref="E26"/>
    </sheetView>
  </sheetViews>
  <sheetFormatPr baseColWidth="10" defaultColWidth="0" defaultRowHeight="15.5" customHeight="1" zeroHeight="1" outlineLevelRow="2" x14ac:dyDescent="0.35"/>
  <cols>
    <col min="1" max="1" width="5" style="330" customWidth="1"/>
    <col min="2" max="2" width="11.81640625" style="1" customWidth="1"/>
    <col min="3" max="3" width="16" style="1" customWidth="1"/>
    <col min="4" max="4" width="18.54296875" style="1" customWidth="1"/>
    <col min="5" max="6" width="14.54296875" style="1" customWidth="1"/>
    <col min="7" max="7" width="12.1796875" style="1" customWidth="1"/>
    <col min="8" max="8" width="16.26953125" style="1" customWidth="1"/>
    <col min="9" max="10" width="14.54296875" style="1" customWidth="1"/>
    <col min="11" max="12" width="13.453125" style="1" customWidth="1"/>
    <col min="13" max="13" width="14.54296875" style="1" customWidth="1"/>
    <col min="14" max="15" width="11.453125" style="69" customWidth="1"/>
    <col min="16" max="16" width="5.54296875" style="69" customWidth="1"/>
    <col min="17" max="17" width="11.453125" style="69" hidden="1"/>
    <col min="18" max="16382" width="0" style="69" hidden="1"/>
    <col min="16383" max="16384" width="11.453125" style="69" hidden="1"/>
  </cols>
  <sheetData>
    <row r="1" spans="1:17" s="333" customFormat="1" ht="14.5" x14ac:dyDescent="0.35">
      <c r="A1" s="333">
        <v>1</v>
      </c>
      <c r="B1" s="333">
        <f t="shared" ref="B1:P1" si="0">+A1+1</f>
        <v>2</v>
      </c>
      <c r="C1" s="333">
        <f t="shared" si="0"/>
        <v>3</v>
      </c>
      <c r="D1" s="333">
        <f t="shared" si="0"/>
        <v>4</v>
      </c>
      <c r="E1" s="333">
        <f t="shared" si="0"/>
        <v>5</v>
      </c>
      <c r="F1" s="333">
        <f t="shared" si="0"/>
        <v>6</v>
      </c>
      <c r="G1" s="333">
        <f t="shared" si="0"/>
        <v>7</v>
      </c>
      <c r="H1" s="333">
        <f t="shared" si="0"/>
        <v>8</v>
      </c>
      <c r="I1" s="333">
        <f t="shared" si="0"/>
        <v>9</v>
      </c>
      <c r="J1" s="333">
        <f t="shared" si="0"/>
        <v>10</v>
      </c>
      <c r="K1" s="333">
        <f t="shared" si="0"/>
        <v>11</v>
      </c>
      <c r="L1" s="333">
        <f t="shared" si="0"/>
        <v>12</v>
      </c>
      <c r="M1" s="333">
        <f t="shared" si="0"/>
        <v>13</v>
      </c>
      <c r="N1" s="333">
        <f t="shared" si="0"/>
        <v>14</v>
      </c>
      <c r="O1" s="333">
        <f t="shared" si="0"/>
        <v>15</v>
      </c>
      <c r="P1" s="333">
        <f t="shared" si="0"/>
        <v>16</v>
      </c>
    </row>
    <row r="2" spans="1:17" x14ac:dyDescent="0.35">
      <c r="A2" s="333">
        <f>+A1+1</f>
        <v>2</v>
      </c>
      <c r="P2" s="334"/>
      <c r="Q2" s="334"/>
    </row>
    <row r="3" spans="1:17" x14ac:dyDescent="0.35">
      <c r="A3" s="333">
        <f t="shared" ref="A3:A66" si="1">+A2+1</f>
        <v>3</v>
      </c>
      <c r="B3" s="335" t="s">
        <v>0</v>
      </c>
      <c r="C3" s="336"/>
      <c r="D3" s="58"/>
      <c r="E3" s="302"/>
      <c r="F3" s="337" t="s">
        <v>1</v>
      </c>
      <c r="G3" s="58"/>
      <c r="H3" s="303"/>
      <c r="I3" s="337" t="s">
        <v>2</v>
      </c>
      <c r="J3" s="58"/>
      <c r="K3" s="58"/>
      <c r="L3" s="336"/>
      <c r="M3" s="336"/>
      <c r="N3" s="338"/>
      <c r="O3" s="339"/>
      <c r="P3" s="334"/>
      <c r="Q3" s="334"/>
    </row>
    <row r="4" spans="1:17" x14ac:dyDescent="0.35">
      <c r="A4" s="333">
        <f t="shared" si="1"/>
        <v>4</v>
      </c>
      <c r="B4" s="340"/>
      <c r="C4" s="340"/>
      <c r="E4" s="336"/>
      <c r="F4" s="336"/>
      <c r="G4" s="336"/>
      <c r="H4" s="336"/>
      <c r="I4" s="336"/>
      <c r="J4" s="336"/>
      <c r="K4" s="336"/>
      <c r="L4" s="336"/>
      <c r="M4" s="336"/>
      <c r="N4" s="338"/>
      <c r="O4" s="338"/>
      <c r="P4" s="334"/>
      <c r="Q4" s="334"/>
    </row>
    <row r="5" spans="1:17" ht="29" x14ac:dyDescent="0.35">
      <c r="A5" s="333">
        <f t="shared" si="1"/>
        <v>5</v>
      </c>
      <c r="B5" s="341" t="s">
        <v>3</v>
      </c>
      <c r="C5" s="342" t="s">
        <v>4</v>
      </c>
      <c r="D5" s="341" t="s">
        <v>5</v>
      </c>
      <c r="E5" s="342" t="s">
        <v>6</v>
      </c>
      <c r="F5" s="342" t="s">
        <v>7</v>
      </c>
      <c r="G5" s="343" t="s">
        <v>8</v>
      </c>
      <c r="H5" s="344" t="s">
        <v>9</v>
      </c>
      <c r="I5" s="404" t="s">
        <v>10</v>
      </c>
      <c r="J5" s="405"/>
      <c r="N5" s="345"/>
      <c r="P5" s="334"/>
      <c r="Q5" s="334"/>
    </row>
    <row r="6" spans="1:17" x14ac:dyDescent="0.35">
      <c r="A6" s="333">
        <f t="shared" si="1"/>
        <v>6</v>
      </c>
      <c r="B6" s="310" t="s">
        <v>649</v>
      </c>
      <c r="C6" s="346"/>
      <c r="D6" s="346"/>
      <c r="E6" s="347"/>
      <c r="F6" s="346"/>
      <c r="G6" s="347"/>
      <c r="H6" s="347"/>
      <c r="I6" s="347"/>
      <c r="J6" s="347"/>
      <c r="N6" s="338"/>
      <c r="O6" s="338"/>
      <c r="P6" s="334"/>
      <c r="Q6" s="334"/>
    </row>
    <row r="7" spans="1:17" x14ac:dyDescent="0.35">
      <c r="A7" s="333">
        <f t="shared" si="1"/>
        <v>7</v>
      </c>
      <c r="P7" s="334"/>
      <c r="Q7" s="334"/>
    </row>
    <row r="8" spans="1:17" x14ac:dyDescent="0.35">
      <c r="A8" s="333">
        <f t="shared" si="1"/>
        <v>8</v>
      </c>
      <c r="B8" s="348" t="s">
        <v>13</v>
      </c>
      <c r="C8" s="348"/>
      <c r="D8" s="348"/>
      <c r="E8" s="348"/>
      <c r="F8" s="348"/>
      <c r="G8" s="348"/>
      <c r="H8" s="349"/>
      <c r="I8" s="349"/>
      <c r="J8" s="349"/>
      <c r="K8" s="349"/>
      <c r="L8" s="349"/>
      <c r="M8" s="349"/>
      <c r="N8" s="350"/>
      <c r="O8" s="350"/>
      <c r="P8" s="334"/>
      <c r="Q8" s="334"/>
    </row>
    <row r="9" spans="1:17" x14ac:dyDescent="0.35">
      <c r="A9" s="333">
        <f t="shared" si="1"/>
        <v>9</v>
      </c>
      <c r="P9" s="334"/>
      <c r="Q9" s="334"/>
    </row>
    <row r="10" spans="1:17" x14ac:dyDescent="0.35">
      <c r="A10" s="333">
        <f t="shared" si="1"/>
        <v>10</v>
      </c>
      <c r="C10" s="2"/>
      <c r="D10" s="2" t="s">
        <v>14</v>
      </c>
      <c r="G10" s="2"/>
      <c r="I10" s="56" t="s">
        <v>17</v>
      </c>
      <c r="J10" s="69"/>
      <c r="K10" s="69"/>
      <c r="L10" s="2" t="s">
        <v>18</v>
      </c>
      <c r="M10" s="4"/>
      <c r="P10" s="334"/>
      <c r="Q10" s="334"/>
    </row>
    <row r="11" spans="1:17" ht="18" customHeight="1" x14ac:dyDescent="0.35">
      <c r="A11" s="333">
        <f t="shared" si="1"/>
        <v>11</v>
      </c>
      <c r="D11" s="3" t="s">
        <v>15</v>
      </c>
      <c r="E11" s="28"/>
      <c r="F11" s="1" t="s">
        <v>16</v>
      </c>
      <c r="I11" s="3" t="s">
        <v>19</v>
      </c>
      <c r="J11" s="28"/>
      <c r="K11" s="1" t="s">
        <v>16</v>
      </c>
      <c r="L11" s="5" t="str">
        <f>IF(J11*J12/12=0,"",J11*J12/12)</f>
        <v/>
      </c>
      <c r="M11" s="406" t="s">
        <v>656</v>
      </c>
      <c r="N11" s="406"/>
      <c r="O11" s="406"/>
      <c r="P11" s="334"/>
      <c r="Q11" s="334"/>
    </row>
    <row r="12" spans="1:17" x14ac:dyDescent="0.35">
      <c r="A12" s="333">
        <f t="shared" si="1"/>
        <v>12</v>
      </c>
      <c r="D12" s="3" t="s">
        <v>514</v>
      </c>
      <c r="E12" s="28"/>
      <c r="F12" s="1" t="s">
        <v>16</v>
      </c>
      <c r="I12" s="3" t="str">
        <f>+IF(J11&gt;1,"Tiempo ocupado por verdeo de invierno","")</f>
        <v/>
      </c>
      <c r="J12" s="351"/>
      <c r="K12" s="6" t="str">
        <f>+IF($J$11&gt;1,"meses","")</f>
        <v/>
      </c>
      <c r="L12" s="69"/>
      <c r="M12" s="406"/>
      <c r="N12" s="406"/>
      <c r="O12" s="406"/>
      <c r="P12" s="334"/>
      <c r="Q12" s="334"/>
    </row>
    <row r="13" spans="1:17" ht="18" customHeight="1" x14ac:dyDescent="0.35">
      <c r="A13" s="333">
        <f t="shared" si="1"/>
        <v>13</v>
      </c>
      <c r="I13" s="3" t="s">
        <v>22</v>
      </c>
      <c r="J13" s="28"/>
      <c r="K13" s="1" t="s">
        <v>16</v>
      </c>
      <c r="L13" s="5" t="str">
        <f>IF(J13*J14/12=0,"",J13*J14/12)</f>
        <v/>
      </c>
      <c r="M13" s="406" t="s">
        <v>657</v>
      </c>
      <c r="N13" s="406"/>
      <c r="O13" s="406"/>
      <c r="P13" s="334"/>
      <c r="Q13" s="334"/>
    </row>
    <row r="14" spans="1:17" x14ac:dyDescent="0.35">
      <c r="A14" s="333">
        <f t="shared" si="1"/>
        <v>14</v>
      </c>
      <c r="C14" s="2"/>
      <c r="D14" s="2" t="s">
        <v>21</v>
      </c>
      <c r="I14" s="3" t="str">
        <f>+IF(J13&gt;1,"Tiempo ocupado por verdeo de verano y diferido","")</f>
        <v/>
      </c>
      <c r="J14" s="351"/>
      <c r="K14" s="6" t="str">
        <f>+IF($J$13&gt;1,"meses","")</f>
        <v/>
      </c>
      <c r="L14" s="69"/>
      <c r="M14" s="406"/>
      <c r="N14" s="406"/>
      <c r="O14" s="406"/>
      <c r="P14" s="334"/>
      <c r="Q14" s="334"/>
    </row>
    <row r="15" spans="1:17" ht="18" customHeight="1" x14ac:dyDescent="0.35">
      <c r="A15" s="333">
        <f t="shared" si="1"/>
        <v>15</v>
      </c>
      <c r="D15" s="3" t="s">
        <v>24</v>
      </c>
      <c r="E15" s="28"/>
      <c r="F15" s="1" t="s">
        <v>16</v>
      </c>
      <c r="I15" s="3" t="s">
        <v>26</v>
      </c>
      <c r="J15" s="28"/>
      <c r="K15" s="1" t="s">
        <v>16</v>
      </c>
      <c r="L15" s="5" t="str">
        <f>IF(J15*J16/12=0,"",J15*J16/12)</f>
        <v/>
      </c>
      <c r="M15" s="406" t="s">
        <v>658</v>
      </c>
      <c r="N15" s="406"/>
      <c r="O15" s="406"/>
      <c r="P15" s="334"/>
      <c r="Q15" s="334"/>
    </row>
    <row r="16" spans="1:17" x14ac:dyDescent="0.35">
      <c r="A16" s="333">
        <f t="shared" si="1"/>
        <v>16</v>
      </c>
      <c r="B16" s="8"/>
      <c r="D16" s="7" t="s">
        <v>25</v>
      </c>
      <c r="E16" s="28"/>
      <c r="F16" s="1" t="s">
        <v>16</v>
      </c>
      <c r="I16" s="3" t="str">
        <f>+IF(J15&gt;1,"Tiempo de ocupación de rastrojos y otros  ","")</f>
        <v/>
      </c>
      <c r="J16" s="351"/>
      <c r="K16" s="6" t="str">
        <f>+IF($J$15&gt;1,"meses","")</f>
        <v/>
      </c>
      <c r="L16" s="69"/>
      <c r="M16" s="406"/>
      <c r="N16" s="406"/>
      <c r="O16" s="406"/>
      <c r="P16" s="334"/>
      <c r="Q16" s="334"/>
    </row>
    <row r="17" spans="1:17" x14ac:dyDescent="0.35">
      <c r="A17" s="333">
        <f t="shared" si="1"/>
        <v>17</v>
      </c>
      <c r="D17" s="3" t="s">
        <v>28</v>
      </c>
      <c r="E17" s="28"/>
      <c r="F17" s="1" t="s">
        <v>16</v>
      </c>
      <c r="M17" s="396"/>
      <c r="N17" s="352"/>
      <c r="O17" s="352"/>
      <c r="P17" s="334"/>
      <c r="Q17" s="334"/>
    </row>
    <row r="18" spans="1:17" x14ac:dyDescent="0.35">
      <c r="A18" s="333">
        <f t="shared" si="1"/>
        <v>18</v>
      </c>
      <c r="D18" s="3" t="s">
        <v>29</v>
      </c>
      <c r="E18" s="28"/>
      <c r="F18" s="1" t="s">
        <v>16</v>
      </c>
      <c r="G18" s="10"/>
      <c r="H18" s="11"/>
      <c r="I18" s="57" t="s">
        <v>30</v>
      </c>
      <c r="J18" s="10"/>
      <c r="K18" s="10"/>
      <c r="P18" s="334"/>
      <c r="Q18" s="334"/>
    </row>
    <row r="19" spans="1:17" x14ac:dyDescent="0.35">
      <c r="A19" s="333">
        <f t="shared" si="1"/>
        <v>19</v>
      </c>
      <c r="C19" s="1" t="s">
        <v>9</v>
      </c>
      <c r="D19" s="329"/>
      <c r="E19" s="329"/>
      <c r="F19" s="1" t="s">
        <v>16</v>
      </c>
      <c r="G19" s="10"/>
      <c r="H19" s="10"/>
      <c r="I19" s="7" t="s">
        <v>31</v>
      </c>
      <c r="J19" s="12">
        <f>+SUM(E15:E20,L11,L13,L15)</f>
        <v>0</v>
      </c>
      <c r="K19" s="10" t="s">
        <v>16</v>
      </c>
      <c r="P19" s="334"/>
      <c r="Q19" s="334"/>
    </row>
    <row r="20" spans="1:17" x14ac:dyDescent="0.35">
      <c r="A20" s="333">
        <f t="shared" si="1"/>
        <v>20</v>
      </c>
      <c r="C20" s="1" t="s">
        <v>9</v>
      </c>
      <c r="D20" s="329"/>
      <c r="E20" s="329"/>
      <c r="F20" s="1" t="s">
        <v>16</v>
      </c>
      <c r="G20" s="10"/>
      <c r="H20" s="10"/>
      <c r="I20" s="3" t="s">
        <v>575</v>
      </c>
      <c r="J20" s="353"/>
      <c r="K20" s="3"/>
      <c r="L20" s="8"/>
      <c r="P20" s="334"/>
      <c r="Q20" s="334"/>
    </row>
    <row r="21" spans="1:17" x14ac:dyDescent="0.35">
      <c r="A21" s="333">
        <f t="shared" si="1"/>
        <v>21</v>
      </c>
      <c r="H21" s="311"/>
      <c r="I21" s="7" t="s">
        <v>517</v>
      </c>
      <c r="J21" s="28"/>
      <c r="K21" s="331" t="s">
        <v>515</v>
      </c>
      <c r="L21" s="8"/>
      <c r="P21" s="334"/>
      <c r="Q21" s="334"/>
    </row>
    <row r="22" spans="1:17" x14ac:dyDescent="0.35">
      <c r="A22" s="333">
        <f t="shared" si="1"/>
        <v>22</v>
      </c>
      <c r="G22" s="10"/>
      <c r="H22" s="10"/>
      <c r="I22" s="3"/>
      <c r="J22" s="3"/>
      <c r="K22" s="3"/>
      <c r="L22" s="8"/>
      <c r="P22" s="334"/>
      <c r="Q22" s="334"/>
    </row>
    <row r="23" spans="1:17" x14ac:dyDescent="0.35">
      <c r="A23" s="333">
        <f t="shared" si="1"/>
        <v>23</v>
      </c>
      <c r="G23" s="10"/>
      <c r="H23" s="10"/>
      <c r="I23" s="3"/>
      <c r="J23" s="3"/>
      <c r="K23" s="3"/>
      <c r="L23" s="8"/>
      <c r="P23" s="334"/>
      <c r="Q23" s="334"/>
    </row>
    <row r="24" spans="1:17" x14ac:dyDescent="0.35">
      <c r="A24" s="333">
        <f t="shared" si="1"/>
        <v>24</v>
      </c>
      <c r="B24" s="348" t="s">
        <v>32</v>
      </c>
      <c r="C24" s="348"/>
      <c r="D24" s="348"/>
      <c r="E24" s="348"/>
      <c r="F24" s="348"/>
      <c r="G24" s="348"/>
      <c r="H24" s="349"/>
      <c r="I24" s="349"/>
      <c r="J24" s="349"/>
      <c r="K24" s="349"/>
      <c r="L24" s="349"/>
      <c r="M24" s="349"/>
      <c r="N24" s="350"/>
      <c r="O24" s="350"/>
      <c r="P24" s="334"/>
      <c r="Q24" s="334"/>
    </row>
    <row r="25" spans="1:17" x14ac:dyDescent="0.35">
      <c r="A25" s="333">
        <f t="shared" si="1"/>
        <v>25</v>
      </c>
      <c r="O25" s="13"/>
      <c r="P25" s="334"/>
      <c r="Q25" s="334"/>
    </row>
    <row r="26" spans="1:17" x14ac:dyDescent="0.35">
      <c r="A26" s="333">
        <f t="shared" si="1"/>
        <v>26</v>
      </c>
      <c r="D26" s="3" t="s">
        <v>33</v>
      </c>
      <c r="E26" s="28"/>
      <c r="F26" s="1" t="s">
        <v>34</v>
      </c>
      <c r="J26" s="354" t="s">
        <v>35</v>
      </c>
      <c r="K26" s="69"/>
      <c r="P26" s="334"/>
      <c r="Q26" s="334"/>
    </row>
    <row r="27" spans="1:17" x14ac:dyDescent="0.35">
      <c r="A27" s="333">
        <f t="shared" si="1"/>
        <v>27</v>
      </c>
      <c r="D27" s="3" t="s">
        <v>36</v>
      </c>
      <c r="E27" s="28"/>
      <c r="F27" s="1" t="s">
        <v>34</v>
      </c>
      <c r="J27" s="67" t="str">
        <f>+IFERROR(E28/J19,"")</f>
        <v/>
      </c>
      <c r="K27" s="1" t="s">
        <v>187</v>
      </c>
      <c r="P27" s="334"/>
      <c r="Q27" s="334"/>
    </row>
    <row r="28" spans="1:17" x14ac:dyDescent="0.35">
      <c r="A28" s="333">
        <f t="shared" si="1"/>
        <v>28</v>
      </c>
      <c r="D28" s="3" t="s">
        <v>40</v>
      </c>
      <c r="E28" s="28"/>
      <c r="F28" s="1" t="s">
        <v>41</v>
      </c>
      <c r="J28" s="68" t="str">
        <f>+IFERROR(E28/(E31),"")</f>
        <v/>
      </c>
      <c r="K28" s="1" t="s">
        <v>516</v>
      </c>
      <c r="P28" s="334"/>
      <c r="Q28" s="334"/>
    </row>
    <row r="29" spans="1:17" x14ac:dyDescent="0.35">
      <c r="A29" s="333">
        <f t="shared" si="1"/>
        <v>29</v>
      </c>
      <c r="J29" s="68" t="str">
        <f>+IFERROR(E32/J19,"")</f>
        <v/>
      </c>
      <c r="K29" s="15" t="s">
        <v>186</v>
      </c>
      <c r="P29" s="334"/>
      <c r="Q29" s="334"/>
    </row>
    <row r="30" spans="1:17" x14ac:dyDescent="0.35">
      <c r="A30" s="333">
        <f t="shared" si="1"/>
        <v>30</v>
      </c>
      <c r="D30" s="3" t="s">
        <v>37</v>
      </c>
      <c r="E30" s="353"/>
      <c r="F30" s="1" t="s">
        <v>38</v>
      </c>
      <c r="J30" s="355" t="str">
        <f>+IFERROR(E28/E32,"")</f>
        <v/>
      </c>
      <c r="K30" s="6" t="s">
        <v>39</v>
      </c>
      <c r="P30" s="334"/>
      <c r="Q30" s="334"/>
    </row>
    <row r="31" spans="1:17" x14ac:dyDescent="0.35">
      <c r="A31" s="333">
        <f t="shared" si="1"/>
        <v>31</v>
      </c>
      <c r="D31" s="7" t="s">
        <v>43</v>
      </c>
      <c r="E31" s="28"/>
      <c r="F31" s="16" t="s">
        <v>518</v>
      </c>
      <c r="J31" s="356" t="str">
        <f>+IFERROR(E28/E33,"")</f>
        <v/>
      </c>
      <c r="K31" s="15" t="s">
        <v>42</v>
      </c>
      <c r="P31" s="334"/>
      <c r="Q31" s="334"/>
    </row>
    <row r="32" spans="1:17" x14ac:dyDescent="0.35">
      <c r="A32" s="333">
        <f t="shared" si="1"/>
        <v>32</v>
      </c>
      <c r="D32" s="3" t="s">
        <v>43</v>
      </c>
      <c r="E32" s="28"/>
      <c r="F32" s="1" t="s">
        <v>41</v>
      </c>
      <c r="M32" s="69"/>
      <c r="P32" s="334"/>
      <c r="Q32" s="334"/>
    </row>
    <row r="33" spans="1:17" ht="17.25" customHeight="1" x14ac:dyDescent="0.35">
      <c r="A33" s="333">
        <f t="shared" si="1"/>
        <v>33</v>
      </c>
      <c r="D33" s="14" t="s">
        <v>44</v>
      </c>
      <c r="E33" s="390"/>
      <c r="M33" s="69"/>
      <c r="P33" s="334"/>
      <c r="Q33" s="334"/>
    </row>
    <row r="34" spans="1:17" x14ac:dyDescent="0.35">
      <c r="A34" s="333">
        <f t="shared" si="1"/>
        <v>34</v>
      </c>
      <c r="P34" s="334"/>
      <c r="Q34" s="334"/>
    </row>
    <row r="35" spans="1:17" x14ac:dyDescent="0.35">
      <c r="A35" s="333">
        <f t="shared" si="1"/>
        <v>35</v>
      </c>
      <c r="B35" s="348" t="s">
        <v>45</v>
      </c>
      <c r="C35" s="348"/>
      <c r="D35" s="348"/>
      <c r="E35" s="348"/>
      <c r="F35" s="348"/>
      <c r="G35" s="348"/>
      <c r="H35" s="349"/>
      <c r="I35" s="349"/>
      <c r="J35" s="349"/>
      <c r="K35" s="349"/>
      <c r="L35" s="349"/>
      <c r="M35" s="349"/>
      <c r="N35" s="350"/>
      <c r="O35" s="350"/>
      <c r="P35" s="334"/>
      <c r="Q35" s="334"/>
    </row>
    <row r="36" spans="1:17" outlineLevel="1" x14ac:dyDescent="0.35">
      <c r="A36" s="333">
        <f t="shared" si="1"/>
        <v>36</v>
      </c>
      <c r="B36" s="8"/>
      <c r="C36" s="8"/>
      <c r="D36" s="17"/>
      <c r="E36" s="8"/>
      <c r="P36" s="334"/>
      <c r="Q36" s="334"/>
    </row>
    <row r="37" spans="1:17" outlineLevel="1" x14ac:dyDescent="0.35">
      <c r="A37" s="333">
        <f t="shared" si="1"/>
        <v>37</v>
      </c>
      <c r="G37" s="358">
        <v>2015</v>
      </c>
      <c r="H37" s="358">
        <f>+G37+1</f>
        <v>2016</v>
      </c>
      <c r="I37" s="358">
        <f>+H37+1</f>
        <v>2017</v>
      </c>
      <c r="P37" s="334"/>
      <c r="Q37" s="334"/>
    </row>
    <row r="38" spans="1:17" outlineLevel="1" x14ac:dyDescent="0.35">
      <c r="A38" s="333">
        <f t="shared" si="1"/>
        <v>38</v>
      </c>
      <c r="G38" s="359" t="s">
        <v>46</v>
      </c>
      <c r="H38" s="360" t="s">
        <v>47</v>
      </c>
      <c r="I38" s="361" t="s">
        <v>48</v>
      </c>
      <c r="P38" s="334"/>
      <c r="Q38" s="334"/>
    </row>
    <row r="39" spans="1:17" outlineLevel="1" x14ac:dyDescent="0.35">
      <c r="A39" s="333">
        <f t="shared" si="1"/>
        <v>39</v>
      </c>
      <c r="G39" s="362"/>
      <c r="H39" s="363" t="s">
        <v>46</v>
      </c>
      <c r="I39" s="364" t="s">
        <v>47</v>
      </c>
      <c r="M39" s="18"/>
      <c r="N39" s="79"/>
      <c r="P39" s="334"/>
      <c r="Q39" s="334"/>
    </row>
    <row r="40" spans="1:17" outlineLevel="1" x14ac:dyDescent="0.35">
      <c r="A40" s="333">
        <f t="shared" si="1"/>
        <v>40</v>
      </c>
      <c r="C40" s="19" t="s">
        <v>49</v>
      </c>
      <c r="D40" s="16"/>
      <c r="P40" s="334"/>
      <c r="Q40" s="334"/>
    </row>
    <row r="41" spans="1:17" outlineLevel="1" x14ac:dyDescent="0.35">
      <c r="A41" s="333">
        <f t="shared" si="1"/>
        <v>41</v>
      </c>
      <c r="C41" s="16"/>
      <c r="D41" s="7" t="s">
        <v>632</v>
      </c>
      <c r="E41" s="391"/>
      <c r="F41" s="1" t="s">
        <v>38</v>
      </c>
      <c r="N41" s="1"/>
      <c r="O41" s="1"/>
      <c r="P41" s="334"/>
      <c r="Q41" s="334"/>
    </row>
    <row r="42" spans="1:17" outlineLevel="1" x14ac:dyDescent="0.35">
      <c r="A42" s="333">
        <f t="shared" si="1"/>
        <v>42</v>
      </c>
      <c r="C42" s="16"/>
      <c r="D42" s="7" t="s">
        <v>633</v>
      </c>
      <c r="E42" s="28"/>
      <c r="F42" s="1" t="s">
        <v>34</v>
      </c>
      <c r="N42" s="1"/>
      <c r="O42" s="1"/>
      <c r="P42" s="334"/>
      <c r="Q42" s="334"/>
    </row>
    <row r="43" spans="1:17" outlineLevel="1" x14ac:dyDescent="0.35">
      <c r="A43" s="333">
        <f t="shared" si="1"/>
        <v>43</v>
      </c>
      <c r="C43" s="20"/>
      <c r="D43" s="20"/>
      <c r="E43" s="21"/>
      <c r="F43" s="21"/>
      <c r="G43" s="21"/>
      <c r="H43" s="21"/>
      <c r="I43" s="21"/>
      <c r="J43" s="21"/>
      <c r="K43" s="21"/>
      <c r="L43" s="21"/>
      <c r="M43" s="21"/>
      <c r="N43" s="21"/>
      <c r="O43" s="1"/>
      <c r="P43" s="334"/>
      <c r="Q43" s="334"/>
    </row>
    <row r="44" spans="1:17" outlineLevel="1" x14ac:dyDescent="0.35">
      <c r="A44" s="333">
        <f t="shared" si="1"/>
        <v>44</v>
      </c>
      <c r="C44" s="19" t="s">
        <v>50</v>
      </c>
      <c r="K44" s="22"/>
      <c r="N44" s="1"/>
      <c r="O44" s="1"/>
      <c r="P44" s="334"/>
      <c r="Q44" s="334"/>
    </row>
    <row r="45" spans="1:17" outlineLevel="1" x14ac:dyDescent="0.35">
      <c r="A45" s="333">
        <f t="shared" si="1"/>
        <v>45</v>
      </c>
      <c r="C45" s="19"/>
      <c r="D45" s="3" t="s">
        <v>634</v>
      </c>
      <c r="E45" s="391"/>
      <c r="F45" s="1" t="s">
        <v>38</v>
      </c>
      <c r="N45" s="1"/>
      <c r="O45" s="1"/>
      <c r="P45" s="334"/>
      <c r="Q45" s="334"/>
    </row>
    <row r="46" spans="1:17" outlineLevel="1" x14ac:dyDescent="0.35">
      <c r="A46" s="333">
        <f t="shared" si="1"/>
        <v>46</v>
      </c>
      <c r="D46" s="3" t="s">
        <v>635</v>
      </c>
      <c r="E46" s="28"/>
      <c r="F46" s="1" t="s">
        <v>34</v>
      </c>
      <c r="N46" s="1"/>
      <c r="O46" s="1"/>
      <c r="P46" s="334"/>
      <c r="Q46" s="334"/>
    </row>
    <row r="47" spans="1:17" outlineLevel="1" x14ac:dyDescent="0.35">
      <c r="A47" s="333">
        <f t="shared" si="1"/>
        <v>47</v>
      </c>
      <c r="C47" s="21"/>
      <c r="D47" s="23"/>
      <c r="E47" s="23"/>
      <c r="F47" s="23"/>
      <c r="G47" s="23"/>
      <c r="H47" s="23"/>
      <c r="I47" s="23"/>
      <c r="J47" s="21"/>
      <c r="K47" s="21"/>
      <c r="L47" s="21"/>
      <c r="M47" s="21"/>
      <c r="N47" s="21"/>
      <c r="O47" s="1"/>
      <c r="P47" s="334"/>
      <c r="Q47" s="334"/>
    </row>
    <row r="48" spans="1:17" outlineLevel="1" x14ac:dyDescent="0.35">
      <c r="A48" s="333">
        <f t="shared" si="1"/>
        <v>48</v>
      </c>
      <c r="C48" s="2" t="s">
        <v>636</v>
      </c>
      <c r="D48" s="3"/>
      <c r="E48" s="3"/>
      <c r="F48" s="3"/>
      <c r="G48" s="3"/>
      <c r="H48" s="3"/>
      <c r="I48" s="3"/>
      <c r="J48" s="3"/>
      <c r="K48" s="3"/>
      <c r="N48" s="1"/>
      <c r="O48" s="1"/>
      <c r="P48" s="334"/>
      <c r="Q48" s="334"/>
    </row>
    <row r="49" spans="1:17" outlineLevel="1" x14ac:dyDescent="0.35">
      <c r="A49" s="333">
        <f t="shared" si="1"/>
        <v>49</v>
      </c>
      <c r="C49" s="2"/>
      <c r="D49" s="7" t="s">
        <v>637</v>
      </c>
      <c r="E49" s="392" t="str">
        <f>IF(E41*E42=0,"",IF(E45*E46=0,"",(E41*(E42/(E42+E46)))+(E45*(E46/(E46+E42)))))</f>
        <v/>
      </c>
      <c r="F49" s="6"/>
      <c r="G49" s="3"/>
      <c r="H49" s="3"/>
      <c r="I49" s="3"/>
      <c r="J49" s="3"/>
      <c r="K49" s="3"/>
      <c r="P49" s="334"/>
      <c r="Q49" s="334"/>
    </row>
    <row r="50" spans="1:17" outlineLevel="1" x14ac:dyDescent="0.35">
      <c r="A50" s="333">
        <f t="shared" si="1"/>
        <v>50</v>
      </c>
      <c r="C50" s="2"/>
      <c r="D50" s="7"/>
      <c r="E50" s="7"/>
      <c r="F50" s="3"/>
      <c r="G50" s="3"/>
      <c r="H50" s="3"/>
      <c r="I50" s="3"/>
      <c r="J50" s="21"/>
      <c r="K50" s="21"/>
      <c r="L50" s="21"/>
      <c r="M50" s="21"/>
      <c r="N50" s="21"/>
      <c r="O50" s="3"/>
      <c r="P50" s="334"/>
      <c r="Q50" s="334"/>
    </row>
    <row r="51" spans="1:17" outlineLevel="1" x14ac:dyDescent="0.35">
      <c r="A51" s="333">
        <f t="shared" si="1"/>
        <v>51</v>
      </c>
      <c r="C51" s="24" t="s">
        <v>512</v>
      </c>
      <c r="D51" s="25"/>
      <c r="E51" s="25"/>
      <c r="F51" s="26"/>
      <c r="G51" s="26"/>
      <c r="H51" s="26"/>
      <c r="I51" s="26"/>
      <c r="J51" s="26"/>
      <c r="K51" s="26"/>
      <c r="P51" s="334"/>
      <c r="Q51" s="334"/>
    </row>
    <row r="52" spans="1:17" outlineLevel="1" x14ac:dyDescent="0.35">
      <c r="A52" s="333">
        <f t="shared" si="1"/>
        <v>52</v>
      </c>
      <c r="C52" s="2"/>
      <c r="D52" s="7" t="s">
        <v>639</v>
      </c>
      <c r="E52" s="391"/>
      <c r="F52" s="1" t="s">
        <v>38</v>
      </c>
      <c r="G52" s="3"/>
      <c r="I52" s="3" t="s">
        <v>638</v>
      </c>
      <c r="J52" s="353"/>
      <c r="K52" s="1" t="s">
        <v>38</v>
      </c>
      <c r="P52" s="334"/>
      <c r="Q52" s="334"/>
    </row>
    <row r="53" spans="1:17" outlineLevel="1" x14ac:dyDescent="0.35">
      <c r="A53" s="333">
        <f t="shared" si="1"/>
        <v>53</v>
      </c>
      <c r="C53" s="16"/>
      <c r="D53" s="7" t="s">
        <v>640</v>
      </c>
      <c r="E53" s="391"/>
      <c r="F53" s="1" t="s">
        <v>38</v>
      </c>
      <c r="G53" s="8" t="str">
        <f>+IF(E53="","",IF(E52&gt;E53,"ERROR! No puede ser el destete mayor a la preñez",""))</f>
        <v/>
      </c>
      <c r="I53" s="14" t="s">
        <v>51</v>
      </c>
      <c r="J53" s="365"/>
      <c r="K53" s="1" t="s">
        <v>52</v>
      </c>
      <c r="P53" s="334"/>
      <c r="Q53" s="334"/>
    </row>
    <row r="54" spans="1:17" outlineLevel="1" x14ac:dyDescent="0.35">
      <c r="A54" s="333">
        <f t="shared" si="1"/>
        <v>54</v>
      </c>
      <c r="C54" s="16"/>
      <c r="D54" s="7" t="s">
        <v>643</v>
      </c>
      <c r="E54" s="367"/>
      <c r="H54" s="3"/>
      <c r="I54" s="3" t="s">
        <v>642</v>
      </c>
      <c r="J54" s="353"/>
      <c r="K54" s="1" t="s">
        <v>38</v>
      </c>
      <c r="P54" s="334"/>
      <c r="Q54" s="334"/>
    </row>
    <row r="55" spans="1:17" outlineLevel="1" x14ac:dyDescent="0.35">
      <c r="A55" s="333">
        <f t="shared" si="1"/>
        <v>55</v>
      </c>
      <c r="C55" s="16"/>
      <c r="D55" s="7" t="s">
        <v>641</v>
      </c>
      <c r="E55" s="367"/>
      <c r="F55" s="1" t="s">
        <v>34</v>
      </c>
      <c r="H55" s="3"/>
      <c r="P55" s="334"/>
      <c r="Q55" s="334"/>
    </row>
    <row r="56" spans="1:17" outlineLevel="1" x14ac:dyDescent="0.35">
      <c r="A56" s="333">
        <f t="shared" si="1"/>
        <v>56</v>
      </c>
      <c r="I56" s="2" t="s">
        <v>645</v>
      </c>
      <c r="J56" s="2" t="s">
        <v>646</v>
      </c>
      <c r="P56" s="334"/>
      <c r="Q56" s="334"/>
    </row>
    <row r="57" spans="1:17" outlineLevel="1" x14ac:dyDescent="0.35">
      <c r="A57" s="333">
        <f t="shared" si="1"/>
        <v>57</v>
      </c>
      <c r="D57" s="3" t="s">
        <v>58</v>
      </c>
      <c r="E57" s="28"/>
      <c r="F57" s="1" t="s">
        <v>59</v>
      </c>
      <c r="H57" s="3" t="s">
        <v>647</v>
      </c>
      <c r="I57" s="389"/>
      <c r="J57" s="366"/>
      <c r="P57" s="334"/>
      <c r="Q57" s="334"/>
    </row>
    <row r="58" spans="1:17" outlineLevel="1" x14ac:dyDescent="0.35">
      <c r="A58" s="333">
        <f t="shared" si="1"/>
        <v>58</v>
      </c>
      <c r="D58" s="3" t="s">
        <v>644</v>
      </c>
      <c r="E58" s="28"/>
      <c r="H58" s="3" t="s">
        <v>648</v>
      </c>
      <c r="I58" s="389"/>
      <c r="J58" s="366"/>
      <c r="P58" s="334"/>
      <c r="Q58" s="334"/>
    </row>
    <row r="59" spans="1:17" outlineLevel="1" x14ac:dyDescent="0.35">
      <c r="A59" s="333">
        <f t="shared" si="1"/>
        <v>59</v>
      </c>
      <c r="F59" s="27"/>
      <c r="G59" s="27"/>
      <c r="P59" s="334"/>
      <c r="Q59" s="334"/>
    </row>
    <row r="60" spans="1:17" outlineLevel="1" x14ac:dyDescent="0.35">
      <c r="A60" s="333">
        <f t="shared" si="1"/>
        <v>60</v>
      </c>
      <c r="C60" s="59" t="s">
        <v>192</v>
      </c>
      <c r="D60" s="27"/>
      <c r="E60" s="18" t="s">
        <v>189</v>
      </c>
      <c r="F60" s="18" t="s">
        <v>190</v>
      </c>
      <c r="G60" s="18" t="s">
        <v>191</v>
      </c>
      <c r="H60" s="18" t="s">
        <v>113</v>
      </c>
      <c r="I60" s="18" t="s">
        <v>193</v>
      </c>
      <c r="P60" s="334"/>
      <c r="Q60" s="334"/>
    </row>
    <row r="61" spans="1:17" outlineLevel="1" x14ac:dyDescent="0.35">
      <c r="A61" s="333">
        <f t="shared" si="1"/>
        <v>61</v>
      </c>
      <c r="D61" s="3" t="s">
        <v>188</v>
      </c>
      <c r="E61" s="28"/>
      <c r="F61" s="28"/>
      <c r="G61" s="28"/>
      <c r="H61" s="28"/>
      <c r="I61" s="28"/>
      <c r="P61" s="334"/>
      <c r="Q61" s="334"/>
    </row>
    <row r="62" spans="1:17" x14ac:dyDescent="0.35">
      <c r="A62" s="333">
        <f t="shared" si="1"/>
        <v>62</v>
      </c>
      <c r="P62" s="334"/>
      <c r="Q62" s="334"/>
    </row>
    <row r="63" spans="1:17" x14ac:dyDescent="0.35">
      <c r="A63" s="333">
        <f t="shared" si="1"/>
        <v>63</v>
      </c>
      <c r="B63" s="348" t="s">
        <v>60</v>
      </c>
      <c r="C63" s="348"/>
      <c r="D63" s="348"/>
      <c r="E63" s="348"/>
      <c r="F63" s="348"/>
      <c r="G63" s="348"/>
      <c r="H63" s="349"/>
      <c r="I63" s="349"/>
      <c r="J63" s="349"/>
      <c r="K63" s="349"/>
      <c r="L63" s="349"/>
      <c r="M63" s="349"/>
      <c r="N63" s="350"/>
      <c r="O63" s="350"/>
      <c r="P63" s="334"/>
      <c r="Q63" s="334"/>
    </row>
    <row r="64" spans="1:17" outlineLevel="2" x14ac:dyDescent="0.35">
      <c r="A64" s="333">
        <f t="shared" si="1"/>
        <v>64</v>
      </c>
      <c r="B64" s="8"/>
      <c r="C64" s="354" t="s">
        <v>513</v>
      </c>
      <c r="D64" s="17"/>
      <c r="E64" s="8"/>
      <c r="L64" s="368"/>
      <c r="M64" s="368"/>
      <c r="N64" s="369"/>
      <c r="O64" s="369"/>
      <c r="P64" s="334"/>
      <c r="Q64" s="334"/>
    </row>
    <row r="65" spans="1:17" outlineLevel="2" x14ac:dyDescent="0.35">
      <c r="A65" s="333">
        <f t="shared" si="1"/>
        <v>65</v>
      </c>
      <c r="C65" s="370" t="s">
        <v>574</v>
      </c>
      <c r="N65" s="1"/>
      <c r="P65" s="334"/>
      <c r="Q65" s="334"/>
    </row>
    <row r="66" spans="1:17" outlineLevel="2" x14ac:dyDescent="0.35">
      <c r="A66" s="333">
        <f t="shared" si="1"/>
        <v>66</v>
      </c>
      <c r="N66" s="1"/>
      <c r="O66" s="1"/>
      <c r="P66" s="334"/>
      <c r="Q66" s="334"/>
    </row>
    <row r="67" spans="1:17" outlineLevel="2" x14ac:dyDescent="0.35">
      <c r="A67" s="333">
        <f t="shared" ref="A67:A130" si="2">+A66+1</f>
        <v>67</v>
      </c>
      <c r="C67" s="60"/>
      <c r="D67" s="60" t="s">
        <v>61</v>
      </c>
      <c r="H67" s="29" t="s">
        <v>567</v>
      </c>
      <c r="I67" s="29"/>
      <c r="N67" s="1"/>
      <c r="O67" s="1"/>
      <c r="P67" s="334"/>
      <c r="Q67" s="334"/>
    </row>
    <row r="68" spans="1:17" outlineLevel="2" x14ac:dyDescent="0.35">
      <c r="A68" s="333">
        <f t="shared" si="2"/>
        <v>68</v>
      </c>
      <c r="D68" s="3" t="s">
        <v>40</v>
      </c>
      <c r="E68" s="28"/>
      <c r="F68" s="1" t="s">
        <v>41</v>
      </c>
      <c r="I68" s="3" t="s">
        <v>40</v>
      </c>
      <c r="J68" s="28"/>
      <c r="K68" s="1" t="s">
        <v>41</v>
      </c>
      <c r="O68" s="1"/>
      <c r="P68" s="334"/>
      <c r="Q68" s="334"/>
    </row>
    <row r="69" spans="1:17" outlineLevel="2" x14ac:dyDescent="0.35">
      <c r="A69" s="333">
        <f t="shared" si="2"/>
        <v>69</v>
      </c>
      <c r="D69" s="3"/>
      <c r="I69" s="3"/>
      <c r="P69" s="334"/>
      <c r="Q69" s="334"/>
    </row>
    <row r="70" spans="1:17" outlineLevel="2" x14ac:dyDescent="0.35">
      <c r="A70" s="333">
        <f t="shared" si="2"/>
        <v>70</v>
      </c>
      <c r="D70" s="7" t="s">
        <v>43</v>
      </c>
      <c r="E70" s="28"/>
      <c r="F70" s="16" t="s">
        <v>518</v>
      </c>
      <c r="I70" s="7" t="s">
        <v>43</v>
      </c>
      <c r="J70" s="28"/>
      <c r="K70" s="16" t="s">
        <v>518</v>
      </c>
      <c r="P70" s="334"/>
      <c r="Q70" s="334"/>
    </row>
    <row r="71" spans="1:17" outlineLevel="2" x14ac:dyDescent="0.35">
      <c r="A71" s="333">
        <f t="shared" si="2"/>
        <v>71</v>
      </c>
      <c r="D71" s="3" t="s">
        <v>43</v>
      </c>
      <c r="E71" s="28"/>
      <c r="F71" s="1" t="s">
        <v>41</v>
      </c>
      <c r="I71" s="3" t="s">
        <v>43</v>
      </c>
      <c r="J71" s="28"/>
      <c r="K71" s="1" t="s">
        <v>41</v>
      </c>
      <c r="P71" s="334"/>
      <c r="Q71" s="334"/>
    </row>
    <row r="72" spans="1:17" outlineLevel="2" x14ac:dyDescent="0.35">
      <c r="A72" s="333">
        <f t="shared" si="2"/>
        <v>72</v>
      </c>
      <c r="D72" s="371" t="s">
        <v>194</v>
      </c>
      <c r="E72" s="357"/>
      <c r="F72" s="1" t="s">
        <v>62</v>
      </c>
      <c r="I72" s="371" t="s">
        <v>194</v>
      </c>
      <c r="J72" s="357"/>
      <c r="K72" s="1" t="s">
        <v>62</v>
      </c>
      <c r="P72" s="334"/>
      <c r="Q72" s="334"/>
    </row>
    <row r="73" spans="1:17" outlineLevel="2" x14ac:dyDescent="0.35">
      <c r="A73" s="333">
        <f t="shared" si="2"/>
        <v>73</v>
      </c>
      <c r="D73" s="372" t="s">
        <v>68</v>
      </c>
      <c r="E73" s="373" t="e">
        <f>+E68/E70/365</f>
        <v>#DIV/0!</v>
      </c>
      <c r="F73" s="1" t="s">
        <v>69</v>
      </c>
      <c r="I73" s="372" t="s">
        <v>68</v>
      </c>
      <c r="J73" s="373" t="e">
        <f>+J68/J70/365</f>
        <v>#DIV/0!</v>
      </c>
      <c r="K73" s="1" t="s">
        <v>69</v>
      </c>
      <c r="P73" s="334"/>
      <c r="Q73" s="334"/>
    </row>
    <row r="74" spans="1:17" outlineLevel="2" x14ac:dyDescent="0.35">
      <c r="A74" s="333">
        <f t="shared" si="2"/>
        <v>74</v>
      </c>
      <c r="D74" s="372" t="s">
        <v>39</v>
      </c>
      <c r="E74" s="373" t="e">
        <f>E68/E71</f>
        <v>#DIV/0!</v>
      </c>
      <c r="I74" s="372" t="s">
        <v>39</v>
      </c>
      <c r="J74" s="373" t="e">
        <f>+J68/J71</f>
        <v>#DIV/0!</v>
      </c>
      <c r="P74" s="334"/>
      <c r="Q74" s="334"/>
    </row>
    <row r="75" spans="1:17" outlineLevel="2" x14ac:dyDescent="0.35">
      <c r="A75" s="333">
        <f t="shared" si="2"/>
        <v>75</v>
      </c>
      <c r="D75" s="14" t="s">
        <v>519</v>
      </c>
      <c r="E75" s="374" t="e">
        <f>+E68/E70</f>
        <v>#DIV/0!</v>
      </c>
      <c r="I75" s="14" t="s">
        <v>519</v>
      </c>
      <c r="J75" s="374" t="e">
        <f>+J68/J70</f>
        <v>#DIV/0!</v>
      </c>
      <c r="P75" s="334"/>
      <c r="Q75" s="334"/>
    </row>
    <row r="76" spans="1:17" outlineLevel="2" x14ac:dyDescent="0.35">
      <c r="A76" s="333">
        <f t="shared" si="2"/>
        <v>76</v>
      </c>
      <c r="P76" s="334"/>
      <c r="Q76" s="334"/>
    </row>
    <row r="77" spans="1:17" outlineLevel="2" x14ac:dyDescent="0.35">
      <c r="A77" s="333">
        <f t="shared" si="2"/>
        <v>77</v>
      </c>
      <c r="C77" s="308" t="s">
        <v>573</v>
      </c>
      <c r="H77" s="308" t="s">
        <v>572</v>
      </c>
      <c r="P77" s="334"/>
      <c r="Q77" s="334"/>
    </row>
    <row r="78" spans="1:17" outlineLevel="2" x14ac:dyDescent="0.35">
      <c r="A78" s="333">
        <f t="shared" si="2"/>
        <v>78</v>
      </c>
      <c r="C78" s="309" t="s">
        <v>565</v>
      </c>
      <c r="H78" s="309" t="s">
        <v>565</v>
      </c>
      <c r="P78" s="334"/>
      <c r="Q78" s="334"/>
    </row>
    <row r="79" spans="1:17" outlineLevel="2" x14ac:dyDescent="0.35">
      <c r="A79" s="333">
        <f t="shared" si="2"/>
        <v>79</v>
      </c>
      <c r="D79" s="1" t="s">
        <v>522</v>
      </c>
      <c r="E79" s="375"/>
      <c r="I79" s="1" t="s">
        <v>522</v>
      </c>
      <c r="J79" s="375"/>
      <c r="P79" s="334"/>
      <c r="Q79" s="334"/>
    </row>
    <row r="80" spans="1:17" outlineLevel="2" x14ac:dyDescent="0.35">
      <c r="A80" s="333">
        <f t="shared" si="2"/>
        <v>80</v>
      </c>
      <c r="I80" s="14" t="s">
        <v>566</v>
      </c>
      <c r="J80" s="28"/>
      <c r="P80" s="334"/>
      <c r="Q80" s="334"/>
    </row>
    <row r="81" spans="1:17" outlineLevel="2" x14ac:dyDescent="0.35">
      <c r="A81" s="333">
        <f t="shared" si="2"/>
        <v>81</v>
      </c>
      <c r="D81" s="1" t="s">
        <v>520</v>
      </c>
      <c r="E81" s="28"/>
      <c r="F81" s="1" t="s">
        <v>59</v>
      </c>
      <c r="I81" s="1" t="s">
        <v>520</v>
      </c>
      <c r="J81" s="28"/>
      <c r="K81" s="1" t="s">
        <v>59</v>
      </c>
      <c r="P81" s="334"/>
      <c r="Q81" s="334"/>
    </row>
    <row r="82" spans="1:17" outlineLevel="2" x14ac:dyDescent="0.35">
      <c r="A82" s="333">
        <f t="shared" si="2"/>
        <v>82</v>
      </c>
      <c r="D82" s="1" t="s">
        <v>521</v>
      </c>
      <c r="E82" s="28"/>
      <c r="F82" s="1" t="s">
        <v>59</v>
      </c>
      <c r="I82" s="1" t="s">
        <v>521</v>
      </c>
      <c r="J82" s="28"/>
      <c r="K82" s="1" t="s">
        <v>59</v>
      </c>
      <c r="P82" s="334"/>
      <c r="Q82" s="334"/>
    </row>
    <row r="83" spans="1:17" outlineLevel="2" x14ac:dyDescent="0.35">
      <c r="A83" s="333">
        <f t="shared" si="2"/>
        <v>83</v>
      </c>
      <c r="D83" s="372" t="s">
        <v>523</v>
      </c>
      <c r="E83" s="376"/>
      <c r="I83" s="372" t="s">
        <v>523</v>
      </c>
      <c r="J83" s="376"/>
      <c r="P83" s="334"/>
      <c r="Q83" s="334"/>
    </row>
    <row r="84" spans="1:17" outlineLevel="2" x14ac:dyDescent="0.35">
      <c r="A84" s="333">
        <f t="shared" si="2"/>
        <v>84</v>
      </c>
      <c r="D84" s="372" t="s">
        <v>66</v>
      </c>
      <c r="E84" s="377"/>
      <c r="F84" s="1" t="s">
        <v>67</v>
      </c>
      <c r="I84" s="372" t="s">
        <v>66</v>
      </c>
      <c r="J84" s="377"/>
      <c r="K84" s="1" t="s">
        <v>67</v>
      </c>
      <c r="P84" s="334"/>
      <c r="Q84" s="334"/>
    </row>
    <row r="85" spans="1:17" outlineLevel="2" x14ac:dyDescent="0.35">
      <c r="A85" s="333">
        <f t="shared" si="2"/>
        <v>85</v>
      </c>
      <c r="D85" s="378"/>
      <c r="E85" s="3"/>
      <c r="F85" s="379"/>
      <c r="G85" s="16"/>
      <c r="H85" s="16"/>
      <c r="I85" s="16"/>
      <c r="J85" s="7"/>
      <c r="K85" s="379"/>
      <c r="P85" s="334"/>
      <c r="Q85" s="334"/>
    </row>
    <row r="86" spans="1:17" x14ac:dyDescent="0.35">
      <c r="A86" s="333">
        <f t="shared" si="2"/>
        <v>86</v>
      </c>
      <c r="B86" s="348" t="s">
        <v>70</v>
      </c>
      <c r="C86" s="348"/>
      <c r="D86" s="348"/>
      <c r="E86" s="348"/>
      <c r="F86" s="348"/>
      <c r="G86" s="348"/>
      <c r="H86" s="349"/>
      <c r="I86" s="349"/>
      <c r="J86" s="349"/>
      <c r="K86" s="349"/>
      <c r="L86" s="349"/>
      <c r="M86" s="349"/>
      <c r="N86" s="350"/>
      <c r="O86" s="350"/>
      <c r="P86" s="334"/>
      <c r="Q86" s="334"/>
    </row>
    <row r="87" spans="1:17" outlineLevel="1" x14ac:dyDescent="0.35">
      <c r="A87" s="333">
        <f t="shared" si="2"/>
        <v>87</v>
      </c>
      <c r="B87" s="8"/>
      <c r="C87" s="354" t="s">
        <v>71</v>
      </c>
      <c r="D87" s="17"/>
      <c r="E87" s="8"/>
      <c r="F87" s="380"/>
      <c r="G87" s="380"/>
      <c r="H87" s="368"/>
      <c r="I87" s="368"/>
      <c r="J87" s="368"/>
      <c r="K87" s="368"/>
      <c r="L87" s="368"/>
      <c r="M87" s="368"/>
      <c r="N87" s="369"/>
      <c r="O87" s="369"/>
      <c r="P87" s="334"/>
      <c r="Q87" s="334"/>
    </row>
    <row r="88" spans="1:17" outlineLevel="1" x14ac:dyDescent="0.35">
      <c r="A88" s="333">
        <f t="shared" si="2"/>
        <v>88</v>
      </c>
      <c r="B88" s="380"/>
      <c r="D88" s="380"/>
      <c r="E88" s="380"/>
      <c r="F88" s="380"/>
      <c r="G88" s="380"/>
      <c r="H88" s="368"/>
      <c r="I88" s="368"/>
      <c r="J88" s="368"/>
      <c r="K88" s="368"/>
      <c r="L88" s="368"/>
      <c r="M88" s="368"/>
      <c r="N88" s="369"/>
      <c r="O88" s="369"/>
      <c r="P88" s="334"/>
      <c r="Q88" s="334"/>
    </row>
    <row r="89" spans="1:17" outlineLevel="1" x14ac:dyDescent="0.35">
      <c r="A89" s="333">
        <f t="shared" si="2"/>
        <v>89</v>
      </c>
      <c r="B89" s="380"/>
      <c r="C89" s="354"/>
      <c r="D89" s="380"/>
      <c r="E89" s="380"/>
      <c r="F89" s="380"/>
      <c r="G89" s="381" t="s">
        <v>72</v>
      </c>
      <c r="H89" s="382"/>
      <c r="I89" s="368"/>
      <c r="J89" s="368"/>
      <c r="K89" s="368"/>
      <c r="L89" s="368"/>
      <c r="M89" s="368"/>
      <c r="N89" s="369"/>
      <c r="O89" s="369"/>
      <c r="P89" s="334"/>
    </row>
    <row r="90" spans="1:17" outlineLevel="1" x14ac:dyDescent="0.35">
      <c r="A90" s="333">
        <f t="shared" si="2"/>
        <v>90</v>
      </c>
      <c r="B90" s="380"/>
      <c r="C90" s="354" t="s">
        <v>661</v>
      </c>
      <c r="D90" s="380"/>
      <c r="E90" s="380"/>
      <c r="F90" s="380"/>
      <c r="G90" s="381" t="s">
        <v>73</v>
      </c>
      <c r="H90" s="383"/>
      <c r="I90" s="368"/>
      <c r="J90" s="368"/>
      <c r="K90" s="368"/>
      <c r="L90" s="368"/>
      <c r="M90" s="368"/>
      <c r="N90" s="369"/>
      <c r="O90" s="369"/>
      <c r="P90" s="334"/>
    </row>
    <row r="91" spans="1:17" outlineLevel="1" x14ac:dyDescent="0.35">
      <c r="A91" s="333">
        <f t="shared" si="2"/>
        <v>91</v>
      </c>
      <c r="P91" s="334"/>
    </row>
    <row r="92" spans="1:17" outlineLevel="1" x14ac:dyDescent="0.35">
      <c r="A92" s="333">
        <f t="shared" si="2"/>
        <v>92</v>
      </c>
      <c r="D92" s="29" t="s">
        <v>74</v>
      </c>
      <c r="G92" s="30"/>
      <c r="H92" s="31"/>
      <c r="I92" s="29" t="s">
        <v>75</v>
      </c>
      <c r="P92" s="334"/>
    </row>
    <row r="93" spans="1:17" outlineLevel="1" x14ac:dyDescent="0.35">
      <c r="A93" s="333">
        <f t="shared" si="2"/>
        <v>93</v>
      </c>
      <c r="D93" s="371"/>
      <c r="G93" s="30"/>
      <c r="H93" s="31"/>
      <c r="P93" s="334"/>
    </row>
    <row r="94" spans="1:17" outlineLevel="1" x14ac:dyDescent="0.35">
      <c r="A94" s="333">
        <f t="shared" si="2"/>
        <v>94</v>
      </c>
      <c r="D94" s="372" t="s">
        <v>63</v>
      </c>
      <c r="E94" s="28"/>
      <c r="F94" s="1" t="s">
        <v>64</v>
      </c>
      <c r="G94" s="30"/>
      <c r="I94" s="3" t="s">
        <v>40</v>
      </c>
      <c r="J94" s="28"/>
      <c r="K94" s="1" t="s">
        <v>41</v>
      </c>
      <c r="M94" s="10"/>
      <c r="P94" s="334"/>
    </row>
    <row r="95" spans="1:17" ht="18" customHeight="1" outlineLevel="1" x14ac:dyDescent="0.35">
      <c r="A95" s="333">
        <f t="shared" si="2"/>
        <v>95</v>
      </c>
      <c r="D95" s="3"/>
      <c r="E95" s="3"/>
      <c r="G95" s="30"/>
      <c r="I95" s="3"/>
      <c r="M95" s="10"/>
      <c r="P95" s="334"/>
    </row>
    <row r="96" spans="1:17" outlineLevel="1" x14ac:dyDescent="0.35">
      <c r="A96" s="333">
        <f t="shared" si="2"/>
        <v>96</v>
      </c>
      <c r="D96" s="14" t="s">
        <v>519</v>
      </c>
      <c r="E96" s="28"/>
      <c r="F96" s="1" t="s">
        <v>655</v>
      </c>
      <c r="G96" s="30"/>
      <c r="I96" s="14" t="s">
        <v>519</v>
      </c>
      <c r="J96" s="28"/>
      <c r="K96" s="16" t="s">
        <v>518</v>
      </c>
      <c r="M96" s="10"/>
      <c r="P96" s="334"/>
    </row>
    <row r="97" spans="1:17 16382:16382" outlineLevel="1" x14ac:dyDescent="0.35">
      <c r="A97" s="333">
        <f t="shared" si="2"/>
        <v>97</v>
      </c>
      <c r="D97" s="372" t="s">
        <v>660</v>
      </c>
      <c r="E97" s="397"/>
      <c r="F97" s="1" t="s">
        <v>69</v>
      </c>
      <c r="G97" s="30"/>
      <c r="I97" s="372" t="s">
        <v>660</v>
      </c>
      <c r="J97" s="397"/>
      <c r="K97" s="1" t="s">
        <v>41</v>
      </c>
      <c r="P97" s="334"/>
    </row>
    <row r="98" spans="1:17 16382:16382" outlineLevel="1" x14ac:dyDescent="0.35">
      <c r="A98" s="333">
        <f t="shared" si="2"/>
        <v>98</v>
      </c>
      <c r="D98" s="371" t="s">
        <v>194</v>
      </c>
      <c r="E98" s="357"/>
      <c r="F98" s="1" t="s">
        <v>62</v>
      </c>
      <c r="G98" s="30"/>
      <c r="I98" s="371" t="s">
        <v>194</v>
      </c>
      <c r="J98" s="357"/>
      <c r="K98" s="1" t="s">
        <v>62</v>
      </c>
      <c r="P98" s="334"/>
    </row>
    <row r="99" spans="1:17 16382:16382" outlineLevel="1" x14ac:dyDescent="0.35">
      <c r="A99" s="333">
        <f t="shared" si="2"/>
        <v>99</v>
      </c>
      <c r="D99" s="372" t="s">
        <v>76</v>
      </c>
      <c r="E99" s="357"/>
      <c r="F99" s="1" t="s">
        <v>77</v>
      </c>
      <c r="G99" s="30"/>
      <c r="I99" s="372" t="s">
        <v>76</v>
      </c>
      <c r="J99" s="357"/>
      <c r="K99" s="1" t="s">
        <v>77</v>
      </c>
      <c r="P99" s="334"/>
    </row>
    <row r="100" spans="1:17 16382:16382" outlineLevel="1" x14ac:dyDescent="0.35">
      <c r="A100" s="333">
        <f t="shared" si="2"/>
        <v>100</v>
      </c>
      <c r="D100" s="372"/>
      <c r="E100" s="372"/>
      <c r="F100" s="372"/>
      <c r="G100" s="30"/>
      <c r="P100" s="334"/>
    </row>
    <row r="101" spans="1:17 16382:16382" outlineLevel="1" x14ac:dyDescent="0.35">
      <c r="A101" s="333">
        <f t="shared" si="2"/>
        <v>101</v>
      </c>
      <c r="C101" s="10"/>
      <c r="D101" s="14" t="s">
        <v>551</v>
      </c>
      <c r="E101" s="393" t="e">
        <f>+E99/E94</f>
        <v>#DIV/0!</v>
      </c>
      <c r="F101" s="372"/>
      <c r="G101" s="30"/>
      <c r="I101" s="14" t="s">
        <v>551</v>
      </c>
      <c r="J101" s="393" t="e">
        <f>+J99/J94</f>
        <v>#DIV/0!</v>
      </c>
      <c r="P101" s="334"/>
    </row>
    <row r="102" spans="1:17 16382:16382" outlineLevel="1" x14ac:dyDescent="0.35">
      <c r="A102" s="333">
        <f t="shared" si="2"/>
        <v>102</v>
      </c>
      <c r="D102" s="372"/>
      <c r="G102" s="30"/>
      <c r="P102" s="334"/>
    </row>
    <row r="103" spans="1:17 16382:16382" outlineLevel="1" x14ac:dyDescent="0.35">
      <c r="A103" s="333">
        <f t="shared" si="2"/>
        <v>103</v>
      </c>
      <c r="G103" s="30"/>
      <c r="P103" s="334"/>
    </row>
    <row r="104" spans="1:17 16382:16382" outlineLevel="1" x14ac:dyDescent="0.35">
      <c r="A104" s="333">
        <f t="shared" si="2"/>
        <v>104</v>
      </c>
      <c r="D104" s="308" t="s">
        <v>563</v>
      </c>
      <c r="G104" s="30"/>
      <c r="P104" s="334"/>
    </row>
    <row r="105" spans="1:17 16382:16382" outlineLevel="1" x14ac:dyDescent="0.35">
      <c r="A105" s="333">
        <f t="shared" si="2"/>
        <v>105</v>
      </c>
      <c r="C105" s="309" t="s">
        <v>564</v>
      </c>
      <c r="D105" s="308"/>
      <c r="G105" s="30"/>
      <c r="I105" s="308" t="s">
        <v>568</v>
      </c>
      <c r="P105" s="334"/>
    </row>
    <row r="106" spans="1:17 16382:16382" outlineLevel="2" x14ac:dyDescent="0.35">
      <c r="A106" s="333">
        <f t="shared" si="2"/>
        <v>106</v>
      </c>
      <c r="B106" s="309"/>
      <c r="G106" s="30"/>
      <c r="H106" s="1" t="s">
        <v>564</v>
      </c>
      <c r="P106" s="334"/>
      <c r="Q106" s="334"/>
    </row>
    <row r="107" spans="1:17 16382:16382" outlineLevel="1" x14ac:dyDescent="0.35">
      <c r="A107" s="333">
        <f t="shared" si="2"/>
        <v>107</v>
      </c>
      <c r="D107" s="1" t="s">
        <v>522</v>
      </c>
      <c r="E107" s="375"/>
      <c r="G107" s="30"/>
      <c r="I107" s="1" t="s">
        <v>522</v>
      </c>
      <c r="J107" s="375"/>
      <c r="P107" s="334"/>
      <c r="XFB107" s="1"/>
    </row>
    <row r="108" spans="1:17 16382:16382" outlineLevel="1" x14ac:dyDescent="0.35">
      <c r="A108" s="333">
        <f t="shared" si="2"/>
        <v>108</v>
      </c>
      <c r="G108" s="30"/>
      <c r="I108" s="14" t="s">
        <v>566</v>
      </c>
      <c r="J108" s="28"/>
      <c r="P108" s="334"/>
      <c r="XFB108" s="1"/>
    </row>
    <row r="109" spans="1:17 16382:16382" outlineLevel="1" x14ac:dyDescent="0.35">
      <c r="A109" s="333">
        <f t="shared" si="2"/>
        <v>109</v>
      </c>
      <c r="D109" s="1" t="s">
        <v>520</v>
      </c>
      <c r="E109" s="28"/>
      <c r="F109" s="1" t="s">
        <v>59</v>
      </c>
      <c r="G109" s="30"/>
      <c r="I109" s="1" t="s">
        <v>520</v>
      </c>
      <c r="J109" s="28"/>
      <c r="K109" s="1" t="s">
        <v>59</v>
      </c>
      <c r="P109" s="334"/>
    </row>
    <row r="110" spans="1:17 16382:16382" outlineLevel="1" x14ac:dyDescent="0.35">
      <c r="A110" s="333">
        <f t="shared" si="2"/>
        <v>110</v>
      </c>
      <c r="D110" s="1" t="s">
        <v>521</v>
      </c>
      <c r="E110" s="28"/>
      <c r="F110" s="1" t="s">
        <v>59</v>
      </c>
      <c r="G110" s="30"/>
      <c r="I110" s="1" t="s">
        <v>521</v>
      </c>
      <c r="J110" s="28"/>
      <c r="K110" s="1" t="s">
        <v>59</v>
      </c>
      <c r="P110" s="334"/>
    </row>
    <row r="111" spans="1:17 16382:16382" ht="15" customHeight="1" outlineLevel="1" x14ac:dyDescent="0.35">
      <c r="A111" s="333">
        <f t="shared" si="2"/>
        <v>111</v>
      </c>
      <c r="G111" s="30"/>
      <c r="P111" s="334"/>
    </row>
    <row r="112" spans="1:17 16382:16382" ht="15" customHeight="1" outlineLevel="1" x14ac:dyDescent="0.35">
      <c r="A112" s="333">
        <f t="shared" si="2"/>
        <v>112</v>
      </c>
      <c r="C112" s="10"/>
      <c r="D112" s="384" t="s">
        <v>540</v>
      </c>
      <c r="E112" s="1" t="s">
        <v>67</v>
      </c>
      <c r="G112" s="30"/>
      <c r="I112" s="384" t="s">
        <v>540</v>
      </c>
      <c r="J112" s="1" t="s">
        <v>67</v>
      </c>
      <c r="P112" s="334"/>
    </row>
    <row r="113" spans="1:16" outlineLevel="1" x14ac:dyDescent="0.35">
      <c r="A113" s="333">
        <f t="shared" si="2"/>
        <v>113</v>
      </c>
      <c r="D113" s="372" t="s">
        <v>78</v>
      </c>
      <c r="E113" s="385"/>
      <c r="G113" s="30"/>
      <c r="I113" s="372" t="s">
        <v>78</v>
      </c>
      <c r="J113" s="385"/>
      <c r="P113" s="334"/>
    </row>
    <row r="114" spans="1:16" outlineLevel="1" x14ac:dyDescent="0.35">
      <c r="A114" s="333">
        <f t="shared" si="2"/>
        <v>114</v>
      </c>
      <c r="D114" s="14" t="s">
        <v>79</v>
      </c>
      <c r="E114" s="385"/>
      <c r="G114" s="30"/>
      <c r="I114" s="14" t="s">
        <v>79</v>
      </c>
      <c r="J114" s="385"/>
      <c r="P114" s="334"/>
    </row>
    <row r="115" spans="1:16" outlineLevel="1" x14ac:dyDescent="0.35">
      <c r="A115" s="333">
        <f t="shared" si="2"/>
        <v>115</v>
      </c>
      <c r="D115" s="14" t="s">
        <v>80</v>
      </c>
      <c r="E115" s="385"/>
      <c r="G115" s="30"/>
      <c r="I115" s="14" t="s">
        <v>80</v>
      </c>
      <c r="J115" s="385"/>
      <c r="P115" s="334"/>
    </row>
    <row r="116" spans="1:16" outlineLevel="1" x14ac:dyDescent="0.35">
      <c r="A116" s="333">
        <f t="shared" si="2"/>
        <v>116</v>
      </c>
      <c r="D116" s="14" t="s">
        <v>81</v>
      </c>
      <c r="E116" s="385"/>
      <c r="G116" s="30"/>
      <c r="I116" s="14" t="s">
        <v>81</v>
      </c>
      <c r="J116" s="385"/>
      <c r="P116" s="334"/>
    </row>
    <row r="117" spans="1:16" outlineLevel="1" x14ac:dyDescent="0.35">
      <c r="A117" s="333">
        <f t="shared" si="2"/>
        <v>117</v>
      </c>
      <c r="D117" s="14" t="s">
        <v>82</v>
      </c>
      <c r="E117" s="385"/>
      <c r="G117" s="30"/>
      <c r="I117" s="14" t="s">
        <v>82</v>
      </c>
      <c r="J117" s="385"/>
      <c r="P117" s="334"/>
    </row>
    <row r="118" spans="1:16" outlineLevel="1" x14ac:dyDescent="0.35">
      <c r="A118" s="333">
        <f t="shared" si="2"/>
        <v>118</v>
      </c>
      <c r="D118" s="14" t="s">
        <v>83</v>
      </c>
      <c r="E118" s="385"/>
      <c r="G118" s="30"/>
      <c r="H118" s="31"/>
      <c r="I118" s="14" t="s">
        <v>83</v>
      </c>
      <c r="J118" s="385"/>
      <c r="P118" s="334"/>
    </row>
    <row r="119" spans="1:16" outlineLevel="1" x14ac:dyDescent="0.35">
      <c r="A119" s="333">
        <f t="shared" si="2"/>
        <v>119</v>
      </c>
      <c r="G119" s="33"/>
      <c r="P119" s="334"/>
    </row>
    <row r="120" spans="1:16" outlineLevel="1" x14ac:dyDescent="0.35">
      <c r="A120" s="333">
        <f t="shared" si="2"/>
        <v>120</v>
      </c>
      <c r="C120" s="2"/>
      <c r="D120" s="386" t="s">
        <v>84</v>
      </c>
      <c r="E120" s="387" t="str">
        <f>IFERROR(E94/(E94+E68),"")</f>
        <v/>
      </c>
      <c r="G120" s="33"/>
      <c r="I120" s="386" t="s">
        <v>85</v>
      </c>
      <c r="J120" s="387" t="str">
        <f>IFERROR(J94/(J94+J68),"")</f>
        <v/>
      </c>
      <c r="M120" s="16"/>
      <c r="N120" s="1"/>
      <c r="P120" s="334"/>
    </row>
    <row r="121" spans="1:16" outlineLevel="1" x14ac:dyDescent="0.35">
      <c r="A121" s="333">
        <f t="shared" si="2"/>
        <v>121</v>
      </c>
      <c r="D121" s="386" t="s">
        <v>86</v>
      </c>
      <c r="E121" s="388" t="str">
        <f>IF(E120="","",1-E120)</f>
        <v/>
      </c>
      <c r="G121" s="33"/>
      <c r="I121" s="386" t="s">
        <v>87</v>
      </c>
      <c r="J121" s="388" t="str">
        <f>IF(J120="","",1-J120)</f>
        <v/>
      </c>
      <c r="M121" s="16"/>
      <c r="N121" s="1"/>
      <c r="P121" s="334"/>
    </row>
    <row r="122" spans="1:16" outlineLevel="1" x14ac:dyDescent="0.35">
      <c r="A122" s="333">
        <f t="shared" si="2"/>
        <v>122</v>
      </c>
      <c r="G122" s="33"/>
      <c r="M122" s="16"/>
      <c r="N122" s="1"/>
      <c r="P122" s="334"/>
    </row>
    <row r="123" spans="1:16" outlineLevel="1" x14ac:dyDescent="0.35">
      <c r="A123" s="333">
        <f t="shared" si="2"/>
        <v>123</v>
      </c>
      <c r="E123" s="378"/>
      <c r="F123" s="16"/>
      <c r="G123" s="16"/>
      <c r="J123" s="378"/>
      <c r="K123" s="16"/>
      <c r="L123" s="378"/>
      <c r="M123" s="16"/>
      <c r="N123" s="1"/>
      <c r="P123" s="334"/>
    </row>
    <row r="124" spans="1:16" x14ac:dyDescent="0.35">
      <c r="A124" s="333">
        <f t="shared" si="2"/>
        <v>124</v>
      </c>
      <c r="C124" s="403" t="s">
        <v>552</v>
      </c>
      <c r="D124" s="403"/>
      <c r="E124" s="403"/>
      <c r="F124" s="403"/>
      <c r="G124" s="403"/>
      <c r="H124" s="403"/>
      <c r="I124" s="403"/>
      <c r="J124" s="403"/>
      <c r="K124" s="403"/>
      <c r="L124" s="403"/>
      <c r="M124" s="403"/>
      <c r="N124" s="403"/>
      <c r="P124" s="334"/>
    </row>
    <row r="125" spans="1:16" x14ac:dyDescent="0.35">
      <c r="A125" s="333">
        <f t="shared" si="2"/>
        <v>125</v>
      </c>
      <c r="C125" s="401"/>
      <c r="D125" s="401"/>
      <c r="E125" s="401"/>
      <c r="F125" s="401"/>
      <c r="G125" s="401"/>
      <c r="H125" s="401"/>
      <c r="I125" s="401"/>
      <c r="J125" s="401"/>
      <c r="K125" s="401"/>
      <c r="L125" s="401"/>
      <c r="M125" s="401"/>
      <c r="N125" s="401"/>
      <c r="P125" s="334"/>
    </row>
    <row r="126" spans="1:16" x14ac:dyDescent="0.35">
      <c r="A126" s="333">
        <f t="shared" si="2"/>
        <v>126</v>
      </c>
      <c r="C126" s="402"/>
      <c r="D126" s="402"/>
      <c r="E126" s="402"/>
      <c r="F126" s="402"/>
      <c r="G126" s="402"/>
      <c r="H126" s="402"/>
      <c r="I126" s="402"/>
      <c r="J126" s="402"/>
      <c r="K126" s="402"/>
      <c r="L126" s="402"/>
      <c r="M126" s="402"/>
      <c r="N126" s="402"/>
      <c r="P126" s="334"/>
    </row>
    <row r="127" spans="1:16" x14ac:dyDescent="0.35">
      <c r="A127" s="333">
        <f t="shared" si="2"/>
        <v>127</v>
      </c>
      <c r="C127" s="402"/>
      <c r="D127" s="402"/>
      <c r="E127" s="402"/>
      <c r="F127" s="402"/>
      <c r="G127" s="402"/>
      <c r="H127" s="402"/>
      <c r="I127" s="402"/>
      <c r="J127" s="402"/>
      <c r="K127" s="402"/>
      <c r="L127" s="402"/>
      <c r="M127" s="402"/>
      <c r="N127" s="402"/>
      <c r="P127" s="334"/>
    </row>
    <row r="128" spans="1:16" x14ac:dyDescent="0.35">
      <c r="A128" s="333">
        <f t="shared" si="2"/>
        <v>128</v>
      </c>
      <c r="C128" s="402"/>
      <c r="D128" s="402"/>
      <c r="E128" s="402"/>
      <c r="F128" s="402"/>
      <c r="G128" s="402"/>
      <c r="H128" s="402"/>
      <c r="I128" s="402"/>
      <c r="J128" s="402"/>
      <c r="K128" s="402"/>
      <c r="L128" s="402"/>
      <c r="M128" s="402"/>
      <c r="N128" s="402"/>
      <c r="P128" s="334"/>
    </row>
    <row r="129" spans="1:16" x14ac:dyDescent="0.35">
      <c r="A129" s="333">
        <f t="shared" si="2"/>
        <v>129</v>
      </c>
      <c r="C129" s="402"/>
      <c r="D129" s="402"/>
      <c r="E129" s="402"/>
      <c r="F129" s="402"/>
      <c r="G129" s="402"/>
      <c r="H129" s="402"/>
      <c r="I129" s="402"/>
      <c r="J129" s="402"/>
      <c r="K129" s="402"/>
      <c r="L129" s="402"/>
      <c r="M129" s="402"/>
      <c r="N129" s="402"/>
      <c r="P129" s="334"/>
    </row>
    <row r="130" spans="1:16" x14ac:dyDescent="0.35">
      <c r="A130" s="333">
        <f t="shared" si="2"/>
        <v>130</v>
      </c>
      <c r="C130" s="402"/>
      <c r="D130" s="402"/>
      <c r="E130" s="402"/>
      <c r="F130" s="402"/>
      <c r="G130" s="402"/>
      <c r="H130" s="402"/>
      <c r="I130" s="402"/>
      <c r="J130" s="402"/>
      <c r="K130" s="402"/>
      <c r="L130" s="402"/>
      <c r="M130" s="402"/>
      <c r="N130" s="402"/>
      <c r="P130" s="334"/>
    </row>
    <row r="131" spans="1:16" x14ac:dyDescent="0.35">
      <c r="A131" s="333">
        <f t="shared" ref="A131:O135" si="3">+A130+1</f>
        <v>131</v>
      </c>
      <c r="C131" s="402"/>
      <c r="D131" s="402"/>
      <c r="E131" s="402"/>
      <c r="F131" s="402"/>
      <c r="G131" s="402"/>
      <c r="H131" s="402"/>
      <c r="I131" s="402"/>
      <c r="J131" s="402"/>
      <c r="K131" s="402"/>
      <c r="L131" s="402"/>
      <c r="M131" s="402"/>
      <c r="N131" s="402"/>
      <c r="P131" s="334"/>
    </row>
    <row r="132" spans="1:16" x14ac:dyDescent="0.35">
      <c r="A132" s="333">
        <f t="shared" si="3"/>
        <v>132</v>
      </c>
      <c r="C132" s="402"/>
      <c r="D132" s="402"/>
      <c r="E132" s="402"/>
      <c r="F132" s="402"/>
      <c r="G132" s="402"/>
      <c r="H132" s="402"/>
      <c r="I132" s="402"/>
      <c r="J132" s="402"/>
      <c r="K132" s="402"/>
      <c r="L132" s="402"/>
      <c r="M132" s="402"/>
      <c r="N132" s="402"/>
      <c r="P132" s="334"/>
    </row>
    <row r="133" spans="1:16" x14ac:dyDescent="0.35">
      <c r="A133" s="333">
        <f t="shared" si="3"/>
        <v>133</v>
      </c>
      <c r="P133" s="334"/>
    </row>
    <row r="134" spans="1:16" ht="14.5" x14ac:dyDescent="0.35">
      <c r="A134" s="333">
        <f t="shared" si="3"/>
        <v>134</v>
      </c>
      <c r="B134" s="333">
        <f t="shared" si="3"/>
        <v>1</v>
      </c>
      <c r="C134" s="333">
        <f t="shared" si="3"/>
        <v>1</v>
      </c>
      <c r="D134" s="333">
        <f t="shared" si="3"/>
        <v>1</v>
      </c>
      <c r="E134" s="333">
        <f t="shared" si="3"/>
        <v>1</v>
      </c>
      <c r="F134" s="333">
        <f t="shared" si="3"/>
        <v>1</v>
      </c>
      <c r="G134" s="333">
        <f t="shared" si="3"/>
        <v>1</v>
      </c>
      <c r="H134" s="333">
        <f t="shared" si="3"/>
        <v>1</v>
      </c>
      <c r="I134" s="333">
        <f t="shared" si="3"/>
        <v>1</v>
      </c>
      <c r="J134" s="333">
        <f t="shared" si="3"/>
        <v>1</v>
      </c>
      <c r="K134" s="333">
        <f t="shared" si="3"/>
        <v>1</v>
      </c>
      <c r="L134" s="333">
        <f t="shared" si="3"/>
        <v>1</v>
      </c>
      <c r="M134" s="333">
        <f t="shared" si="3"/>
        <v>1</v>
      </c>
      <c r="N134" s="333">
        <f t="shared" si="3"/>
        <v>1</v>
      </c>
      <c r="O134" s="333">
        <f t="shared" si="3"/>
        <v>1</v>
      </c>
      <c r="P134" s="334"/>
    </row>
    <row r="135" spans="1:16" ht="14.5" x14ac:dyDescent="0.35">
      <c r="A135" s="333">
        <f t="shared" si="3"/>
        <v>135</v>
      </c>
      <c r="B135" s="333">
        <f t="shared" si="3"/>
        <v>2</v>
      </c>
      <c r="C135" s="333">
        <f t="shared" si="3"/>
        <v>2</v>
      </c>
      <c r="D135" s="333">
        <f t="shared" si="3"/>
        <v>2</v>
      </c>
      <c r="E135" s="333">
        <f t="shared" si="3"/>
        <v>2</v>
      </c>
      <c r="F135" s="333">
        <f t="shared" si="3"/>
        <v>2</v>
      </c>
      <c r="G135" s="333">
        <f t="shared" si="3"/>
        <v>2</v>
      </c>
      <c r="H135" s="333">
        <f t="shared" si="3"/>
        <v>2</v>
      </c>
      <c r="I135" s="333">
        <f t="shared" si="3"/>
        <v>2</v>
      </c>
      <c r="J135" s="333">
        <f t="shared" si="3"/>
        <v>2</v>
      </c>
      <c r="K135" s="333">
        <f t="shared" si="3"/>
        <v>2</v>
      </c>
      <c r="L135" s="333">
        <f t="shared" si="3"/>
        <v>2</v>
      </c>
      <c r="M135" s="333">
        <f t="shared" si="3"/>
        <v>2</v>
      </c>
      <c r="N135" s="333">
        <f t="shared" si="3"/>
        <v>2</v>
      </c>
      <c r="O135" s="333">
        <f t="shared" si="3"/>
        <v>2</v>
      </c>
      <c r="P135" s="334"/>
    </row>
  </sheetData>
  <sheetProtection sheet="1" objects="1" scenarios="1" selectLockedCells="1"/>
  <protectedRanges>
    <protectedRange sqref="G37" name="Rango1"/>
  </protectedRanges>
  <dataConsolidate/>
  <mergeCells count="6">
    <mergeCell ref="C125:N132"/>
    <mergeCell ref="I5:J5"/>
    <mergeCell ref="M11:O12"/>
    <mergeCell ref="M13:O14"/>
    <mergeCell ref="M15:O16"/>
    <mergeCell ref="C124:N124"/>
  </mergeCells>
  <conditionalFormatting sqref="J12">
    <cfRule type="expression" dxfId="20" priority="3">
      <formula>$J$11&gt;1</formula>
    </cfRule>
  </conditionalFormatting>
  <conditionalFormatting sqref="J14">
    <cfRule type="expression" dxfId="19" priority="2">
      <formula>$J$13&gt;1</formula>
    </cfRule>
  </conditionalFormatting>
  <conditionalFormatting sqref="J16">
    <cfRule type="expression" dxfId="18" priority="1">
      <formula>$J$15&gt;1</formula>
    </cfRule>
  </conditionalFormatting>
  <dataValidations count="62">
    <dataValidation type="list" allowBlank="1" showInputMessage="1" showErrorMessage="1" prompt="Servicio '15" sqref="J57:J58">
      <formula1>duracion</formula1>
    </dataValidation>
    <dataValidation type="list" allowBlank="1" showInputMessage="1" showErrorMessage="1" prompt="Servicio '15" sqref="I58">
      <formula1>fechaservicio</formula1>
    </dataValidation>
    <dataValidation allowBlank="1" showInputMessage="1" showErrorMessage="1" prompt="Tiempo desde la primer labor del verdeo/diferido hasta cambio de uso del lote (no sólo tiempo que fue pastoreado)." sqref="J14"/>
    <dataValidation allowBlank="1" showInputMessage="1" showErrorMessage="1" prompt="Tiempo desde la primer labor del verdeo hasta cambio de uso del lote (no sólo tiempo que fue pastoreado)." sqref="J12"/>
    <dataValidation type="list" allowBlank="1" showInputMessage="1" showErrorMessage="1" sqref="J83 E83">
      <formula1>RRFF</formula1>
    </dataValidation>
    <dataValidation allowBlank="1" showInputMessage="1" showErrorMessage="1" prompt="Vaquillonas de 1° servicio preñadas 17´/ vaquillonas de 1° s. entoradas en 16´" sqref="E45"/>
    <dataValidation allowBlank="1" showInputMessage="1" showErrorMessage="1" prompt="Vacas y vaquillonas preñadas sobre vientres entoradas en servicio 15´" sqref="E53"/>
    <dataValidation allowBlank="1" showInputMessage="1" showErrorMessage="1" prompt="Terneros destetados 17´sobre vientres entorados en servicio´15" sqref="E52"/>
    <dataValidation allowBlank="1" showErrorMessage="1" prompt="Superficie de monte productivos del establecimiento" sqref="J16"/>
    <dataValidation allowBlank="1" showErrorMessage="1" sqref="J19"/>
    <dataValidation allowBlank="1" showInputMessage="1" showErrorMessage="1" prompt="Superfice de rastrojos pastoreados. En la celda contigua se calculará las has asignadas a dicho recurso según las Normas CREA." sqref="J15"/>
    <dataValidation allowBlank="1" showInputMessage="1" showErrorMessage="1" prompt="Superfice sembrada (tal cual) con verdeos de verano para consumo fresco o diferido. En la celda contigua se calculará las has asignadas a dicho recurso según las Normas CREA." sqref="J13"/>
    <dataValidation allowBlank="1" showInputMessage="1" showErrorMessage="1" prompt="Superficie del establecimiento en producción." sqref="E11"/>
    <dataValidation allowBlank="1" showInputMessage="1" showErrorMessage="1" prompt="Superficie de suelo de la unidad de producción en agricultura, propias y alquiladas." sqref="E12"/>
    <dataValidation type="list" allowBlank="1" showInputMessage="1" showErrorMessage="1" sqref="G6">
      <formula1>MP</formula1>
    </dataValidation>
    <dataValidation allowBlank="1" showInputMessage="1" showErrorMessage="1" prompt="Praderas implantadas en la campaña en análisis." sqref="E18"/>
    <dataValidation allowBlank="1" showInputMessage="1" showErrorMessage="1" prompt="Stock bovino al 30 de junio 2017 (todo lo que está en el establecimiento)" sqref="E27"/>
    <dataValidation allowBlank="1" showInputMessage="1" showErrorMessage="1" prompt="Producción de carne (kg totales) = SALIDAS (kg vendidos,  traslados, consumo del eto.) - ENTRADAS (kg por compra o traslados de otras procedencias) + DIF. INVENTARIO (en Kg)" sqref="E28 J68 E68 E94 J94"/>
    <dataValidation allowBlank="1" showInputMessage="1" showErrorMessage="1" prompt="Cantidad de Vaquillonas de 1 en servicio en 2016" sqref="E46"/>
    <dataValidation allowBlank="1" showInputMessage="1" showErrorMessage="1" prompt="Nro de cabezas muertas/cabezas ingresadas" sqref="E30"/>
    <dataValidation allowBlank="1" showInputMessage="1" showErrorMessage="1" prompt="Superficie de campo natural de la unidad de producción" sqref="E15"/>
    <dataValidation allowBlank="1" showInputMessage="1" showErrorMessage="1" prompt="Superficie de praderas perennes ya implantadas" sqref="E17"/>
    <dataValidation allowBlank="1" showInputMessage="1" showErrorMessage="1" prompt="Superfice sembrada con verdeos de invierno tal cual. En la celda contigua se calculará las has asignadas a dicho recurso según las Normas CREA." sqref="J11"/>
    <dataValidation allowBlank="1" showInputMessage="1" showErrorMessage="1" prompt="Superficie de monte productivos de la unidad de producción" sqref="E16"/>
    <dataValidation allowBlank="1" showInputMessage="1" showErrorMessage="1" prompt="Stock bovino al 1 de julio 2016 (todo lo que está en el establecimiento)" sqref="E26"/>
    <dataValidation allowBlank="1" showInputMessage="1" showErrorMessage="1" prompt="Ponderar en función de la cantidad de tiempo que se le dedica a la ganadería. Se tiene en cuenta el personal de maquinaria que le presta un servicio a la ganadería." sqref="E33 H90"/>
    <dataValidation allowBlank="1" showInputMessage="1" showErrorMessage="1" prompt="Incluye vacas y vaquillonas" sqref="E54:E55"/>
    <dataValidation allowBlank="1" showInputMessage="1" showErrorMessage="1" prompt="Este indicador no debe ser tenido en cuenta en producciones a corral" sqref="J27 J29"/>
    <dataValidation allowBlank="1" showInputMessage="1" showErrorMessage="1" prompt="Vacas preñadas 17´sobre vacas entoradas servicio 16´" sqref="E41"/>
    <dataValidation type="list" allowBlank="1" showErrorMessage="1" sqref="E61:I61">
      <formula1>cruz</formula1>
    </dataValidation>
    <dataValidation type="list" allowBlank="1" showInputMessage="1" showErrorMessage="1" prompt="Región donde se encuentra el establecimiento, independientemente del CREA al que pertenezca el establecimiento." sqref="F6">
      <formula1>Crea</formula1>
    </dataValidation>
    <dataValidation type="list" allowBlank="1" showInputMessage="1" showErrorMessage="1" sqref="J53">
      <formula1>edadservicio</formula1>
    </dataValidation>
    <dataValidation allowBlank="1" showInputMessage="1" showErrorMessage="1" prompt="% de vaquillonas inseminadas en la campaña (Vaquillona Inseminadas/Vaquillonas en Servicio)" sqref="J54"/>
    <dataValidation allowBlank="1" showInputMessage="1" showErrorMessage="1" prompt="% de vacas inseminadas en la campaña vacas Inseminadas/Vacas en Servicio)" sqref="J52"/>
    <dataValidation allowBlank="1" showInputMessage="1" showErrorMessage="1" prompt="Peso medio de destete '17" sqref="E57"/>
    <dataValidation type="list" allowBlank="1" showInputMessage="1" showErrorMessage="1" prompt="Servicio '15_x000a_" sqref="I57">
      <formula1>fechaservicio</formula1>
    </dataValidation>
    <dataValidation allowBlank="1" showInputMessage="1" showErrorMessage="1" prompt="Capacidad máxima instantanea" sqref="H89"/>
    <dataValidation allowBlank="1" showInputMessage="1" showErrorMessage="1" prompt="Ingrese un valor estimativo promedio de venta de la hectárea donde está realizando la ganadería." sqref="J21"/>
    <dataValidation type="list" allowBlank="1" showInputMessage="1" showErrorMessage="1" sqref="E79 J79 J107 E107">
      <formula1>MH</formula1>
    </dataValidation>
    <dataValidation type="list" allowBlank="1" showInputMessage="1" showErrorMessage="1" sqref="J81 J109">
      <formula1>PET</formula1>
    </dataValidation>
    <dataValidation type="list" allowBlank="1" showInputMessage="1" showErrorMessage="1" sqref="J82 J110">
      <formula1>PST</formula1>
    </dataValidation>
    <dataValidation type="list" allowBlank="1" showInputMessage="1" showErrorMessage="1" sqref="E81 E109">
      <formula1>PER</formula1>
    </dataValidation>
    <dataValidation type="list" allowBlank="1" showInputMessage="1" showErrorMessage="1" sqref="E82 E110">
      <formula1>PSR</formula1>
    </dataValidation>
    <dataValidation allowBlank="1" showInputMessage="1" showErrorMessage="1" prompt="Stock medio en recría: promedio de los valores de stock mensual en cabezas para el ejercicio." sqref="E70"/>
    <dataValidation type="list" allowBlank="1" showInputMessage="1" showErrorMessage="1" sqref="E114 J114">
      <formula1>CC</formula1>
    </dataValidation>
    <dataValidation type="list" allowBlank="1" showInputMessage="1" showErrorMessage="1" sqref="E115:E118 E113 J115:J118 J113">
      <formula1>Dieta</formula1>
    </dataValidation>
    <dataValidation type="list" allowBlank="1" showInputMessage="1" showErrorMessage="1" sqref="J80 J108">
      <formula1>sino</formula1>
    </dataValidation>
    <dataValidation allowBlank="1" showInputMessage="1" showErrorMessage="1" prompt="Superficie en en ganadería con aptitud agrícola (clase I a IV) propias y alquiladas." sqref="J20"/>
    <dataValidation allowBlank="1" showInputMessage="1" showErrorMessage="1" prompt="Si la empresa tiene más de un establecimiento, llenar una planilla por cada campo." sqref="D6"/>
    <dataValidation allowBlank="1" showInputMessage="1" showErrorMessage="1" prompt="Tiempo promedio de la recría. Si hay distintos lotes/rodeos, poner la duración ponderada." sqref="E72 E98"/>
    <dataValidation allowBlank="1" showInputMessage="1" showErrorMessage="1" prompt="Tiempo promedio de la terminación. Si hay distintos lotes/rodeos, poner la duración ponderada." sqref="J72 J98"/>
    <dataValidation type="list" allowBlank="1" showInputMessage="1" showErrorMessage="1" prompt="% de la dieta en MS suplementada" sqref="E84 J84">
      <formula1>supl</formula1>
    </dataValidation>
    <dataValidation type="list" allowBlank="1" showInputMessage="1" showErrorMessage="1" prompt="Edad promedio al destete '17. Si hubo diferentes destetes, poner una edad promedio. Si merece aclaraciones, anotarlas en observaciones. " sqref="E58">
      <formula1>Destete</formula1>
    </dataValidation>
    <dataValidation allowBlank="1" showInputMessage="1" showErrorMessage="1" prompt="Kilos de materia seca ofrecidos en los corrales de recría" sqref="E99"/>
    <dataValidation allowBlank="1" showInputMessage="1" showErrorMessage="1" prompt="Kilos de materia seca ofrecidos en los corrales de terminación." sqref="J99"/>
    <dataValidation allowBlank="1" showInputMessage="1" showErrorMessage="1" prompt="Promedio de los valores de stock mensual en kg para el ejercicio (incluye corrales). Los terneros al pie de la madre se deben contabilizar como stock para el cálculo de carga." sqref="E32"/>
    <dataValidation allowBlank="1" showInputMessage="1" showErrorMessage="1" prompt="Promedio de los valores de stock mensual en cabezas para el ejercicio (incluye corrales). Los terneros al pie de la madre se deben contabilizar para el cálculo de carga." sqref="E31"/>
    <dataValidation allowBlank="1" showInputMessage="1" showErrorMessage="1" prompt="Stock medio en recría: promedio de los valores de stock mensual en kilos totales para el ejercicio." sqref="E71"/>
    <dataValidation allowBlank="1" showInputMessage="1" showErrorMessage="1" prompt="Stock medio en terminación: promedio de los valores de stock mensual en cabezas para el ejercicio." sqref="J70"/>
    <dataValidation allowBlank="1" showInputMessage="1" showErrorMessage="1" prompt="Stock medio en terminación: promedio de los valores de stock mensual en kilos totales para el ejercicio." sqref="J71"/>
    <dataValidation allowBlank="1" showErrorMessage="1" prompt="Kilos de materia seca ofrecidos en total" sqref="E96 J96"/>
    <dataValidation allowBlank="1" showInputMessage="1" showErrorMessage="1" prompt="Aumento diario de peso vivo promedio" sqref="J97 E97"/>
  </dataValidations>
  <hyperlinks>
    <hyperlink ref="G95" location="'1 (prop.sup)'!F115" display="Ir a cálculo desbaste"/>
    <hyperlink ref="G95:G96" location="'1'!D118" display="Ir a cálculo desbaste"/>
    <hyperlink ref="L95:L96" location="'1'!D118" display="Ir a cálculo desbaste"/>
    <hyperlink ref="L95" location="'1 (prop.sup)'!F115" display="Ir a cálculo desbaste"/>
  </hyperlinks>
  <pageMargins left="0.25" right="0.25" top="0.75" bottom="0.75" header="0.3" footer="0.3"/>
  <pageSetup paperSize="9" scale="48" fitToHeight="0" orientation="portrait" verticalDpi="599" r:id="rId1"/>
  <rowBreaks count="1" manualBreakCount="1">
    <brk id="60" min="1" max="12"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B135"/>
  <sheetViews>
    <sheetView showGridLines="0" zoomScale="90" zoomScaleNormal="90" workbookViewId="0">
      <pane xSplit="1" ySplit="1" topLeftCell="B2" activePane="bottomRight" state="frozen"/>
      <selection activeCell="G25" sqref="G25"/>
      <selection pane="topRight" activeCell="G25" sqref="G25"/>
      <selection pane="bottomLeft" activeCell="G25" sqref="G25"/>
      <selection pane="bottomRight" activeCell="C6" sqref="C6"/>
    </sheetView>
  </sheetViews>
  <sheetFormatPr baseColWidth="10" defaultColWidth="0" defaultRowHeight="15.5" customHeight="1" zeroHeight="1" outlineLevelRow="2" x14ac:dyDescent="0.35"/>
  <cols>
    <col min="1" max="1" width="5" style="330" customWidth="1"/>
    <col min="2" max="2" width="11.81640625" style="1" customWidth="1"/>
    <col min="3" max="3" width="16" style="1" customWidth="1"/>
    <col min="4" max="4" width="18.54296875" style="1" customWidth="1"/>
    <col min="5" max="6" width="14.54296875" style="1" customWidth="1"/>
    <col min="7" max="7" width="12.1796875" style="1" customWidth="1"/>
    <col min="8" max="8" width="16.26953125" style="1" customWidth="1"/>
    <col min="9" max="10" width="14.54296875" style="1" customWidth="1"/>
    <col min="11" max="12" width="13.453125" style="1" customWidth="1"/>
    <col min="13" max="13" width="14.54296875" style="1" customWidth="1"/>
    <col min="14" max="15" width="11.453125" style="69" customWidth="1"/>
    <col min="16" max="16" width="5.54296875" style="69" customWidth="1"/>
    <col min="17" max="17" width="11.453125" style="69" hidden="1"/>
    <col min="18" max="16382" width="0" style="69" hidden="1"/>
    <col min="16383" max="16384" width="11.453125" style="69" hidden="1"/>
  </cols>
  <sheetData>
    <row r="1" spans="1:17" s="333" customFormat="1" ht="14.5" x14ac:dyDescent="0.35">
      <c r="A1" s="333">
        <v>1</v>
      </c>
      <c r="B1" s="333">
        <f t="shared" ref="B1:P1" si="0">+A1+1</f>
        <v>2</v>
      </c>
      <c r="C1" s="333">
        <f t="shared" si="0"/>
        <v>3</v>
      </c>
      <c r="D1" s="333">
        <f t="shared" si="0"/>
        <v>4</v>
      </c>
      <c r="E1" s="333">
        <f t="shared" si="0"/>
        <v>5</v>
      </c>
      <c r="F1" s="333">
        <f t="shared" si="0"/>
        <v>6</v>
      </c>
      <c r="G1" s="333">
        <f t="shared" si="0"/>
        <v>7</v>
      </c>
      <c r="H1" s="333">
        <f t="shared" si="0"/>
        <v>8</v>
      </c>
      <c r="I1" s="333">
        <f t="shared" si="0"/>
        <v>9</v>
      </c>
      <c r="J1" s="333">
        <f t="shared" si="0"/>
        <v>10</v>
      </c>
      <c r="K1" s="333">
        <f t="shared" si="0"/>
        <v>11</v>
      </c>
      <c r="L1" s="333">
        <f t="shared" si="0"/>
        <v>12</v>
      </c>
      <c r="M1" s="333">
        <f t="shared" si="0"/>
        <v>13</v>
      </c>
      <c r="N1" s="333">
        <f t="shared" si="0"/>
        <v>14</v>
      </c>
      <c r="O1" s="333">
        <f t="shared" si="0"/>
        <v>15</v>
      </c>
      <c r="P1" s="333">
        <f t="shared" si="0"/>
        <v>16</v>
      </c>
    </row>
    <row r="2" spans="1:17" x14ac:dyDescent="0.35">
      <c r="A2" s="333">
        <f>+A1+1</f>
        <v>2</v>
      </c>
      <c r="P2" s="334"/>
      <c r="Q2" s="334"/>
    </row>
    <row r="3" spans="1:17" x14ac:dyDescent="0.35">
      <c r="A3" s="333">
        <f t="shared" ref="A3:A66" si="1">+A2+1</f>
        <v>3</v>
      </c>
      <c r="B3" s="335" t="s">
        <v>0</v>
      </c>
      <c r="C3" s="336"/>
      <c r="D3" s="58"/>
      <c r="E3" s="302"/>
      <c r="F3" s="337" t="s">
        <v>1</v>
      </c>
      <c r="G3" s="58"/>
      <c r="H3" s="303"/>
      <c r="I3" s="337" t="s">
        <v>2</v>
      </c>
      <c r="J3" s="58"/>
      <c r="K3" s="58"/>
      <c r="L3" s="336"/>
      <c r="M3" s="336"/>
      <c r="N3" s="338"/>
      <c r="O3" s="339"/>
      <c r="P3" s="334"/>
      <c r="Q3" s="334"/>
    </row>
    <row r="4" spans="1:17" x14ac:dyDescent="0.35">
      <c r="A4" s="333">
        <f t="shared" si="1"/>
        <v>4</v>
      </c>
      <c r="B4" s="340"/>
      <c r="C4" s="340"/>
      <c r="E4" s="336"/>
      <c r="F4" s="336"/>
      <c r="G4" s="336"/>
      <c r="H4" s="336"/>
      <c r="I4" s="336"/>
      <c r="J4" s="336"/>
      <c r="K4" s="336"/>
      <c r="L4" s="336"/>
      <c r="M4" s="336"/>
      <c r="N4" s="338"/>
      <c r="O4" s="338"/>
      <c r="P4" s="334"/>
      <c r="Q4" s="334"/>
    </row>
    <row r="5" spans="1:17" ht="29" x14ac:dyDescent="0.35">
      <c r="A5" s="333">
        <f t="shared" si="1"/>
        <v>5</v>
      </c>
      <c r="B5" s="341" t="s">
        <v>3</v>
      </c>
      <c r="C5" s="342" t="s">
        <v>4</v>
      </c>
      <c r="D5" s="341" t="s">
        <v>5</v>
      </c>
      <c r="E5" s="342" t="s">
        <v>6</v>
      </c>
      <c r="F5" s="342" t="s">
        <v>7</v>
      </c>
      <c r="G5" s="343" t="s">
        <v>8</v>
      </c>
      <c r="H5" s="344" t="s">
        <v>9</v>
      </c>
      <c r="I5" s="404" t="s">
        <v>10</v>
      </c>
      <c r="J5" s="405"/>
      <c r="N5" s="345"/>
      <c r="P5" s="334"/>
      <c r="Q5" s="334"/>
    </row>
    <row r="6" spans="1:17" x14ac:dyDescent="0.35">
      <c r="A6" s="333">
        <f t="shared" si="1"/>
        <v>6</v>
      </c>
      <c r="B6" s="310" t="s">
        <v>649</v>
      </c>
      <c r="C6" s="346"/>
      <c r="D6" s="346"/>
      <c r="E6" s="347"/>
      <c r="F6" s="346"/>
      <c r="G6" s="347"/>
      <c r="H6" s="347"/>
      <c r="I6" s="347"/>
      <c r="J6" s="347"/>
      <c r="N6" s="338"/>
      <c r="O6" s="338"/>
      <c r="P6" s="334"/>
      <c r="Q6" s="334"/>
    </row>
    <row r="7" spans="1:17" x14ac:dyDescent="0.35">
      <c r="A7" s="333">
        <f t="shared" si="1"/>
        <v>7</v>
      </c>
      <c r="P7" s="334"/>
      <c r="Q7" s="334"/>
    </row>
    <row r="8" spans="1:17" x14ac:dyDescent="0.35">
      <c r="A8" s="333">
        <f t="shared" si="1"/>
        <v>8</v>
      </c>
      <c r="B8" s="348" t="s">
        <v>13</v>
      </c>
      <c r="C8" s="348"/>
      <c r="D8" s="348"/>
      <c r="E8" s="348"/>
      <c r="F8" s="348"/>
      <c r="G8" s="348"/>
      <c r="H8" s="349"/>
      <c r="I8" s="349"/>
      <c r="J8" s="349"/>
      <c r="K8" s="349"/>
      <c r="L8" s="349"/>
      <c r="M8" s="349"/>
      <c r="N8" s="350"/>
      <c r="O8" s="350"/>
      <c r="P8" s="334"/>
      <c r="Q8" s="334"/>
    </row>
    <row r="9" spans="1:17" x14ac:dyDescent="0.35">
      <c r="A9" s="333">
        <f t="shared" si="1"/>
        <v>9</v>
      </c>
      <c r="P9" s="334"/>
      <c r="Q9" s="334"/>
    </row>
    <row r="10" spans="1:17" x14ac:dyDescent="0.35">
      <c r="A10" s="333">
        <f t="shared" si="1"/>
        <v>10</v>
      </c>
      <c r="C10" s="2"/>
      <c r="D10" s="2" t="s">
        <v>14</v>
      </c>
      <c r="G10" s="2"/>
      <c r="I10" s="56" t="s">
        <v>17</v>
      </c>
      <c r="J10" s="69"/>
      <c r="K10" s="69"/>
      <c r="L10" s="2" t="s">
        <v>18</v>
      </c>
      <c r="M10" s="4"/>
      <c r="P10" s="334"/>
      <c r="Q10" s="334"/>
    </row>
    <row r="11" spans="1:17" ht="18" customHeight="1" x14ac:dyDescent="0.35">
      <c r="A11" s="333">
        <f t="shared" si="1"/>
        <v>11</v>
      </c>
      <c r="D11" s="3" t="s">
        <v>15</v>
      </c>
      <c r="E11" s="28"/>
      <c r="F11" s="1" t="s">
        <v>16</v>
      </c>
      <c r="I11" s="3" t="s">
        <v>19</v>
      </c>
      <c r="J11" s="28"/>
      <c r="K11" s="1" t="s">
        <v>16</v>
      </c>
      <c r="L11" s="5" t="str">
        <f>IF(J11*J12/12=0,"",J11*J12/12)</f>
        <v/>
      </c>
      <c r="M11" s="406" t="s">
        <v>656</v>
      </c>
      <c r="N11" s="406"/>
      <c r="O11" s="406"/>
      <c r="P11" s="334"/>
      <c r="Q11" s="334"/>
    </row>
    <row r="12" spans="1:17" x14ac:dyDescent="0.35">
      <c r="A12" s="333">
        <f t="shared" si="1"/>
        <v>12</v>
      </c>
      <c r="D12" s="3" t="s">
        <v>514</v>
      </c>
      <c r="E12" s="28"/>
      <c r="F12" s="1" t="s">
        <v>16</v>
      </c>
      <c r="I12" s="3" t="str">
        <f>+IF(J11&gt;1,"Tiempo ocupado por verdeo de invierno","")</f>
        <v/>
      </c>
      <c r="J12" s="351"/>
      <c r="K12" s="6" t="str">
        <f>+IF($J$11&gt;1,"meses","")</f>
        <v/>
      </c>
      <c r="L12" s="69"/>
      <c r="M12" s="406"/>
      <c r="N12" s="406"/>
      <c r="O12" s="406"/>
      <c r="P12" s="334"/>
      <c r="Q12" s="334"/>
    </row>
    <row r="13" spans="1:17" ht="18" customHeight="1" x14ac:dyDescent="0.35">
      <c r="A13" s="333">
        <f t="shared" si="1"/>
        <v>13</v>
      </c>
      <c r="I13" s="3" t="s">
        <v>22</v>
      </c>
      <c r="J13" s="28"/>
      <c r="K13" s="1" t="s">
        <v>16</v>
      </c>
      <c r="L13" s="5" t="str">
        <f>IF(J13*J14/12=0,"",J13*J14/12)</f>
        <v/>
      </c>
      <c r="M13" s="406" t="s">
        <v>657</v>
      </c>
      <c r="N13" s="406"/>
      <c r="O13" s="406"/>
      <c r="P13" s="334"/>
      <c r="Q13" s="334"/>
    </row>
    <row r="14" spans="1:17" x14ac:dyDescent="0.35">
      <c r="A14" s="333">
        <f t="shared" si="1"/>
        <v>14</v>
      </c>
      <c r="C14" s="2"/>
      <c r="D14" s="2" t="s">
        <v>21</v>
      </c>
      <c r="I14" s="3" t="str">
        <f>+IF(J13&gt;1,"Tiempo ocupado por verdeo de verano y diferido","")</f>
        <v/>
      </c>
      <c r="J14" s="351"/>
      <c r="K14" s="6" t="str">
        <f>+IF($J$13&gt;1,"meses","")</f>
        <v/>
      </c>
      <c r="L14" s="69"/>
      <c r="M14" s="406"/>
      <c r="N14" s="406"/>
      <c r="O14" s="406"/>
      <c r="P14" s="334"/>
      <c r="Q14" s="334"/>
    </row>
    <row r="15" spans="1:17" ht="18" customHeight="1" x14ac:dyDescent="0.35">
      <c r="A15" s="333">
        <f t="shared" si="1"/>
        <v>15</v>
      </c>
      <c r="D15" s="3" t="s">
        <v>24</v>
      </c>
      <c r="E15" s="28"/>
      <c r="F15" s="1" t="s">
        <v>16</v>
      </c>
      <c r="I15" s="3" t="s">
        <v>26</v>
      </c>
      <c r="J15" s="28"/>
      <c r="K15" s="1" t="s">
        <v>16</v>
      </c>
      <c r="L15" s="5" t="str">
        <f>IF(J15*J16/12=0,"",J15*J16/12)</f>
        <v/>
      </c>
      <c r="M15" s="406" t="s">
        <v>658</v>
      </c>
      <c r="N15" s="406"/>
      <c r="O15" s="406"/>
      <c r="P15" s="334"/>
      <c r="Q15" s="334"/>
    </row>
    <row r="16" spans="1:17" x14ac:dyDescent="0.35">
      <c r="A16" s="333">
        <f t="shared" si="1"/>
        <v>16</v>
      </c>
      <c r="B16" s="8"/>
      <c r="D16" s="7" t="s">
        <v>25</v>
      </c>
      <c r="E16" s="28"/>
      <c r="F16" s="1" t="s">
        <v>16</v>
      </c>
      <c r="I16" s="3" t="str">
        <f>+IF(J15&gt;1,"Tiempo de ocupación de rastrojos y otros  ","")</f>
        <v/>
      </c>
      <c r="J16" s="351"/>
      <c r="K16" s="6" t="str">
        <f>+IF($J$15&gt;1,"meses","")</f>
        <v/>
      </c>
      <c r="L16" s="69"/>
      <c r="M16" s="406"/>
      <c r="N16" s="406"/>
      <c r="O16" s="406"/>
      <c r="P16" s="334"/>
      <c r="Q16" s="334"/>
    </row>
    <row r="17" spans="1:17" x14ac:dyDescent="0.35">
      <c r="A17" s="333">
        <f t="shared" si="1"/>
        <v>17</v>
      </c>
      <c r="D17" s="3" t="s">
        <v>28</v>
      </c>
      <c r="E17" s="28"/>
      <c r="F17" s="1" t="s">
        <v>16</v>
      </c>
      <c r="M17" s="396"/>
      <c r="N17" s="352"/>
      <c r="O17" s="352"/>
      <c r="P17" s="334"/>
      <c r="Q17" s="334"/>
    </row>
    <row r="18" spans="1:17" x14ac:dyDescent="0.35">
      <c r="A18" s="333">
        <f t="shared" si="1"/>
        <v>18</v>
      </c>
      <c r="D18" s="3" t="s">
        <v>29</v>
      </c>
      <c r="E18" s="28"/>
      <c r="F18" s="1" t="s">
        <v>16</v>
      </c>
      <c r="G18" s="10"/>
      <c r="H18" s="11"/>
      <c r="I18" s="57" t="s">
        <v>30</v>
      </c>
      <c r="J18" s="10"/>
      <c r="K18" s="10"/>
      <c r="P18" s="334"/>
      <c r="Q18" s="334"/>
    </row>
    <row r="19" spans="1:17" x14ac:dyDescent="0.35">
      <c r="A19" s="333">
        <f t="shared" si="1"/>
        <v>19</v>
      </c>
      <c r="C19" s="1" t="s">
        <v>9</v>
      </c>
      <c r="D19" s="329"/>
      <c r="E19" s="329"/>
      <c r="F19" s="1" t="s">
        <v>16</v>
      </c>
      <c r="G19" s="10"/>
      <c r="H19" s="10"/>
      <c r="I19" s="7" t="s">
        <v>31</v>
      </c>
      <c r="J19" s="12">
        <f>+SUM(E15:E20,L11,L13,L15)</f>
        <v>0</v>
      </c>
      <c r="K19" s="10" t="s">
        <v>16</v>
      </c>
      <c r="P19" s="334"/>
      <c r="Q19" s="334"/>
    </row>
    <row r="20" spans="1:17" x14ac:dyDescent="0.35">
      <c r="A20" s="333">
        <f t="shared" si="1"/>
        <v>20</v>
      </c>
      <c r="C20" s="1" t="s">
        <v>9</v>
      </c>
      <c r="D20" s="329"/>
      <c r="E20" s="329"/>
      <c r="F20" s="1" t="s">
        <v>16</v>
      </c>
      <c r="G20" s="10"/>
      <c r="H20" s="10"/>
      <c r="I20" s="3" t="s">
        <v>575</v>
      </c>
      <c r="J20" s="353"/>
      <c r="K20" s="3"/>
      <c r="L20" s="8"/>
      <c r="P20" s="334"/>
      <c r="Q20" s="334"/>
    </row>
    <row r="21" spans="1:17" x14ac:dyDescent="0.35">
      <c r="A21" s="333">
        <f t="shared" si="1"/>
        <v>21</v>
      </c>
      <c r="H21" s="311"/>
      <c r="I21" s="7" t="s">
        <v>517</v>
      </c>
      <c r="J21" s="28"/>
      <c r="K21" s="331" t="s">
        <v>515</v>
      </c>
      <c r="L21" s="8"/>
      <c r="P21" s="334"/>
      <c r="Q21" s="334"/>
    </row>
    <row r="22" spans="1:17" x14ac:dyDescent="0.35">
      <c r="A22" s="333">
        <f t="shared" si="1"/>
        <v>22</v>
      </c>
      <c r="G22" s="10"/>
      <c r="H22" s="10"/>
      <c r="I22" s="3"/>
      <c r="J22" s="3"/>
      <c r="K22" s="3"/>
      <c r="L22" s="8"/>
      <c r="P22" s="334"/>
      <c r="Q22" s="334"/>
    </row>
    <row r="23" spans="1:17" x14ac:dyDescent="0.35">
      <c r="A23" s="333">
        <f t="shared" si="1"/>
        <v>23</v>
      </c>
      <c r="G23" s="10"/>
      <c r="H23" s="10"/>
      <c r="I23" s="3"/>
      <c r="J23" s="3"/>
      <c r="K23" s="3"/>
      <c r="L23" s="8"/>
      <c r="P23" s="334"/>
      <c r="Q23" s="334"/>
    </row>
    <row r="24" spans="1:17" x14ac:dyDescent="0.35">
      <c r="A24" s="333">
        <f t="shared" si="1"/>
        <v>24</v>
      </c>
      <c r="B24" s="348" t="s">
        <v>32</v>
      </c>
      <c r="C24" s="348"/>
      <c r="D24" s="348"/>
      <c r="E24" s="348"/>
      <c r="F24" s="348"/>
      <c r="G24" s="348"/>
      <c r="H24" s="349"/>
      <c r="I24" s="349"/>
      <c r="J24" s="349"/>
      <c r="K24" s="349"/>
      <c r="L24" s="349"/>
      <c r="M24" s="349"/>
      <c r="N24" s="350"/>
      <c r="O24" s="350"/>
      <c r="P24" s="334"/>
      <c r="Q24" s="334"/>
    </row>
    <row r="25" spans="1:17" x14ac:dyDescent="0.35">
      <c r="A25" s="333">
        <f t="shared" si="1"/>
        <v>25</v>
      </c>
      <c r="O25" s="13"/>
      <c r="P25" s="334"/>
      <c r="Q25" s="334"/>
    </row>
    <row r="26" spans="1:17" x14ac:dyDescent="0.35">
      <c r="A26" s="333">
        <f t="shared" si="1"/>
        <v>26</v>
      </c>
      <c r="D26" s="3" t="s">
        <v>33</v>
      </c>
      <c r="E26" s="28"/>
      <c r="F26" s="1" t="s">
        <v>34</v>
      </c>
      <c r="J26" s="354" t="s">
        <v>35</v>
      </c>
      <c r="K26" s="69"/>
      <c r="P26" s="334"/>
      <c r="Q26" s="334"/>
    </row>
    <row r="27" spans="1:17" x14ac:dyDescent="0.35">
      <c r="A27" s="333">
        <f t="shared" si="1"/>
        <v>27</v>
      </c>
      <c r="D27" s="3" t="s">
        <v>36</v>
      </c>
      <c r="E27" s="28"/>
      <c r="F27" s="1" t="s">
        <v>34</v>
      </c>
      <c r="J27" s="67" t="str">
        <f>+IFERROR(E28/J19,"")</f>
        <v/>
      </c>
      <c r="K27" s="1" t="s">
        <v>187</v>
      </c>
      <c r="P27" s="334"/>
      <c r="Q27" s="334"/>
    </row>
    <row r="28" spans="1:17" x14ac:dyDescent="0.35">
      <c r="A28" s="333">
        <f t="shared" si="1"/>
        <v>28</v>
      </c>
      <c r="D28" s="3" t="s">
        <v>40</v>
      </c>
      <c r="E28" s="28"/>
      <c r="F28" s="1" t="s">
        <v>41</v>
      </c>
      <c r="J28" s="68" t="str">
        <f>+IFERROR(E28/(E31),"")</f>
        <v/>
      </c>
      <c r="K28" s="1" t="s">
        <v>516</v>
      </c>
      <c r="P28" s="334"/>
      <c r="Q28" s="334"/>
    </row>
    <row r="29" spans="1:17" x14ac:dyDescent="0.35">
      <c r="A29" s="333">
        <f t="shared" si="1"/>
        <v>29</v>
      </c>
      <c r="J29" s="68" t="str">
        <f>+IFERROR(E32/J19,"")</f>
        <v/>
      </c>
      <c r="K29" s="15" t="s">
        <v>186</v>
      </c>
      <c r="P29" s="334"/>
      <c r="Q29" s="334"/>
    </row>
    <row r="30" spans="1:17" x14ac:dyDescent="0.35">
      <c r="A30" s="333">
        <f t="shared" si="1"/>
        <v>30</v>
      </c>
      <c r="D30" s="3" t="s">
        <v>37</v>
      </c>
      <c r="E30" s="353"/>
      <c r="F30" s="1" t="s">
        <v>38</v>
      </c>
      <c r="J30" s="355" t="str">
        <f>+IFERROR(E28/E32,"")</f>
        <v/>
      </c>
      <c r="K30" s="6" t="s">
        <v>39</v>
      </c>
      <c r="P30" s="334"/>
      <c r="Q30" s="334"/>
    </row>
    <row r="31" spans="1:17" x14ac:dyDescent="0.35">
      <c r="A31" s="333">
        <f t="shared" si="1"/>
        <v>31</v>
      </c>
      <c r="D31" s="7" t="s">
        <v>43</v>
      </c>
      <c r="E31" s="28"/>
      <c r="F31" s="16" t="s">
        <v>518</v>
      </c>
      <c r="J31" s="356" t="str">
        <f>+IFERROR(E28/E33,"")</f>
        <v/>
      </c>
      <c r="K31" s="15" t="s">
        <v>42</v>
      </c>
      <c r="P31" s="334"/>
      <c r="Q31" s="334"/>
    </row>
    <row r="32" spans="1:17" x14ac:dyDescent="0.35">
      <c r="A32" s="333">
        <f t="shared" si="1"/>
        <v>32</v>
      </c>
      <c r="D32" s="3" t="s">
        <v>43</v>
      </c>
      <c r="E32" s="28"/>
      <c r="F32" s="1" t="s">
        <v>41</v>
      </c>
      <c r="M32" s="69"/>
      <c r="P32" s="334"/>
      <c r="Q32" s="334"/>
    </row>
    <row r="33" spans="1:17" ht="17.25" customHeight="1" x14ac:dyDescent="0.35">
      <c r="A33" s="333">
        <f t="shared" si="1"/>
        <v>33</v>
      </c>
      <c r="D33" s="14" t="s">
        <v>44</v>
      </c>
      <c r="E33" s="390"/>
      <c r="M33" s="69"/>
      <c r="P33" s="334"/>
      <c r="Q33" s="334"/>
    </row>
    <row r="34" spans="1:17" x14ac:dyDescent="0.35">
      <c r="A34" s="333">
        <f t="shared" si="1"/>
        <v>34</v>
      </c>
      <c r="P34" s="334"/>
      <c r="Q34" s="334"/>
    </row>
    <row r="35" spans="1:17" x14ac:dyDescent="0.35">
      <c r="A35" s="333">
        <f t="shared" si="1"/>
        <v>35</v>
      </c>
      <c r="B35" s="348" t="s">
        <v>45</v>
      </c>
      <c r="C35" s="348"/>
      <c r="D35" s="348"/>
      <c r="E35" s="348"/>
      <c r="F35" s="348"/>
      <c r="G35" s="348"/>
      <c r="H35" s="349"/>
      <c r="I35" s="349"/>
      <c r="J35" s="349"/>
      <c r="K35" s="349"/>
      <c r="L35" s="349"/>
      <c r="M35" s="349"/>
      <c r="N35" s="350"/>
      <c r="O35" s="350"/>
      <c r="P35" s="334"/>
      <c r="Q35" s="334"/>
    </row>
    <row r="36" spans="1:17" outlineLevel="1" x14ac:dyDescent="0.35">
      <c r="A36" s="333">
        <f t="shared" si="1"/>
        <v>36</v>
      </c>
      <c r="B36" s="8"/>
      <c r="C36" s="8"/>
      <c r="D36" s="17"/>
      <c r="E36" s="8"/>
      <c r="P36" s="334"/>
      <c r="Q36" s="334"/>
    </row>
    <row r="37" spans="1:17" outlineLevel="1" x14ac:dyDescent="0.35">
      <c r="A37" s="333">
        <f t="shared" si="1"/>
        <v>37</v>
      </c>
      <c r="G37" s="358">
        <v>2015</v>
      </c>
      <c r="H37" s="358">
        <f>+G37+1</f>
        <v>2016</v>
      </c>
      <c r="I37" s="358">
        <f>+H37+1</f>
        <v>2017</v>
      </c>
      <c r="P37" s="334"/>
      <c r="Q37" s="334"/>
    </row>
    <row r="38" spans="1:17" outlineLevel="1" x14ac:dyDescent="0.35">
      <c r="A38" s="333">
        <f t="shared" si="1"/>
        <v>38</v>
      </c>
      <c r="G38" s="359" t="s">
        <v>46</v>
      </c>
      <c r="H38" s="360" t="s">
        <v>47</v>
      </c>
      <c r="I38" s="361" t="s">
        <v>48</v>
      </c>
      <c r="P38" s="334"/>
      <c r="Q38" s="334"/>
    </row>
    <row r="39" spans="1:17" outlineLevel="1" x14ac:dyDescent="0.35">
      <c r="A39" s="333">
        <f t="shared" si="1"/>
        <v>39</v>
      </c>
      <c r="G39" s="362"/>
      <c r="H39" s="363" t="s">
        <v>46</v>
      </c>
      <c r="I39" s="364" t="s">
        <v>47</v>
      </c>
      <c r="M39" s="18"/>
      <c r="N39" s="79"/>
      <c r="P39" s="334"/>
      <c r="Q39" s="334"/>
    </row>
    <row r="40" spans="1:17" outlineLevel="1" x14ac:dyDescent="0.35">
      <c r="A40" s="333">
        <f t="shared" si="1"/>
        <v>40</v>
      </c>
      <c r="C40" s="19" t="s">
        <v>49</v>
      </c>
      <c r="D40" s="16"/>
      <c r="P40" s="334"/>
      <c r="Q40" s="334"/>
    </row>
    <row r="41" spans="1:17" outlineLevel="1" x14ac:dyDescent="0.35">
      <c r="A41" s="333">
        <f t="shared" si="1"/>
        <v>41</v>
      </c>
      <c r="C41" s="16"/>
      <c r="D41" s="7" t="s">
        <v>632</v>
      </c>
      <c r="E41" s="391"/>
      <c r="F41" s="1" t="s">
        <v>38</v>
      </c>
      <c r="N41" s="1"/>
      <c r="O41" s="1"/>
      <c r="P41" s="334"/>
      <c r="Q41" s="334"/>
    </row>
    <row r="42" spans="1:17" outlineLevel="1" x14ac:dyDescent="0.35">
      <c r="A42" s="333">
        <f t="shared" si="1"/>
        <v>42</v>
      </c>
      <c r="C42" s="16"/>
      <c r="D42" s="7" t="s">
        <v>633</v>
      </c>
      <c r="E42" s="28"/>
      <c r="F42" s="1" t="s">
        <v>34</v>
      </c>
      <c r="N42" s="1"/>
      <c r="O42" s="1"/>
      <c r="P42" s="334"/>
      <c r="Q42" s="334"/>
    </row>
    <row r="43" spans="1:17" outlineLevel="1" x14ac:dyDescent="0.35">
      <c r="A43" s="333">
        <f t="shared" si="1"/>
        <v>43</v>
      </c>
      <c r="C43" s="20"/>
      <c r="D43" s="20"/>
      <c r="E43" s="21"/>
      <c r="F43" s="21"/>
      <c r="G43" s="21"/>
      <c r="H43" s="21"/>
      <c r="I43" s="21"/>
      <c r="J43" s="21"/>
      <c r="K43" s="21"/>
      <c r="L43" s="21"/>
      <c r="M43" s="21"/>
      <c r="N43" s="21"/>
      <c r="O43" s="1"/>
      <c r="P43" s="334"/>
      <c r="Q43" s="334"/>
    </row>
    <row r="44" spans="1:17" outlineLevel="1" x14ac:dyDescent="0.35">
      <c r="A44" s="333">
        <f t="shared" si="1"/>
        <v>44</v>
      </c>
      <c r="C44" s="19" t="s">
        <v>50</v>
      </c>
      <c r="K44" s="22"/>
      <c r="N44" s="1"/>
      <c r="O44" s="1"/>
      <c r="P44" s="334"/>
      <c r="Q44" s="334"/>
    </row>
    <row r="45" spans="1:17" outlineLevel="1" x14ac:dyDescent="0.35">
      <c r="A45" s="333">
        <f t="shared" si="1"/>
        <v>45</v>
      </c>
      <c r="C45" s="19"/>
      <c r="D45" s="3" t="s">
        <v>634</v>
      </c>
      <c r="E45" s="391"/>
      <c r="F45" s="1" t="s">
        <v>38</v>
      </c>
      <c r="N45" s="1"/>
      <c r="O45" s="1"/>
      <c r="P45" s="334"/>
      <c r="Q45" s="334"/>
    </row>
    <row r="46" spans="1:17" outlineLevel="1" x14ac:dyDescent="0.35">
      <c r="A46" s="333">
        <f t="shared" si="1"/>
        <v>46</v>
      </c>
      <c r="D46" s="3" t="s">
        <v>635</v>
      </c>
      <c r="E46" s="28"/>
      <c r="F46" s="1" t="s">
        <v>34</v>
      </c>
      <c r="N46" s="1"/>
      <c r="O46" s="1"/>
      <c r="P46" s="334"/>
      <c r="Q46" s="334"/>
    </row>
    <row r="47" spans="1:17" outlineLevel="1" x14ac:dyDescent="0.35">
      <c r="A47" s="333">
        <f t="shared" si="1"/>
        <v>47</v>
      </c>
      <c r="C47" s="21"/>
      <c r="D47" s="23"/>
      <c r="E47" s="23"/>
      <c r="F47" s="23"/>
      <c r="G47" s="23"/>
      <c r="H47" s="23"/>
      <c r="I47" s="23"/>
      <c r="J47" s="21"/>
      <c r="K47" s="21"/>
      <c r="L47" s="21"/>
      <c r="M47" s="21"/>
      <c r="N47" s="21"/>
      <c r="O47" s="1"/>
      <c r="P47" s="334"/>
      <c r="Q47" s="334"/>
    </row>
    <row r="48" spans="1:17" outlineLevel="1" x14ac:dyDescent="0.35">
      <c r="A48" s="333">
        <f t="shared" si="1"/>
        <v>48</v>
      </c>
      <c r="C48" s="2" t="s">
        <v>636</v>
      </c>
      <c r="D48" s="3"/>
      <c r="E48" s="3"/>
      <c r="F48" s="3"/>
      <c r="G48" s="3"/>
      <c r="H48" s="3"/>
      <c r="I48" s="3"/>
      <c r="J48" s="3"/>
      <c r="K48" s="3"/>
      <c r="N48" s="1"/>
      <c r="O48" s="1"/>
      <c r="P48" s="334"/>
      <c r="Q48" s="334"/>
    </row>
    <row r="49" spans="1:17" outlineLevel="1" x14ac:dyDescent="0.35">
      <c r="A49" s="333">
        <f t="shared" si="1"/>
        <v>49</v>
      </c>
      <c r="C49" s="2"/>
      <c r="D49" s="7" t="s">
        <v>637</v>
      </c>
      <c r="E49" s="392" t="str">
        <f>IF(E41*E42=0,"",IF(E45*E46=0,"",(E41*(E42/(E42+E46)))+(E45*(E46/(E46+E42)))))</f>
        <v/>
      </c>
      <c r="F49" s="6"/>
      <c r="G49" s="3"/>
      <c r="H49" s="3"/>
      <c r="I49" s="3"/>
      <c r="J49" s="3"/>
      <c r="K49" s="3"/>
      <c r="P49" s="334"/>
      <c r="Q49" s="334"/>
    </row>
    <row r="50" spans="1:17" outlineLevel="1" x14ac:dyDescent="0.35">
      <c r="A50" s="333">
        <f t="shared" si="1"/>
        <v>50</v>
      </c>
      <c r="C50" s="2"/>
      <c r="D50" s="7"/>
      <c r="E50" s="7"/>
      <c r="F50" s="3"/>
      <c r="G50" s="3"/>
      <c r="H50" s="3"/>
      <c r="I50" s="3"/>
      <c r="J50" s="21"/>
      <c r="K50" s="21"/>
      <c r="L50" s="21"/>
      <c r="M50" s="21"/>
      <c r="N50" s="21"/>
      <c r="O50" s="3"/>
      <c r="P50" s="334"/>
      <c r="Q50" s="334"/>
    </row>
    <row r="51" spans="1:17" outlineLevel="1" x14ac:dyDescent="0.35">
      <c r="A51" s="333">
        <f t="shared" si="1"/>
        <v>51</v>
      </c>
      <c r="C51" s="24" t="s">
        <v>512</v>
      </c>
      <c r="D51" s="25"/>
      <c r="E51" s="25"/>
      <c r="F51" s="26"/>
      <c r="G51" s="26"/>
      <c r="H51" s="26"/>
      <c r="I51" s="26"/>
      <c r="J51" s="26"/>
      <c r="K51" s="26"/>
      <c r="P51" s="334"/>
      <c r="Q51" s="334"/>
    </row>
    <row r="52" spans="1:17" outlineLevel="1" x14ac:dyDescent="0.35">
      <c r="A52" s="333">
        <f t="shared" si="1"/>
        <v>52</v>
      </c>
      <c r="C52" s="2"/>
      <c r="D52" s="7" t="s">
        <v>639</v>
      </c>
      <c r="E52" s="391"/>
      <c r="F52" s="1" t="s">
        <v>38</v>
      </c>
      <c r="G52" s="3"/>
      <c r="I52" s="3" t="s">
        <v>638</v>
      </c>
      <c r="J52" s="353"/>
      <c r="K52" s="1" t="s">
        <v>38</v>
      </c>
      <c r="P52" s="334"/>
      <c r="Q52" s="334"/>
    </row>
    <row r="53" spans="1:17" outlineLevel="1" x14ac:dyDescent="0.35">
      <c r="A53" s="333">
        <f t="shared" si="1"/>
        <v>53</v>
      </c>
      <c r="C53" s="16"/>
      <c r="D53" s="7" t="s">
        <v>640</v>
      </c>
      <c r="E53" s="391"/>
      <c r="F53" s="1" t="s">
        <v>38</v>
      </c>
      <c r="G53" s="8" t="str">
        <f>+IF(E53="","",IF(E52&gt;E53,"ERROR! No puede ser el destete mayor a la preñez",""))</f>
        <v/>
      </c>
      <c r="I53" s="14" t="s">
        <v>51</v>
      </c>
      <c r="J53" s="365"/>
      <c r="K53" s="1" t="s">
        <v>52</v>
      </c>
      <c r="P53" s="334"/>
      <c r="Q53" s="334"/>
    </row>
    <row r="54" spans="1:17" outlineLevel="1" x14ac:dyDescent="0.35">
      <c r="A54" s="333">
        <f t="shared" si="1"/>
        <v>54</v>
      </c>
      <c r="C54" s="16"/>
      <c r="D54" s="7" t="s">
        <v>643</v>
      </c>
      <c r="E54" s="367"/>
      <c r="H54" s="3"/>
      <c r="I54" s="3" t="s">
        <v>642</v>
      </c>
      <c r="J54" s="353"/>
      <c r="K54" s="1" t="s">
        <v>38</v>
      </c>
      <c r="P54" s="334"/>
      <c r="Q54" s="334"/>
    </row>
    <row r="55" spans="1:17" outlineLevel="1" x14ac:dyDescent="0.35">
      <c r="A55" s="333">
        <f t="shared" si="1"/>
        <v>55</v>
      </c>
      <c r="C55" s="16"/>
      <c r="D55" s="7" t="s">
        <v>641</v>
      </c>
      <c r="E55" s="367"/>
      <c r="F55" s="1" t="s">
        <v>34</v>
      </c>
      <c r="H55" s="3"/>
      <c r="P55" s="334"/>
      <c r="Q55" s="334"/>
    </row>
    <row r="56" spans="1:17" outlineLevel="1" x14ac:dyDescent="0.35">
      <c r="A56" s="333">
        <f t="shared" si="1"/>
        <v>56</v>
      </c>
      <c r="I56" s="2" t="s">
        <v>645</v>
      </c>
      <c r="J56" s="2" t="s">
        <v>646</v>
      </c>
      <c r="P56" s="334"/>
      <c r="Q56" s="334"/>
    </row>
    <row r="57" spans="1:17" outlineLevel="1" x14ac:dyDescent="0.35">
      <c r="A57" s="333">
        <f t="shared" si="1"/>
        <v>57</v>
      </c>
      <c r="D57" s="3" t="s">
        <v>58</v>
      </c>
      <c r="E57" s="28"/>
      <c r="F57" s="1" t="s">
        <v>59</v>
      </c>
      <c r="H57" s="3" t="s">
        <v>647</v>
      </c>
      <c r="I57" s="389"/>
      <c r="J57" s="366"/>
      <c r="P57" s="334"/>
      <c r="Q57" s="334"/>
    </row>
    <row r="58" spans="1:17" outlineLevel="1" x14ac:dyDescent="0.35">
      <c r="A58" s="333">
        <f t="shared" si="1"/>
        <v>58</v>
      </c>
      <c r="D58" s="3" t="s">
        <v>644</v>
      </c>
      <c r="E58" s="28"/>
      <c r="H58" s="3" t="s">
        <v>648</v>
      </c>
      <c r="I58" s="389"/>
      <c r="J58" s="366"/>
      <c r="P58" s="334"/>
      <c r="Q58" s="334"/>
    </row>
    <row r="59" spans="1:17" outlineLevel="1" x14ac:dyDescent="0.35">
      <c r="A59" s="333">
        <f t="shared" si="1"/>
        <v>59</v>
      </c>
      <c r="F59" s="27"/>
      <c r="G59" s="27"/>
      <c r="P59" s="334"/>
      <c r="Q59" s="334"/>
    </row>
    <row r="60" spans="1:17" outlineLevel="1" x14ac:dyDescent="0.35">
      <c r="A60" s="333">
        <f t="shared" si="1"/>
        <v>60</v>
      </c>
      <c r="C60" s="59" t="s">
        <v>192</v>
      </c>
      <c r="D60" s="27"/>
      <c r="E60" s="18" t="s">
        <v>189</v>
      </c>
      <c r="F60" s="18" t="s">
        <v>190</v>
      </c>
      <c r="G60" s="18" t="s">
        <v>191</v>
      </c>
      <c r="H60" s="18" t="s">
        <v>113</v>
      </c>
      <c r="I60" s="18" t="s">
        <v>193</v>
      </c>
      <c r="P60" s="334"/>
      <c r="Q60" s="334"/>
    </row>
    <row r="61" spans="1:17" outlineLevel="1" x14ac:dyDescent="0.35">
      <c r="A61" s="333">
        <f t="shared" si="1"/>
        <v>61</v>
      </c>
      <c r="D61" s="3" t="s">
        <v>188</v>
      </c>
      <c r="E61" s="28"/>
      <c r="F61" s="28"/>
      <c r="G61" s="28"/>
      <c r="H61" s="28"/>
      <c r="I61" s="28"/>
      <c r="P61" s="334"/>
      <c r="Q61" s="334"/>
    </row>
    <row r="62" spans="1:17" x14ac:dyDescent="0.35">
      <c r="A62" s="333">
        <f t="shared" si="1"/>
        <v>62</v>
      </c>
      <c r="P62" s="334"/>
      <c r="Q62" s="334"/>
    </row>
    <row r="63" spans="1:17" x14ac:dyDescent="0.35">
      <c r="A63" s="333">
        <f t="shared" si="1"/>
        <v>63</v>
      </c>
      <c r="B63" s="348" t="s">
        <v>60</v>
      </c>
      <c r="C63" s="348"/>
      <c r="D63" s="348"/>
      <c r="E63" s="348"/>
      <c r="F63" s="348"/>
      <c r="G63" s="348"/>
      <c r="H63" s="349"/>
      <c r="I63" s="349"/>
      <c r="J63" s="349"/>
      <c r="K63" s="349"/>
      <c r="L63" s="349"/>
      <c r="M63" s="349"/>
      <c r="N63" s="350"/>
      <c r="O63" s="350"/>
      <c r="P63" s="334"/>
      <c r="Q63" s="334"/>
    </row>
    <row r="64" spans="1:17" outlineLevel="2" x14ac:dyDescent="0.35">
      <c r="A64" s="333">
        <f t="shared" si="1"/>
        <v>64</v>
      </c>
      <c r="B64" s="8"/>
      <c r="C64" s="354" t="s">
        <v>513</v>
      </c>
      <c r="D64" s="17"/>
      <c r="E64" s="8"/>
      <c r="L64" s="368"/>
      <c r="M64" s="368"/>
      <c r="N64" s="369"/>
      <c r="O64" s="369"/>
      <c r="P64" s="334"/>
      <c r="Q64" s="334"/>
    </row>
    <row r="65" spans="1:17" outlineLevel="2" x14ac:dyDescent="0.35">
      <c r="A65" s="333">
        <f t="shared" si="1"/>
        <v>65</v>
      </c>
      <c r="C65" s="370" t="s">
        <v>574</v>
      </c>
      <c r="N65" s="1"/>
      <c r="P65" s="334"/>
      <c r="Q65" s="334"/>
    </row>
    <row r="66" spans="1:17" outlineLevel="2" x14ac:dyDescent="0.35">
      <c r="A66" s="333">
        <f t="shared" si="1"/>
        <v>66</v>
      </c>
      <c r="N66" s="1"/>
      <c r="O66" s="1"/>
      <c r="P66" s="334"/>
      <c r="Q66" s="334"/>
    </row>
    <row r="67" spans="1:17" outlineLevel="2" x14ac:dyDescent="0.35">
      <c r="A67" s="333">
        <f t="shared" ref="A67:A130" si="2">+A66+1</f>
        <v>67</v>
      </c>
      <c r="C67" s="60"/>
      <c r="D67" s="60" t="s">
        <v>61</v>
      </c>
      <c r="H67" s="29" t="s">
        <v>567</v>
      </c>
      <c r="I67" s="29"/>
      <c r="N67" s="1"/>
      <c r="O67" s="1"/>
      <c r="P67" s="334"/>
      <c r="Q67" s="334"/>
    </row>
    <row r="68" spans="1:17" outlineLevel="2" x14ac:dyDescent="0.35">
      <c r="A68" s="333">
        <f t="shared" si="2"/>
        <v>68</v>
      </c>
      <c r="D68" s="3" t="s">
        <v>40</v>
      </c>
      <c r="E68" s="28"/>
      <c r="F68" s="1" t="s">
        <v>41</v>
      </c>
      <c r="I68" s="3" t="s">
        <v>40</v>
      </c>
      <c r="J68" s="28"/>
      <c r="K68" s="1" t="s">
        <v>41</v>
      </c>
      <c r="O68" s="1"/>
      <c r="P68" s="334"/>
      <c r="Q68" s="334"/>
    </row>
    <row r="69" spans="1:17" outlineLevel="2" x14ac:dyDescent="0.35">
      <c r="A69" s="333">
        <f t="shared" si="2"/>
        <v>69</v>
      </c>
      <c r="D69" s="3"/>
      <c r="I69" s="3"/>
      <c r="P69" s="334"/>
      <c r="Q69" s="334"/>
    </row>
    <row r="70" spans="1:17" outlineLevel="2" x14ac:dyDescent="0.35">
      <c r="A70" s="333">
        <f t="shared" si="2"/>
        <v>70</v>
      </c>
      <c r="D70" s="7" t="s">
        <v>43</v>
      </c>
      <c r="E70" s="28"/>
      <c r="F70" s="16" t="s">
        <v>518</v>
      </c>
      <c r="I70" s="7" t="s">
        <v>43</v>
      </c>
      <c r="J70" s="28"/>
      <c r="K70" s="16" t="s">
        <v>518</v>
      </c>
      <c r="P70" s="334"/>
      <c r="Q70" s="334"/>
    </row>
    <row r="71" spans="1:17" outlineLevel="2" x14ac:dyDescent="0.35">
      <c r="A71" s="333">
        <f t="shared" si="2"/>
        <v>71</v>
      </c>
      <c r="D71" s="3" t="s">
        <v>43</v>
      </c>
      <c r="E71" s="28"/>
      <c r="F71" s="1" t="s">
        <v>41</v>
      </c>
      <c r="I71" s="3" t="s">
        <v>43</v>
      </c>
      <c r="J71" s="28"/>
      <c r="K71" s="1" t="s">
        <v>41</v>
      </c>
      <c r="P71" s="334"/>
      <c r="Q71" s="334"/>
    </row>
    <row r="72" spans="1:17" outlineLevel="2" x14ac:dyDescent="0.35">
      <c r="A72" s="333">
        <f t="shared" si="2"/>
        <v>72</v>
      </c>
      <c r="D72" s="371" t="s">
        <v>194</v>
      </c>
      <c r="E72" s="357"/>
      <c r="F72" s="1" t="s">
        <v>62</v>
      </c>
      <c r="I72" s="371" t="s">
        <v>194</v>
      </c>
      <c r="J72" s="357"/>
      <c r="K72" s="1" t="s">
        <v>62</v>
      </c>
      <c r="P72" s="334"/>
      <c r="Q72" s="334"/>
    </row>
    <row r="73" spans="1:17" outlineLevel="2" x14ac:dyDescent="0.35">
      <c r="A73" s="333">
        <f t="shared" si="2"/>
        <v>73</v>
      </c>
      <c r="D73" s="372" t="s">
        <v>68</v>
      </c>
      <c r="E73" s="373" t="e">
        <f>+E68/E70/365</f>
        <v>#DIV/0!</v>
      </c>
      <c r="F73" s="1" t="s">
        <v>69</v>
      </c>
      <c r="I73" s="372" t="s">
        <v>68</v>
      </c>
      <c r="J73" s="373" t="e">
        <f>+J68/J70/365</f>
        <v>#DIV/0!</v>
      </c>
      <c r="K73" s="1" t="s">
        <v>69</v>
      </c>
      <c r="P73" s="334"/>
      <c r="Q73" s="334"/>
    </row>
    <row r="74" spans="1:17" outlineLevel="2" x14ac:dyDescent="0.35">
      <c r="A74" s="333">
        <f t="shared" si="2"/>
        <v>74</v>
      </c>
      <c r="D74" s="372" t="s">
        <v>39</v>
      </c>
      <c r="E74" s="373" t="e">
        <f>E68/E71</f>
        <v>#DIV/0!</v>
      </c>
      <c r="I74" s="372" t="s">
        <v>39</v>
      </c>
      <c r="J74" s="373" t="e">
        <f>+J68/J71</f>
        <v>#DIV/0!</v>
      </c>
      <c r="P74" s="334"/>
      <c r="Q74" s="334"/>
    </row>
    <row r="75" spans="1:17" outlineLevel="2" x14ac:dyDescent="0.35">
      <c r="A75" s="333">
        <f t="shared" si="2"/>
        <v>75</v>
      </c>
      <c r="D75" s="14" t="s">
        <v>519</v>
      </c>
      <c r="E75" s="374" t="e">
        <f>+E68/E70</f>
        <v>#DIV/0!</v>
      </c>
      <c r="I75" s="14" t="s">
        <v>519</v>
      </c>
      <c r="J75" s="374" t="e">
        <f>+J68/J70</f>
        <v>#DIV/0!</v>
      </c>
      <c r="P75" s="334"/>
      <c r="Q75" s="334"/>
    </row>
    <row r="76" spans="1:17" outlineLevel="2" x14ac:dyDescent="0.35">
      <c r="A76" s="333">
        <f t="shared" si="2"/>
        <v>76</v>
      </c>
      <c r="P76" s="334"/>
      <c r="Q76" s="334"/>
    </row>
    <row r="77" spans="1:17" outlineLevel="2" x14ac:dyDescent="0.35">
      <c r="A77" s="333">
        <f t="shared" si="2"/>
        <v>77</v>
      </c>
      <c r="C77" s="308" t="s">
        <v>573</v>
      </c>
      <c r="H77" s="308" t="s">
        <v>572</v>
      </c>
      <c r="P77" s="334"/>
      <c r="Q77" s="334"/>
    </row>
    <row r="78" spans="1:17" outlineLevel="2" x14ac:dyDescent="0.35">
      <c r="A78" s="333">
        <f t="shared" si="2"/>
        <v>78</v>
      </c>
      <c r="C78" s="309" t="s">
        <v>565</v>
      </c>
      <c r="H78" s="309" t="s">
        <v>565</v>
      </c>
      <c r="P78" s="334"/>
      <c r="Q78" s="334"/>
    </row>
    <row r="79" spans="1:17" outlineLevel="2" x14ac:dyDescent="0.35">
      <c r="A79" s="333">
        <f t="shared" si="2"/>
        <v>79</v>
      </c>
      <c r="D79" s="1" t="s">
        <v>522</v>
      </c>
      <c r="E79" s="375"/>
      <c r="I79" s="1" t="s">
        <v>522</v>
      </c>
      <c r="J79" s="375"/>
      <c r="P79" s="334"/>
      <c r="Q79" s="334"/>
    </row>
    <row r="80" spans="1:17" outlineLevel="2" x14ac:dyDescent="0.35">
      <c r="A80" s="333">
        <f t="shared" si="2"/>
        <v>80</v>
      </c>
      <c r="I80" s="14" t="s">
        <v>566</v>
      </c>
      <c r="J80" s="28"/>
      <c r="P80" s="334"/>
      <c r="Q80" s="334"/>
    </row>
    <row r="81" spans="1:17" outlineLevel="2" x14ac:dyDescent="0.35">
      <c r="A81" s="333">
        <f t="shared" si="2"/>
        <v>81</v>
      </c>
      <c r="D81" s="1" t="s">
        <v>520</v>
      </c>
      <c r="E81" s="28"/>
      <c r="F81" s="1" t="s">
        <v>59</v>
      </c>
      <c r="I81" s="1" t="s">
        <v>520</v>
      </c>
      <c r="J81" s="28"/>
      <c r="K81" s="1" t="s">
        <v>59</v>
      </c>
      <c r="P81" s="334"/>
      <c r="Q81" s="334"/>
    </row>
    <row r="82" spans="1:17" outlineLevel="2" x14ac:dyDescent="0.35">
      <c r="A82" s="333">
        <f t="shared" si="2"/>
        <v>82</v>
      </c>
      <c r="D82" s="1" t="s">
        <v>521</v>
      </c>
      <c r="E82" s="28"/>
      <c r="F82" s="1" t="s">
        <v>59</v>
      </c>
      <c r="I82" s="1" t="s">
        <v>521</v>
      </c>
      <c r="J82" s="28"/>
      <c r="K82" s="1" t="s">
        <v>59</v>
      </c>
      <c r="P82" s="334"/>
      <c r="Q82" s="334"/>
    </row>
    <row r="83" spans="1:17" outlineLevel="2" x14ac:dyDescent="0.35">
      <c r="A83" s="333">
        <f t="shared" si="2"/>
        <v>83</v>
      </c>
      <c r="D83" s="372" t="s">
        <v>523</v>
      </c>
      <c r="E83" s="376"/>
      <c r="I83" s="372" t="s">
        <v>523</v>
      </c>
      <c r="J83" s="376"/>
      <c r="P83" s="334"/>
      <c r="Q83" s="334"/>
    </row>
    <row r="84" spans="1:17" outlineLevel="2" x14ac:dyDescent="0.35">
      <c r="A84" s="333">
        <f t="shared" si="2"/>
        <v>84</v>
      </c>
      <c r="D84" s="372" t="s">
        <v>66</v>
      </c>
      <c r="E84" s="377"/>
      <c r="F84" s="1" t="s">
        <v>67</v>
      </c>
      <c r="I84" s="372" t="s">
        <v>66</v>
      </c>
      <c r="J84" s="377"/>
      <c r="K84" s="1" t="s">
        <v>67</v>
      </c>
      <c r="P84" s="334"/>
      <c r="Q84" s="334"/>
    </row>
    <row r="85" spans="1:17" outlineLevel="2" x14ac:dyDescent="0.35">
      <c r="A85" s="333">
        <f t="shared" si="2"/>
        <v>85</v>
      </c>
      <c r="D85" s="378"/>
      <c r="E85" s="3"/>
      <c r="F85" s="379"/>
      <c r="G85" s="16"/>
      <c r="H85" s="16"/>
      <c r="I85" s="16"/>
      <c r="J85" s="7"/>
      <c r="K85" s="379"/>
      <c r="P85" s="334"/>
      <c r="Q85" s="334"/>
    </row>
    <row r="86" spans="1:17" x14ac:dyDescent="0.35">
      <c r="A86" s="333">
        <f t="shared" si="2"/>
        <v>86</v>
      </c>
      <c r="B86" s="348" t="s">
        <v>70</v>
      </c>
      <c r="C86" s="348"/>
      <c r="D86" s="348"/>
      <c r="E86" s="348"/>
      <c r="F86" s="348"/>
      <c r="G86" s="348"/>
      <c r="H86" s="349"/>
      <c r="I86" s="349"/>
      <c r="J86" s="349"/>
      <c r="K86" s="349"/>
      <c r="L86" s="349"/>
      <c r="M86" s="349"/>
      <c r="N86" s="350"/>
      <c r="O86" s="350"/>
      <c r="P86" s="334"/>
      <c r="Q86" s="334"/>
    </row>
    <row r="87" spans="1:17" outlineLevel="1" x14ac:dyDescent="0.35">
      <c r="A87" s="333">
        <f t="shared" si="2"/>
        <v>87</v>
      </c>
      <c r="B87" s="8"/>
      <c r="C87" s="354" t="s">
        <v>71</v>
      </c>
      <c r="D87" s="17"/>
      <c r="E87" s="8"/>
      <c r="F87" s="380"/>
      <c r="G87" s="380"/>
      <c r="H87" s="368"/>
      <c r="I87" s="368"/>
      <c r="J87" s="368"/>
      <c r="K87" s="368"/>
      <c r="L87" s="368"/>
      <c r="M87" s="368"/>
      <c r="N87" s="369"/>
      <c r="O87" s="369"/>
      <c r="P87" s="334"/>
      <c r="Q87" s="334"/>
    </row>
    <row r="88" spans="1:17" outlineLevel="1" x14ac:dyDescent="0.35">
      <c r="A88" s="333">
        <f t="shared" si="2"/>
        <v>88</v>
      </c>
      <c r="B88" s="380"/>
      <c r="D88" s="380"/>
      <c r="E88" s="380"/>
      <c r="F88" s="380"/>
      <c r="G88" s="380"/>
      <c r="H88" s="368"/>
      <c r="I88" s="368"/>
      <c r="J88" s="368"/>
      <c r="K88" s="368"/>
      <c r="L88" s="368"/>
      <c r="M88" s="368"/>
      <c r="N88" s="369"/>
      <c r="O88" s="369"/>
      <c r="P88" s="334"/>
      <c r="Q88" s="334"/>
    </row>
    <row r="89" spans="1:17" outlineLevel="1" x14ac:dyDescent="0.35">
      <c r="A89" s="333">
        <f t="shared" si="2"/>
        <v>89</v>
      </c>
      <c r="B89" s="380"/>
      <c r="C89" s="354"/>
      <c r="D89" s="380"/>
      <c r="E89" s="380"/>
      <c r="F89" s="380"/>
      <c r="G89" s="381" t="s">
        <v>72</v>
      </c>
      <c r="H89" s="382"/>
      <c r="I89" s="368"/>
      <c r="J89" s="368"/>
      <c r="K89" s="368"/>
      <c r="L89" s="368"/>
      <c r="M89" s="368"/>
      <c r="N89" s="369"/>
      <c r="O89" s="369"/>
      <c r="P89" s="334"/>
    </row>
    <row r="90" spans="1:17" outlineLevel="1" x14ac:dyDescent="0.35">
      <c r="A90" s="333">
        <f t="shared" si="2"/>
        <v>90</v>
      </c>
      <c r="B90" s="380"/>
      <c r="C90" s="354" t="s">
        <v>661</v>
      </c>
      <c r="D90" s="380"/>
      <c r="E90" s="380"/>
      <c r="F90" s="380"/>
      <c r="G90" s="381" t="s">
        <v>73</v>
      </c>
      <c r="H90" s="383"/>
      <c r="I90" s="368"/>
      <c r="J90" s="368"/>
      <c r="K90" s="368"/>
      <c r="L90" s="368"/>
      <c r="M90" s="368"/>
      <c r="N90" s="369"/>
      <c r="O90" s="369"/>
      <c r="P90" s="334"/>
    </row>
    <row r="91" spans="1:17" outlineLevel="1" x14ac:dyDescent="0.35">
      <c r="A91" s="333">
        <f t="shared" si="2"/>
        <v>91</v>
      </c>
      <c r="P91" s="334"/>
    </row>
    <row r="92" spans="1:17" outlineLevel="1" x14ac:dyDescent="0.35">
      <c r="A92" s="333">
        <f t="shared" si="2"/>
        <v>92</v>
      </c>
      <c r="D92" s="29" t="s">
        <v>74</v>
      </c>
      <c r="G92" s="30"/>
      <c r="H92" s="31"/>
      <c r="I92" s="29" t="s">
        <v>75</v>
      </c>
      <c r="P92" s="334"/>
    </row>
    <row r="93" spans="1:17" outlineLevel="1" x14ac:dyDescent="0.35">
      <c r="A93" s="333">
        <f t="shared" si="2"/>
        <v>93</v>
      </c>
      <c r="D93" s="371"/>
      <c r="G93" s="30"/>
      <c r="H93" s="31"/>
      <c r="P93" s="334"/>
    </row>
    <row r="94" spans="1:17" outlineLevel="1" x14ac:dyDescent="0.35">
      <c r="A94" s="333">
        <f t="shared" si="2"/>
        <v>94</v>
      </c>
      <c r="D94" s="372" t="s">
        <v>63</v>
      </c>
      <c r="E94" s="28"/>
      <c r="F94" s="1" t="s">
        <v>64</v>
      </c>
      <c r="G94" s="30"/>
      <c r="I94" s="3" t="s">
        <v>40</v>
      </c>
      <c r="J94" s="28"/>
      <c r="K94" s="1" t="s">
        <v>41</v>
      </c>
      <c r="M94" s="10"/>
      <c r="P94" s="334"/>
    </row>
    <row r="95" spans="1:17" ht="18" customHeight="1" outlineLevel="1" x14ac:dyDescent="0.35">
      <c r="A95" s="333">
        <f t="shared" si="2"/>
        <v>95</v>
      </c>
      <c r="D95" s="3"/>
      <c r="E95" s="3"/>
      <c r="G95" s="30"/>
      <c r="I95" s="3"/>
      <c r="M95" s="10"/>
      <c r="P95" s="334"/>
    </row>
    <row r="96" spans="1:17" outlineLevel="1" x14ac:dyDescent="0.35">
      <c r="A96" s="333">
        <f t="shared" si="2"/>
        <v>96</v>
      </c>
      <c r="D96" s="14" t="s">
        <v>519</v>
      </c>
      <c r="E96" s="28"/>
      <c r="F96" s="1" t="s">
        <v>655</v>
      </c>
      <c r="G96" s="30"/>
      <c r="I96" s="14" t="s">
        <v>519</v>
      </c>
      <c r="J96" s="28"/>
      <c r="K96" s="16" t="s">
        <v>518</v>
      </c>
      <c r="M96" s="10"/>
      <c r="P96" s="334"/>
    </row>
    <row r="97" spans="1:17 16382:16382" outlineLevel="1" x14ac:dyDescent="0.35">
      <c r="A97" s="333">
        <f t="shared" si="2"/>
        <v>97</v>
      </c>
      <c r="D97" s="372" t="s">
        <v>660</v>
      </c>
      <c r="E97" s="397"/>
      <c r="F97" s="1" t="s">
        <v>69</v>
      </c>
      <c r="G97" s="30"/>
      <c r="I97" s="372" t="s">
        <v>660</v>
      </c>
      <c r="J97" s="397"/>
      <c r="K97" s="1" t="s">
        <v>41</v>
      </c>
      <c r="P97" s="334"/>
    </row>
    <row r="98" spans="1:17 16382:16382" outlineLevel="1" x14ac:dyDescent="0.35">
      <c r="A98" s="333">
        <f t="shared" si="2"/>
        <v>98</v>
      </c>
      <c r="D98" s="371" t="s">
        <v>194</v>
      </c>
      <c r="E98" s="357"/>
      <c r="F98" s="1" t="s">
        <v>62</v>
      </c>
      <c r="G98" s="30"/>
      <c r="I98" s="371" t="s">
        <v>194</v>
      </c>
      <c r="J98" s="357"/>
      <c r="K98" s="1" t="s">
        <v>62</v>
      </c>
      <c r="P98" s="334"/>
    </row>
    <row r="99" spans="1:17 16382:16382" outlineLevel="1" x14ac:dyDescent="0.35">
      <c r="A99" s="333">
        <f t="shared" si="2"/>
        <v>99</v>
      </c>
      <c r="D99" s="372" t="s">
        <v>76</v>
      </c>
      <c r="E99" s="357"/>
      <c r="F99" s="1" t="s">
        <v>77</v>
      </c>
      <c r="G99" s="30"/>
      <c r="I99" s="372" t="s">
        <v>76</v>
      </c>
      <c r="J99" s="357"/>
      <c r="K99" s="1" t="s">
        <v>77</v>
      </c>
      <c r="P99" s="334"/>
    </row>
    <row r="100" spans="1:17 16382:16382" outlineLevel="1" x14ac:dyDescent="0.35">
      <c r="A100" s="333">
        <f t="shared" si="2"/>
        <v>100</v>
      </c>
      <c r="D100" s="372"/>
      <c r="E100" s="372"/>
      <c r="F100" s="372"/>
      <c r="G100" s="30"/>
      <c r="P100" s="334"/>
    </row>
    <row r="101" spans="1:17 16382:16382" outlineLevel="1" x14ac:dyDescent="0.35">
      <c r="A101" s="333">
        <f t="shared" si="2"/>
        <v>101</v>
      </c>
      <c r="C101" s="10"/>
      <c r="D101" s="14" t="s">
        <v>551</v>
      </c>
      <c r="E101" s="393" t="e">
        <f>+E99/E94</f>
        <v>#DIV/0!</v>
      </c>
      <c r="F101" s="372"/>
      <c r="G101" s="30"/>
      <c r="I101" s="14" t="s">
        <v>551</v>
      </c>
      <c r="J101" s="393" t="e">
        <f>+J99/J94</f>
        <v>#DIV/0!</v>
      </c>
      <c r="P101" s="334"/>
    </row>
    <row r="102" spans="1:17 16382:16382" outlineLevel="1" x14ac:dyDescent="0.35">
      <c r="A102" s="333">
        <f t="shared" si="2"/>
        <v>102</v>
      </c>
      <c r="D102" s="372"/>
      <c r="G102" s="30"/>
      <c r="P102" s="334"/>
    </row>
    <row r="103" spans="1:17 16382:16382" outlineLevel="1" x14ac:dyDescent="0.35">
      <c r="A103" s="333">
        <f t="shared" si="2"/>
        <v>103</v>
      </c>
      <c r="G103" s="30"/>
      <c r="P103" s="334"/>
    </row>
    <row r="104" spans="1:17 16382:16382" outlineLevel="1" x14ac:dyDescent="0.35">
      <c r="A104" s="333">
        <f t="shared" si="2"/>
        <v>104</v>
      </c>
      <c r="D104" s="308" t="s">
        <v>563</v>
      </c>
      <c r="G104" s="30"/>
      <c r="P104" s="334"/>
    </row>
    <row r="105" spans="1:17 16382:16382" outlineLevel="1" x14ac:dyDescent="0.35">
      <c r="A105" s="333">
        <f t="shared" si="2"/>
        <v>105</v>
      </c>
      <c r="C105" s="309" t="s">
        <v>564</v>
      </c>
      <c r="D105" s="308"/>
      <c r="G105" s="30"/>
      <c r="I105" s="308" t="s">
        <v>568</v>
      </c>
      <c r="P105" s="334"/>
    </row>
    <row r="106" spans="1:17 16382:16382" outlineLevel="2" x14ac:dyDescent="0.35">
      <c r="A106" s="333">
        <f t="shared" si="2"/>
        <v>106</v>
      </c>
      <c r="B106" s="309"/>
      <c r="G106" s="30"/>
      <c r="H106" s="1" t="s">
        <v>564</v>
      </c>
      <c r="P106" s="334"/>
      <c r="Q106" s="334"/>
    </row>
    <row r="107" spans="1:17 16382:16382" outlineLevel="1" x14ac:dyDescent="0.35">
      <c r="A107" s="333">
        <f t="shared" si="2"/>
        <v>107</v>
      </c>
      <c r="D107" s="1" t="s">
        <v>522</v>
      </c>
      <c r="E107" s="375"/>
      <c r="G107" s="30"/>
      <c r="I107" s="1" t="s">
        <v>522</v>
      </c>
      <c r="J107" s="375"/>
      <c r="P107" s="334"/>
      <c r="XFB107" s="1"/>
    </row>
    <row r="108" spans="1:17 16382:16382" outlineLevel="1" x14ac:dyDescent="0.35">
      <c r="A108" s="333">
        <f t="shared" si="2"/>
        <v>108</v>
      </c>
      <c r="G108" s="30"/>
      <c r="I108" s="14" t="s">
        <v>566</v>
      </c>
      <c r="J108" s="28"/>
      <c r="P108" s="334"/>
      <c r="XFB108" s="1"/>
    </row>
    <row r="109" spans="1:17 16382:16382" outlineLevel="1" x14ac:dyDescent="0.35">
      <c r="A109" s="333">
        <f t="shared" si="2"/>
        <v>109</v>
      </c>
      <c r="D109" s="1" t="s">
        <v>520</v>
      </c>
      <c r="E109" s="28"/>
      <c r="F109" s="1" t="s">
        <v>59</v>
      </c>
      <c r="G109" s="30"/>
      <c r="I109" s="1" t="s">
        <v>520</v>
      </c>
      <c r="J109" s="28"/>
      <c r="K109" s="1" t="s">
        <v>59</v>
      </c>
      <c r="P109" s="334"/>
    </row>
    <row r="110" spans="1:17 16382:16382" outlineLevel="1" x14ac:dyDescent="0.35">
      <c r="A110" s="333">
        <f t="shared" si="2"/>
        <v>110</v>
      </c>
      <c r="D110" s="1" t="s">
        <v>521</v>
      </c>
      <c r="E110" s="28"/>
      <c r="F110" s="1" t="s">
        <v>59</v>
      </c>
      <c r="G110" s="30"/>
      <c r="I110" s="1" t="s">
        <v>521</v>
      </c>
      <c r="J110" s="28"/>
      <c r="K110" s="1" t="s">
        <v>59</v>
      </c>
      <c r="P110" s="334"/>
    </row>
    <row r="111" spans="1:17 16382:16382" ht="15" customHeight="1" outlineLevel="1" x14ac:dyDescent="0.35">
      <c r="A111" s="333">
        <f t="shared" si="2"/>
        <v>111</v>
      </c>
      <c r="G111" s="30"/>
      <c r="P111" s="334"/>
    </row>
    <row r="112" spans="1:17 16382:16382" ht="15" customHeight="1" outlineLevel="1" x14ac:dyDescent="0.35">
      <c r="A112" s="333">
        <f t="shared" si="2"/>
        <v>112</v>
      </c>
      <c r="C112" s="10"/>
      <c r="D112" s="384" t="s">
        <v>540</v>
      </c>
      <c r="E112" s="1" t="s">
        <v>67</v>
      </c>
      <c r="G112" s="30"/>
      <c r="I112" s="384" t="s">
        <v>540</v>
      </c>
      <c r="J112" s="1" t="s">
        <v>67</v>
      </c>
      <c r="P112" s="334"/>
    </row>
    <row r="113" spans="1:16" outlineLevel="1" x14ac:dyDescent="0.35">
      <c r="A113" s="333">
        <f t="shared" si="2"/>
        <v>113</v>
      </c>
      <c r="D113" s="372" t="s">
        <v>78</v>
      </c>
      <c r="E113" s="385"/>
      <c r="G113" s="30"/>
      <c r="I113" s="372" t="s">
        <v>78</v>
      </c>
      <c r="J113" s="385"/>
      <c r="P113" s="334"/>
    </row>
    <row r="114" spans="1:16" outlineLevel="1" x14ac:dyDescent="0.35">
      <c r="A114" s="333">
        <f t="shared" si="2"/>
        <v>114</v>
      </c>
      <c r="D114" s="14" t="s">
        <v>79</v>
      </c>
      <c r="E114" s="385"/>
      <c r="G114" s="30"/>
      <c r="I114" s="14" t="s">
        <v>79</v>
      </c>
      <c r="J114" s="385"/>
      <c r="P114" s="334"/>
    </row>
    <row r="115" spans="1:16" outlineLevel="1" x14ac:dyDescent="0.35">
      <c r="A115" s="333">
        <f t="shared" si="2"/>
        <v>115</v>
      </c>
      <c r="D115" s="14" t="s">
        <v>80</v>
      </c>
      <c r="E115" s="385"/>
      <c r="G115" s="30"/>
      <c r="I115" s="14" t="s">
        <v>80</v>
      </c>
      <c r="J115" s="385"/>
      <c r="P115" s="334"/>
    </row>
    <row r="116" spans="1:16" outlineLevel="1" x14ac:dyDescent="0.35">
      <c r="A116" s="333">
        <f t="shared" si="2"/>
        <v>116</v>
      </c>
      <c r="D116" s="14" t="s">
        <v>81</v>
      </c>
      <c r="E116" s="385"/>
      <c r="G116" s="30"/>
      <c r="I116" s="14" t="s">
        <v>81</v>
      </c>
      <c r="J116" s="385"/>
      <c r="P116" s="334"/>
    </row>
    <row r="117" spans="1:16" outlineLevel="1" x14ac:dyDescent="0.35">
      <c r="A117" s="333">
        <f t="shared" si="2"/>
        <v>117</v>
      </c>
      <c r="D117" s="14" t="s">
        <v>82</v>
      </c>
      <c r="E117" s="385"/>
      <c r="G117" s="30"/>
      <c r="I117" s="14" t="s">
        <v>82</v>
      </c>
      <c r="J117" s="385"/>
      <c r="P117" s="334"/>
    </row>
    <row r="118" spans="1:16" outlineLevel="1" x14ac:dyDescent="0.35">
      <c r="A118" s="333">
        <f t="shared" si="2"/>
        <v>118</v>
      </c>
      <c r="D118" s="14" t="s">
        <v>83</v>
      </c>
      <c r="E118" s="385"/>
      <c r="G118" s="30"/>
      <c r="H118" s="31"/>
      <c r="I118" s="14" t="s">
        <v>83</v>
      </c>
      <c r="J118" s="385"/>
      <c r="P118" s="334"/>
    </row>
    <row r="119" spans="1:16" outlineLevel="1" x14ac:dyDescent="0.35">
      <c r="A119" s="333">
        <f t="shared" si="2"/>
        <v>119</v>
      </c>
      <c r="G119" s="33"/>
      <c r="P119" s="334"/>
    </row>
    <row r="120" spans="1:16" outlineLevel="1" x14ac:dyDescent="0.35">
      <c r="A120" s="333">
        <f t="shared" si="2"/>
        <v>120</v>
      </c>
      <c r="C120" s="2"/>
      <c r="D120" s="386" t="s">
        <v>84</v>
      </c>
      <c r="E120" s="387" t="str">
        <f>IFERROR(E94/(E94+E68),"")</f>
        <v/>
      </c>
      <c r="G120" s="33"/>
      <c r="I120" s="386" t="s">
        <v>85</v>
      </c>
      <c r="J120" s="387" t="str">
        <f>IFERROR(J94/(J94+J68),"")</f>
        <v/>
      </c>
      <c r="M120" s="16"/>
      <c r="N120" s="1"/>
      <c r="P120" s="334"/>
    </row>
    <row r="121" spans="1:16" outlineLevel="1" x14ac:dyDescent="0.35">
      <c r="A121" s="333">
        <f t="shared" si="2"/>
        <v>121</v>
      </c>
      <c r="D121" s="386" t="s">
        <v>86</v>
      </c>
      <c r="E121" s="388" t="str">
        <f>IF(E120="","",1-E120)</f>
        <v/>
      </c>
      <c r="G121" s="33"/>
      <c r="I121" s="386" t="s">
        <v>87</v>
      </c>
      <c r="J121" s="388" t="str">
        <f>IF(J120="","",1-J120)</f>
        <v/>
      </c>
      <c r="M121" s="16"/>
      <c r="N121" s="1"/>
      <c r="P121" s="334"/>
    </row>
    <row r="122" spans="1:16" outlineLevel="1" x14ac:dyDescent="0.35">
      <c r="A122" s="333">
        <f t="shared" si="2"/>
        <v>122</v>
      </c>
      <c r="G122" s="33"/>
      <c r="M122" s="16"/>
      <c r="N122" s="1"/>
      <c r="P122" s="334"/>
    </row>
    <row r="123" spans="1:16" outlineLevel="1" x14ac:dyDescent="0.35">
      <c r="A123" s="333">
        <f t="shared" si="2"/>
        <v>123</v>
      </c>
      <c r="E123" s="378"/>
      <c r="F123" s="16"/>
      <c r="G123" s="16"/>
      <c r="J123" s="378"/>
      <c r="K123" s="16"/>
      <c r="L123" s="378"/>
      <c r="M123" s="16"/>
      <c r="N123" s="1"/>
      <c r="P123" s="334"/>
    </row>
    <row r="124" spans="1:16" x14ac:dyDescent="0.35">
      <c r="A124" s="333">
        <f t="shared" si="2"/>
        <v>124</v>
      </c>
      <c r="C124" s="403" t="s">
        <v>552</v>
      </c>
      <c r="D124" s="403"/>
      <c r="E124" s="403"/>
      <c r="F124" s="403"/>
      <c r="G124" s="403"/>
      <c r="H124" s="403"/>
      <c r="I124" s="403"/>
      <c r="J124" s="403"/>
      <c r="K124" s="403"/>
      <c r="L124" s="403"/>
      <c r="M124" s="403"/>
      <c r="N124" s="403"/>
      <c r="P124" s="334"/>
    </row>
    <row r="125" spans="1:16" x14ac:dyDescent="0.35">
      <c r="A125" s="333">
        <f t="shared" si="2"/>
        <v>125</v>
      </c>
      <c r="C125" s="401"/>
      <c r="D125" s="401"/>
      <c r="E125" s="401"/>
      <c r="F125" s="401"/>
      <c r="G125" s="401"/>
      <c r="H125" s="401"/>
      <c r="I125" s="401"/>
      <c r="J125" s="401"/>
      <c r="K125" s="401"/>
      <c r="L125" s="401"/>
      <c r="M125" s="401"/>
      <c r="N125" s="401"/>
      <c r="P125" s="334"/>
    </row>
    <row r="126" spans="1:16" x14ac:dyDescent="0.35">
      <c r="A126" s="333">
        <f t="shared" si="2"/>
        <v>126</v>
      </c>
      <c r="C126" s="402"/>
      <c r="D126" s="402"/>
      <c r="E126" s="402"/>
      <c r="F126" s="402"/>
      <c r="G126" s="402"/>
      <c r="H126" s="402"/>
      <c r="I126" s="402"/>
      <c r="J126" s="402"/>
      <c r="K126" s="402"/>
      <c r="L126" s="402"/>
      <c r="M126" s="402"/>
      <c r="N126" s="402"/>
      <c r="P126" s="334"/>
    </row>
    <row r="127" spans="1:16" x14ac:dyDescent="0.35">
      <c r="A127" s="333">
        <f t="shared" si="2"/>
        <v>127</v>
      </c>
      <c r="C127" s="402"/>
      <c r="D127" s="402"/>
      <c r="E127" s="402"/>
      <c r="F127" s="402"/>
      <c r="G127" s="402"/>
      <c r="H127" s="402"/>
      <c r="I127" s="402"/>
      <c r="J127" s="402"/>
      <c r="K127" s="402"/>
      <c r="L127" s="402"/>
      <c r="M127" s="402"/>
      <c r="N127" s="402"/>
      <c r="P127" s="334"/>
    </row>
    <row r="128" spans="1:16" x14ac:dyDescent="0.35">
      <c r="A128" s="333">
        <f t="shared" si="2"/>
        <v>128</v>
      </c>
      <c r="C128" s="402"/>
      <c r="D128" s="402"/>
      <c r="E128" s="402"/>
      <c r="F128" s="402"/>
      <c r="G128" s="402"/>
      <c r="H128" s="402"/>
      <c r="I128" s="402"/>
      <c r="J128" s="402"/>
      <c r="K128" s="402"/>
      <c r="L128" s="402"/>
      <c r="M128" s="402"/>
      <c r="N128" s="402"/>
      <c r="P128" s="334"/>
    </row>
    <row r="129" spans="1:16" x14ac:dyDescent="0.35">
      <c r="A129" s="333">
        <f t="shared" si="2"/>
        <v>129</v>
      </c>
      <c r="C129" s="402"/>
      <c r="D129" s="402"/>
      <c r="E129" s="402"/>
      <c r="F129" s="402"/>
      <c r="G129" s="402"/>
      <c r="H129" s="402"/>
      <c r="I129" s="402"/>
      <c r="J129" s="402"/>
      <c r="K129" s="402"/>
      <c r="L129" s="402"/>
      <c r="M129" s="402"/>
      <c r="N129" s="402"/>
      <c r="P129" s="334"/>
    </row>
    <row r="130" spans="1:16" x14ac:dyDescent="0.35">
      <c r="A130" s="333">
        <f t="shared" si="2"/>
        <v>130</v>
      </c>
      <c r="C130" s="402"/>
      <c r="D130" s="402"/>
      <c r="E130" s="402"/>
      <c r="F130" s="402"/>
      <c r="G130" s="402"/>
      <c r="H130" s="402"/>
      <c r="I130" s="402"/>
      <c r="J130" s="402"/>
      <c r="K130" s="402"/>
      <c r="L130" s="402"/>
      <c r="M130" s="402"/>
      <c r="N130" s="402"/>
      <c r="P130" s="334"/>
    </row>
    <row r="131" spans="1:16" x14ac:dyDescent="0.35">
      <c r="A131" s="333">
        <f t="shared" ref="A131:O135" si="3">+A130+1</f>
        <v>131</v>
      </c>
      <c r="C131" s="402"/>
      <c r="D131" s="402"/>
      <c r="E131" s="402"/>
      <c r="F131" s="402"/>
      <c r="G131" s="402"/>
      <c r="H131" s="402"/>
      <c r="I131" s="402"/>
      <c r="J131" s="402"/>
      <c r="K131" s="402"/>
      <c r="L131" s="402"/>
      <c r="M131" s="402"/>
      <c r="N131" s="402"/>
      <c r="P131" s="334"/>
    </row>
    <row r="132" spans="1:16" x14ac:dyDescent="0.35">
      <c r="A132" s="333">
        <f t="shared" si="3"/>
        <v>132</v>
      </c>
      <c r="C132" s="402"/>
      <c r="D132" s="402"/>
      <c r="E132" s="402"/>
      <c r="F132" s="402"/>
      <c r="G132" s="402"/>
      <c r="H132" s="402"/>
      <c r="I132" s="402"/>
      <c r="J132" s="402"/>
      <c r="K132" s="402"/>
      <c r="L132" s="402"/>
      <c r="M132" s="402"/>
      <c r="N132" s="402"/>
      <c r="P132" s="334"/>
    </row>
    <row r="133" spans="1:16" x14ac:dyDescent="0.35">
      <c r="A133" s="333">
        <f t="shared" si="3"/>
        <v>133</v>
      </c>
      <c r="P133" s="334"/>
    </row>
    <row r="134" spans="1:16" ht="14.5" x14ac:dyDescent="0.35">
      <c r="A134" s="333">
        <f t="shared" si="3"/>
        <v>134</v>
      </c>
      <c r="B134" s="333">
        <f t="shared" si="3"/>
        <v>1</v>
      </c>
      <c r="C134" s="333">
        <f t="shared" si="3"/>
        <v>1</v>
      </c>
      <c r="D134" s="333">
        <f t="shared" si="3"/>
        <v>1</v>
      </c>
      <c r="E134" s="333">
        <f t="shared" si="3"/>
        <v>1</v>
      </c>
      <c r="F134" s="333">
        <f t="shared" si="3"/>
        <v>1</v>
      </c>
      <c r="G134" s="333">
        <f t="shared" si="3"/>
        <v>1</v>
      </c>
      <c r="H134" s="333">
        <f t="shared" si="3"/>
        <v>1</v>
      </c>
      <c r="I134" s="333">
        <f t="shared" si="3"/>
        <v>1</v>
      </c>
      <c r="J134" s="333">
        <f t="shared" si="3"/>
        <v>1</v>
      </c>
      <c r="K134" s="333">
        <f t="shared" si="3"/>
        <v>1</v>
      </c>
      <c r="L134" s="333">
        <f t="shared" si="3"/>
        <v>1</v>
      </c>
      <c r="M134" s="333">
        <f t="shared" si="3"/>
        <v>1</v>
      </c>
      <c r="N134" s="333">
        <f t="shared" si="3"/>
        <v>1</v>
      </c>
      <c r="O134" s="333">
        <f t="shared" si="3"/>
        <v>1</v>
      </c>
      <c r="P134" s="334"/>
    </row>
    <row r="135" spans="1:16" ht="14.5" x14ac:dyDescent="0.35">
      <c r="A135" s="333">
        <f t="shared" si="3"/>
        <v>135</v>
      </c>
      <c r="B135" s="333">
        <f t="shared" si="3"/>
        <v>2</v>
      </c>
      <c r="C135" s="333">
        <f t="shared" si="3"/>
        <v>2</v>
      </c>
      <c r="D135" s="333">
        <f t="shared" si="3"/>
        <v>2</v>
      </c>
      <c r="E135" s="333">
        <f t="shared" si="3"/>
        <v>2</v>
      </c>
      <c r="F135" s="333">
        <f t="shared" si="3"/>
        <v>2</v>
      </c>
      <c r="G135" s="333">
        <f t="shared" si="3"/>
        <v>2</v>
      </c>
      <c r="H135" s="333">
        <f t="shared" si="3"/>
        <v>2</v>
      </c>
      <c r="I135" s="333">
        <f t="shared" si="3"/>
        <v>2</v>
      </c>
      <c r="J135" s="333">
        <f t="shared" si="3"/>
        <v>2</v>
      </c>
      <c r="K135" s="333">
        <f t="shared" si="3"/>
        <v>2</v>
      </c>
      <c r="L135" s="333">
        <f t="shared" si="3"/>
        <v>2</v>
      </c>
      <c r="M135" s="333">
        <f t="shared" si="3"/>
        <v>2</v>
      </c>
      <c r="N135" s="333">
        <f t="shared" si="3"/>
        <v>2</v>
      </c>
      <c r="O135" s="333">
        <f t="shared" si="3"/>
        <v>2</v>
      </c>
      <c r="P135" s="334"/>
    </row>
  </sheetData>
  <sheetProtection sheet="1" objects="1" scenarios="1" selectLockedCells="1"/>
  <protectedRanges>
    <protectedRange sqref="G37" name="Rango1"/>
  </protectedRanges>
  <dataConsolidate/>
  <mergeCells count="6">
    <mergeCell ref="C125:N132"/>
    <mergeCell ref="I5:J5"/>
    <mergeCell ref="M11:O12"/>
    <mergeCell ref="M13:O14"/>
    <mergeCell ref="M15:O16"/>
    <mergeCell ref="C124:N124"/>
  </mergeCells>
  <conditionalFormatting sqref="J12">
    <cfRule type="expression" dxfId="17" priority="3">
      <formula>$J$11&gt;1</formula>
    </cfRule>
  </conditionalFormatting>
  <conditionalFormatting sqref="J14">
    <cfRule type="expression" dxfId="16" priority="2">
      <formula>$J$13&gt;1</formula>
    </cfRule>
  </conditionalFormatting>
  <conditionalFormatting sqref="J16">
    <cfRule type="expression" dxfId="15" priority="1">
      <formula>$J$15&gt;1</formula>
    </cfRule>
  </conditionalFormatting>
  <dataValidations count="62">
    <dataValidation type="list" allowBlank="1" showInputMessage="1" showErrorMessage="1" prompt="Servicio '15" sqref="J57:J58">
      <formula1>duracion</formula1>
    </dataValidation>
    <dataValidation type="list" allowBlank="1" showInputMessage="1" showErrorMessage="1" prompt="Servicio '15" sqref="I58">
      <formula1>fechaservicio</formula1>
    </dataValidation>
    <dataValidation allowBlank="1" showInputMessage="1" showErrorMessage="1" prompt="Tiempo desde la primer labor del verdeo/diferido hasta cambio de uso del lote (no sólo tiempo que fue pastoreado)." sqref="J14"/>
    <dataValidation allowBlank="1" showInputMessage="1" showErrorMessage="1" prompt="Tiempo desde la primer labor del verdeo hasta cambio de uso del lote (no sólo tiempo que fue pastoreado)." sqref="J12"/>
    <dataValidation type="list" allowBlank="1" showInputMessage="1" showErrorMessage="1" sqref="J83 E83">
      <formula1>RRFF</formula1>
    </dataValidation>
    <dataValidation allowBlank="1" showInputMessage="1" showErrorMessage="1" prompt="Vaquillonas de 1° servicio preñadas 17´/ vaquillonas de 1° s. entoradas en 16´" sqref="E45"/>
    <dataValidation allowBlank="1" showInputMessage="1" showErrorMessage="1" prompt="Vacas y vaquillonas preñadas sobre vientres entoradas en servicio 15´" sqref="E53"/>
    <dataValidation allowBlank="1" showInputMessage="1" showErrorMessage="1" prompt="Terneros destetados 17´sobre vientres entorados en servicio´15" sqref="E52"/>
    <dataValidation allowBlank="1" showErrorMessage="1" prompt="Superficie de monte productivos del establecimiento" sqref="J16"/>
    <dataValidation allowBlank="1" showErrorMessage="1" sqref="J19"/>
    <dataValidation allowBlank="1" showInputMessage="1" showErrorMessage="1" prompt="Superfice de rastrojos pastoreados. En la celda contigua se calculará las has asignadas a dicho recurso según las Normas CREA." sqref="J15"/>
    <dataValidation allowBlank="1" showInputMessage="1" showErrorMessage="1" prompt="Superfice sembrada (tal cual) con verdeos de verano para consumo fresco o diferido. En la celda contigua se calculará las has asignadas a dicho recurso según las Normas CREA." sqref="J13"/>
    <dataValidation allowBlank="1" showInputMessage="1" showErrorMessage="1" prompt="Superficie del establecimiento en producción." sqref="E11"/>
    <dataValidation allowBlank="1" showInputMessage="1" showErrorMessage="1" prompt="Superficie de suelo de la unidad de producción en agricultura, propias y alquiladas." sqref="E12"/>
    <dataValidation type="list" allowBlank="1" showInputMessage="1" showErrorMessage="1" sqref="G6">
      <formula1>MP</formula1>
    </dataValidation>
    <dataValidation allowBlank="1" showInputMessage="1" showErrorMessage="1" prompt="Praderas implantadas en la campaña en análisis." sqref="E18"/>
    <dataValidation allowBlank="1" showInputMessage="1" showErrorMessage="1" prompt="Stock bovino al 30 de junio 2017 (todo lo que está en el establecimiento)" sqref="E27"/>
    <dataValidation allowBlank="1" showInputMessage="1" showErrorMessage="1" prompt="Producción de carne (kg totales) = SALIDAS (kg vendidos,  traslados, consumo del eto.) - ENTRADAS (kg por compra o traslados de otras procedencias) + DIF. INVENTARIO (en Kg)" sqref="E28 J68 E68 E94 J94"/>
    <dataValidation allowBlank="1" showInputMessage="1" showErrorMessage="1" prompt="Cantidad de Vaquillonas de 1 en servicio en 2016" sqref="E46"/>
    <dataValidation allowBlank="1" showInputMessage="1" showErrorMessage="1" prompt="Nro de cabezas muertas/cabezas ingresadas" sqref="E30"/>
    <dataValidation allowBlank="1" showInputMessage="1" showErrorMessage="1" prompt="Superficie de campo natural de la unidad de producción" sqref="E15"/>
    <dataValidation allowBlank="1" showInputMessage="1" showErrorMessage="1" prompt="Superficie de praderas perennes ya implantadas" sqref="E17"/>
    <dataValidation allowBlank="1" showInputMessage="1" showErrorMessage="1" prompt="Superfice sembrada con verdeos de invierno tal cual. En la celda contigua se calculará las has asignadas a dicho recurso según las Normas CREA." sqref="J11"/>
    <dataValidation allowBlank="1" showInputMessage="1" showErrorMessage="1" prompt="Superficie de monte productivos de la unidad de producción" sqref="E16"/>
    <dataValidation allowBlank="1" showInputMessage="1" showErrorMessage="1" prompt="Stock bovino al 1 de julio 2016 (todo lo que está en el establecimiento)" sqref="E26"/>
    <dataValidation allowBlank="1" showInputMessage="1" showErrorMessage="1" prompt="Ponderar en función de la cantidad de tiempo que se le dedica a la ganadería. Se tiene en cuenta el personal de maquinaria que le presta un servicio a la ganadería." sqref="E33 H90"/>
    <dataValidation allowBlank="1" showInputMessage="1" showErrorMessage="1" prompt="Incluye vacas y vaquillonas" sqref="E54:E55"/>
    <dataValidation allowBlank="1" showInputMessage="1" showErrorMessage="1" prompt="Este indicador no debe ser tenido en cuenta en producciones a corral" sqref="J27 J29"/>
    <dataValidation allowBlank="1" showInputMessage="1" showErrorMessage="1" prompt="Vacas preñadas 17´sobre vacas entoradas servicio 16´" sqref="E41"/>
    <dataValidation type="list" allowBlank="1" showErrorMessage="1" sqref="E61:I61">
      <formula1>cruz</formula1>
    </dataValidation>
    <dataValidation type="list" allowBlank="1" showInputMessage="1" showErrorMessage="1" prompt="Región donde se encuentra el establecimiento, independientemente del CREA al que pertenezca el establecimiento." sqref="F6">
      <formula1>Crea</formula1>
    </dataValidation>
    <dataValidation type="list" allowBlank="1" showInputMessage="1" showErrorMessage="1" sqref="J53">
      <formula1>edadservicio</formula1>
    </dataValidation>
    <dataValidation allowBlank="1" showInputMessage="1" showErrorMessage="1" prompt="% de vaquillonas inseminadas en la campaña (Vaquillona Inseminadas/Vaquillonas en Servicio)" sqref="J54"/>
    <dataValidation allowBlank="1" showInputMessage="1" showErrorMessage="1" prompt="% de vacas inseminadas en la campaña vacas Inseminadas/Vacas en Servicio)" sqref="J52"/>
    <dataValidation allowBlank="1" showInputMessage="1" showErrorMessage="1" prompt="Peso medio de destete '17" sqref="E57"/>
    <dataValidation type="list" allowBlank="1" showInputMessage="1" showErrorMessage="1" prompt="Servicio '15_x000a_" sqref="I57">
      <formula1>fechaservicio</formula1>
    </dataValidation>
    <dataValidation allowBlank="1" showInputMessage="1" showErrorMessage="1" prompt="Capacidad máxima instantanea" sqref="H89"/>
    <dataValidation allowBlank="1" showInputMessage="1" showErrorMessage="1" prompt="Ingrese un valor estimativo promedio de venta de la hectárea donde está realizando la ganadería." sqref="J21"/>
    <dataValidation type="list" allowBlank="1" showInputMessage="1" showErrorMessage="1" sqref="E79 J79 J107 E107">
      <formula1>MH</formula1>
    </dataValidation>
    <dataValidation type="list" allowBlank="1" showInputMessage="1" showErrorMessage="1" sqref="J81 J109">
      <formula1>PET</formula1>
    </dataValidation>
    <dataValidation type="list" allowBlank="1" showInputMessage="1" showErrorMessage="1" sqref="J82 J110">
      <formula1>PST</formula1>
    </dataValidation>
    <dataValidation type="list" allowBlank="1" showInputMessage="1" showErrorMessage="1" sqref="E81 E109">
      <formula1>PER</formula1>
    </dataValidation>
    <dataValidation type="list" allowBlank="1" showInputMessage="1" showErrorMessage="1" sqref="E82 E110">
      <formula1>PSR</formula1>
    </dataValidation>
    <dataValidation allowBlank="1" showInputMessage="1" showErrorMessage="1" prompt="Stock medio en recría: promedio de los valores de stock mensual en cabezas para el ejercicio." sqref="E70"/>
    <dataValidation type="list" allowBlank="1" showInputMessage="1" showErrorMessage="1" sqref="E114 J114">
      <formula1>CC</formula1>
    </dataValidation>
    <dataValidation type="list" allowBlank="1" showInputMessage="1" showErrorMessage="1" sqref="E115:E118 E113 J115:J118 J113">
      <formula1>Dieta</formula1>
    </dataValidation>
    <dataValidation type="list" allowBlank="1" showInputMessage="1" showErrorMessage="1" sqref="J80 J108">
      <formula1>sino</formula1>
    </dataValidation>
    <dataValidation allowBlank="1" showInputMessage="1" showErrorMessage="1" prompt="Superficie en en ganadería con aptitud agrícola (clase I a IV) propias y alquiladas." sqref="J20"/>
    <dataValidation allowBlank="1" showInputMessage="1" showErrorMessage="1" prompt="Si la empresa tiene más de un establecimiento, llenar una planilla por cada campo." sqref="D6"/>
    <dataValidation allowBlank="1" showInputMessage="1" showErrorMessage="1" prompt="Tiempo promedio de la recría. Si hay distintos lotes/rodeos, poner la duración ponderada." sqref="E72 E98"/>
    <dataValidation allowBlank="1" showInputMessage="1" showErrorMessage="1" prompt="Tiempo promedio de la terminación. Si hay distintos lotes/rodeos, poner la duración ponderada." sqref="J72 J98"/>
    <dataValidation type="list" allowBlank="1" showInputMessage="1" showErrorMessage="1" prompt="% de la dieta en MS suplementada" sqref="E84 J84">
      <formula1>supl</formula1>
    </dataValidation>
    <dataValidation type="list" allowBlank="1" showInputMessage="1" showErrorMessage="1" prompt="Edad promedio al destete '17. Si hubo diferentes destetes, poner una edad promedio. Si merece aclaraciones, anotarlas en observaciones. " sqref="E58">
      <formula1>Destete</formula1>
    </dataValidation>
    <dataValidation allowBlank="1" showInputMessage="1" showErrorMessage="1" prompt="Kilos de materia seca ofrecidos en los corrales de recría" sqref="E99"/>
    <dataValidation allowBlank="1" showInputMessage="1" showErrorMessage="1" prompt="Kilos de materia seca ofrecidos en los corrales de terminación." sqref="J99"/>
    <dataValidation allowBlank="1" showInputMessage="1" showErrorMessage="1" prompt="Promedio de los valores de stock mensual en kg para el ejercicio (incluye corrales). Los terneros al pie de la madre se deben contabilizar como stock para el cálculo de carga." sqref="E32"/>
    <dataValidation allowBlank="1" showInputMessage="1" showErrorMessage="1" prompt="Promedio de los valores de stock mensual en cabezas para el ejercicio (incluye corrales). Los terneros al pie de la madre se deben contabilizar para el cálculo de carga." sqref="E31"/>
    <dataValidation allowBlank="1" showInputMessage="1" showErrorMessage="1" prompt="Stock medio en recría: promedio de los valores de stock mensual en kilos totales para el ejercicio." sqref="E71"/>
    <dataValidation allowBlank="1" showInputMessage="1" showErrorMessage="1" prompt="Stock medio en terminación: promedio de los valores de stock mensual en cabezas para el ejercicio." sqref="J70"/>
    <dataValidation allowBlank="1" showInputMessage="1" showErrorMessage="1" prompt="Stock medio en terminación: promedio de los valores de stock mensual en kilos totales para el ejercicio." sqref="J71"/>
    <dataValidation allowBlank="1" showErrorMessage="1" prompt="Kilos de materia seca ofrecidos en total" sqref="E96 J96"/>
    <dataValidation allowBlank="1" showInputMessage="1" showErrorMessage="1" prompt="Aumento diario de peso vivo promedio" sqref="J97 E97"/>
  </dataValidations>
  <hyperlinks>
    <hyperlink ref="G95" location="'1 (prop.sup)'!F115" display="Ir a cálculo desbaste"/>
    <hyperlink ref="G95:G96" location="'1'!D118" display="Ir a cálculo desbaste"/>
    <hyperlink ref="L95:L96" location="'1'!D118" display="Ir a cálculo desbaste"/>
    <hyperlink ref="L95" location="'1 (prop.sup)'!F115" display="Ir a cálculo desbaste"/>
  </hyperlinks>
  <pageMargins left="0.25" right="0.25" top="0.75" bottom="0.75" header="0.3" footer="0.3"/>
  <pageSetup paperSize="9" scale="48" fitToHeight="0" orientation="portrait" verticalDpi="599" r:id="rId1"/>
  <rowBreaks count="1" manualBreakCount="1">
    <brk id="60" min="1" max="12" man="1"/>
  </row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B135"/>
  <sheetViews>
    <sheetView showGridLines="0" zoomScale="90" zoomScaleNormal="90" workbookViewId="0">
      <pane xSplit="1" ySplit="1" topLeftCell="B2" activePane="bottomRight" state="frozen"/>
      <selection activeCell="G25" sqref="G25"/>
      <selection pane="topRight" activeCell="G25" sqref="G25"/>
      <selection pane="bottomLeft" activeCell="G25" sqref="G25"/>
      <selection pane="bottomRight" activeCell="C6" sqref="C6"/>
    </sheetView>
  </sheetViews>
  <sheetFormatPr baseColWidth="10" defaultColWidth="0" defaultRowHeight="15.5" customHeight="1" zeroHeight="1" outlineLevelRow="2" x14ac:dyDescent="0.35"/>
  <cols>
    <col min="1" max="1" width="5" style="330" customWidth="1"/>
    <col min="2" max="2" width="11.81640625" style="1" customWidth="1"/>
    <col min="3" max="3" width="16" style="1" customWidth="1"/>
    <col min="4" max="4" width="18.54296875" style="1" customWidth="1"/>
    <col min="5" max="6" width="14.54296875" style="1" customWidth="1"/>
    <col min="7" max="7" width="12.1796875" style="1" customWidth="1"/>
    <col min="8" max="8" width="16.26953125" style="1" customWidth="1"/>
    <col min="9" max="10" width="14.54296875" style="1" customWidth="1"/>
    <col min="11" max="12" width="13.453125" style="1" customWidth="1"/>
    <col min="13" max="13" width="14.54296875" style="1" customWidth="1"/>
    <col min="14" max="15" width="11.453125" style="69" customWidth="1"/>
    <col min="16" max="16" width="5.54296875" style="69" customWidth="1"/>
    <col min="17" max="17" width="11.453125" style="69" hidden="1"/>
    <col min="18" max="16382" width="0" style="69" hidden="1"/>
    <col min="16383" max="16384" width="11.453125" style="69" hidden="1"/>
  </cols>
  <sheetData>
    <row r="1" spans="1:17" s="333" customFormat="1" ht="14.5" x14ac:dyDescent="0.35">
      <c r="A1" s="333">
        <v>1</v>
      </c>
      <c r="B1" s="333">
        <f t="shared" ref="B1:P1" si="0">+A1+1</f>
        <v>2</v>
      </c>
      <c r="C1" s="333">
        <f t="shared" si="0"/>
        <v>3</v>
      </c>
      <c r="D1" s="333">
        <f t="shared" si="0"/>
        <v>4</v>
      </c>
      <c r="E1" s="333">
        <f t="shared" si="0"/>
        <v>5</v>
      </c>
      <c r="F1" s="333">
        <f t="shared" si="0"/>
        <v>6</v>
      </c>
      <c r="G1" s="333">
        <f t="shared" si="0"/>
        <v>7</v>
      </c>
      <c r="H1" s="333">
        <f t="shared" si="0"/>
        <v>8</v>
      </c>
      <c r="I1" s="333">
        <f t="shared" si="0"/>
        <v>9</v>
      </c>
      <c r="J1" s="333">
        <f t="shared" si="0"/>
        <v>10</v>
      </c>
      <c r="K1" s="333">
        <f t="shared" si="0"/>
        <v>11</v>
      </c>
      <c r="L1" s="333">
        <f t="shared" si="0"/>
        <v>12</v>
      </c>
      <c r="M1" s="333">
        <f t="shared" si="0"/>
        <v>13</v>
      </c>
      <c r="N1" s="333">
        <f t="shared" si="0"/>
        <v>14</v>
      </c>
      <c r="O1" s="333">
        <f t="shared" si="0"/>
        <v>15</v>
      </c>
      <c r="P1" s="333">
        <f t="shared" si="0"/>
        <v>16</v>
      </c>
    </row>
    <row r="2" spans="1:17" x14ac:dyDescent="0.35">
      <c r="A2" s="333">
        <f>+A1+1</f>
        <v>2</v>
      </c>
      <c r="P2" s="334"/>
      <c r="Q2" s="334"/>
    </row>
    <row r="3" spans="1:17" x14ac:dyDescent="0.35">
      <c r="A3" s="333">
        <f t="shared" ref="A3:A66" si="1">+A2+1</f>
        <v>3</v>
      </c>
      <c r="B3" s="335" t="s">
        <v>0</v>
      </c>
      <c r="C3" s="336"/>
      <c r="D3" s="58"/>
      <c r="E3" s="302"/>
      <c r="F3" s="337" t="s">
        <v>1</v>
      </c>
      <c r="G3" s="58"/>
      <c r="H3" s="303"/>
      <c r="I3" s="337" t="s">
        <v>2</v>
      </c>
      <c r="J3" s="58"/>
      <c r="K3" s="58"/>
      <c r="L3" s="336"/>
      <c r="M3" s="336"/>
      <c r="N3" s="338"/>
      <c r="O3" s="339"/>
      <c r="P3" s="334"/>
      <c r="Q3" s="334"/>
    </row>
    <row r="4" spans="1:17" x14ac:dyDescent="0.35">
      <c r="A4" s="333">
        <f t="shared" si="1"/>
        <v>4</v>
      </c>
      <c r="B4" s="340"/>
      <c r="C4" s="340"/>
      <c r="E4" s="336"/>
      <c r="F4" s="336"/>
      <c r="G4" s="336"/>
      <c r="H4" s="336"/>
      <c r="I4" s="336"/>
      <c r="J4" s="336"/>
      <c r="K4" s="336"/>
      <c r="L4" s="336"/>
      <c r="M4" s="336"/>
      <c r="N4" s="338"/>
      <c r="O4" s="338"/>
      <c r="P4" s="334"/>
      <c r="Q4" s="334"/>
    </row>
    <row r="5" spans="1:17" ht="29" x14ac:dyDescent="0.35">
      <c r="A5" s="333">
        <f t="shared" si="1"/>
        <v>5</v>
      </c>
      <c r="B5" s="341" t="s">
        <v>3</v>
      </c>
      <c r="C5" s="342" t="s">
        <v>4</v>
      </c>
      <c r="D5" s="341" t="s">
        <v>5</v>
      </c>
      <c r="E5" s="342" t="s">
        <v>6</v>
      </c>
      <c r="F5" s="342" t="s">
        <v>7</v>
      </c>
      <c r="G5" s="343" t="s">
        <v>8</v>
      </c>
      <c r="H5" s="344" t="s">
        <v>9</v>
      </c>
      <c r="I5" s="404" t="s">
        <v>10</v>
      </c>
      <c r="J5" s="405"/>
      <c r="N5" s="345"/>
      <c r="P5" s="334"/>
      <c r="Q5" s="334"/>
    </row>
    <row r="6" spans="1:17" x14ac:dyDescent="0.35">
      <c r="A6" s="333">
        <f t="shared" si="1"/>
        <v>6</v>
      </c>
      <c r="B6" s="310" t="s">
        <v>649</v>
      </c>
      <c r="C6" s="346"/>
      <c r="D6" s="346"/>
      <c r="E6" s="347"/>
      <c r="F6" s="346"/>
      <c r="G6" s="347"/>
      <c r="H6" s="347"/>
      <c r="I6" s="347"/>
      <c r="J6" s="347"/>
      <c r="N6" s="338"/>
      <c r="O6" s="338"/>
      <c r="P6" s="334"/>
      <c r="Q6" s="334"/>
    </row>
    <row r="7" spans="1:17" x14ac:dyDescent="0.35">
      <c r="A7" s="333">
        <f t="shared" si="1"/>
        <v>7</v>
      </c>
      <c r="P7" s="334"/>
      <c r="Q7" s="334"/>
    </row>
    <row r="8" spans="1:17" x14ac:dyDescent="0.35">
      <c r="A8" s="333">
        <f t="shared" si="1"/>
        <v>8</v>
      </c>
      <c r="B8" s="348" t="s">
        <v>13</v>
      </c>
      <c r="C8" s="348"/>
      <c r="D8" s="348"/>
      <c r="E8" s="348"/>
      <c r="F8" s="348"/>
      <c r="G8" s="348"/>
      <c r="H8" s="349"/>
      <c r="I8" s="349"/>
      <c r="J8" s="349"/>
      <c r="K8" s="349"/>
      <c r="L8" s="349"/>
      <c r="M8" s="349"/>
      <c r="N8" s="350"/>
      <c r="O8" s="350"/>
      <c r="P8" s="334"/>
      <c r="Q8" s="334"/>
    </row>
    <row r="9" spans="1:17" x14ac:dyDescent="0.35">
      <c r="A9" s="333">
        <f t="shared" si="1"/>
        <v>9</v>
      </c>
      <c r="P9" s="334"/>
      <c r="Q9" s="334"/>
    </row>
    <row r="10" spans="1:17" x14ac:dyDescent="0.35">
      <c r="A10" s="333">
        <f t="shared" si="1"/>
        <v>10</v>
      </c>
      <c r="C10" s="2"/>
      <c r="D10" s="2" t="s">
        <v>14</v>
      </c>
      <c r="G10" s="2"/>
      <c r="I10" s="56" t="s">
        <v>17</v>
      </c>
      <c r="J10" s="69"/>
      <c r="K10" s="69"/>
      <c r="L10" s="2" t="s">
        <v>18</v>
      </c>
      <c r="M10" s="4"/>
      <c r="P10" s="334"/>
      <c r="Q10" s="334"/>
    </row>
    <row r="11" spans="1:17" ht="18" customHeight="1" x14ac:dyDescent="0.35">
      <c r="A11" s="333">
        <f t="shared" si="1"/>
        <v>11</v>
      </c>
      <c r="D11" s="3" t="s">
        <v>15</v>
      </c>
      <c r="E11" s="28"/>
      <c r="F11" s="1" t="s">
        <v>16</v>
      </c>
      <c r="I11" s="3" t="s">
        <v>19</v>
      </c>
      <c r="J11" s="28"/>
      <c r="K11" s="1" t="s">
        <v>16</v>
      </c>
      <c r="L11" s="5" t="str">
        <f>IF(J11*J12/12=0,"",J11*J12/12)</f>
        <v/>
      </c>
      <c r="M11" s="406" t="s">
        <v>656</v>
      </c>
      <c r="N11" s="406"/>
      <c r="O11" s="406"/>
      <c r="P11" s="334"/>
      <c r="Q11" s="334"/>
    </row>
    <row r="12" spans="1:17" x14ac:dyDescent="0.35">
      <c r="A12" s="333">
        <f t="shared" si="1"/>
        <v>12</v>
      </c>
      <c r="D12" s="3" t="s">
        <v>514</v>
      </c>
      <c r="E12" s="28"/>
      <c r="F12" s="1" t="s">
        <v>16</v>
      </c>
      <c r="I12" s="3" t="str">
        <f>+IF(J11&gt;1,"Tiempo ocupado por verdeo de invierno","")</f>
        <v/>
      </c>
      <c r="J12" s="351"/>
      <c r="K12" s="6" t="str">
        <f>+IF($J$11&gt;1,"meses","")</f>
        <v/>
      </c>
      <c r="L12" s="69"/>
      <c r="M12" s="406"/>
      <c r="N12" s="406"/>
      <c r="O12" s="406"/>
      <c r="P12" s="334"/>
      <c r="Q12" s="334"/>
    </row>
    <row r="13" spans="1:17" ht="18" customHeight="1" x14ac:dyDescent="0.35">
      <c r="A13" s="333">
        <f t="shared" si="1"/>
        <v>13</v>
      </c>
      <c r="I13" s="3" t="s">
        <v>22</v>
      </c>
      <c r="J13" s="28"/>
      <c r="K13" s="1" t="s">
        <v>16</v>
      </c>
      <c r="L13" s="5" t="str">
        <f>IF(J13*J14/12=0,"",J13*J14/12)</f>
        <v/>
      </c>
      <c r="M13" s="406" t="s">
        <v>657</v>
      </c>
      <c r="N13" s="406"/>
      <c r="O13" s="406"/>
      <c r="P13" s="334"/>
      <c r="Q13" s="334"/>
    </row>
    <row r="14" spans="1:17" x14ac:dyDescent="0.35">
      <c r="A14" s="333">
        <f t="shared" si="1"/>
        <v>14</v>
      </c>
      <c r="C14" s="2"/>
      <c r="D14" s="2" t="s">
        <v>21</v>
      </c>
      <c r="I14" s="3" t="str">
        <f>+IF(J13&gt;1,"Tiempo ocupado por verdeo de verano y diferido","")</f>
        <v/>
      </c>
      <c r="J14" s="351"/>
      <c r="K14" s="6" t="str">
        <f>+IF($J$13&gt;1,"meses","")</f>
        <v/>
      </c>
      <c r="L14" s="69"/>
      <c r="M14" s="406"/>
      <c r="N14" s="406"/>
      <c r="O14" s="406"/>
      <c r="P14" s="334"/>
      <c r="Q14" s="334"/>
    </row>
    <row r="15" spans="1:17" ht="18" customHeight="1" x14ac:dyDescent="0.35">
      <c r="A15" s="333">
        <f t="shared" si="1"/>
        <v>15</v>
      </c>
      <c r="D15" s="3" t="s">
        <v>24</v>
      </c>
      <c r="E15" s="28"/>
      <c r="F15" s="1" t="s">
        <v>16</v>
      </c>
      <c r="I15" s="3" t="s">
        <v>26</v>
      </c>
      <c r="J15" s="28"/>
      <c r="K15" s="1" t="s">
        <v>16</v>
      </c>
      <c r="L15" s="5" t="str">
        <f>IF(J15*J16/12=0,"",J15*J16/12)</f>
        <v/>
      </c>
      <c r="M15" s="406" t="s">
        <v>658</v>
      </c>
      <c r="N15" s="406"/>
      <c r="O15" s="406"/>
      <c r="P15" s="334"/>
      <c r="Q15" s="334"/>
    </row>
    <row r="16" spans="1:17" x14ac:dyDescent="0.35">
      <c r="A16" s="333">
        <f t="shared" si="1"/>
        <v>16</v>
      </c>
      <c r="B16" s="8"/>
      <c r="D16" s="7" t="s">
        <v>25</v>
      </c>
      <c r="E16" s="28"/>
      <c r="F16" s="1" t="s">
        <v>16</v>
      </c>
      <c r="I16" s="3" t="str">
        <f>+IF(J15&gt;1,"Tiempo de ocupación de rastrojos y otros  ","")</f>
        <v/>
      </c>
      <c r="J16" s="351"/>
      <c r="K16" s="6" t="str">
        <f>+IF($J$15&gt;1,"meses","")</f>
        <v/>
      </c>
      <c r="L16" s="69"/>
      <c r="M16" s="406"/>
      <c r="N16" s="406"/>
      <c r="O16" s="406"/>
      <c r="P16" s="334"/>
      <c r="Q16" s="334"/>
    </row>
    <row r="17" spans="1:17" x14ac:dyDescent="0.35">
      <c r="A17" s="333">
        <f t="shared" si="1"/>
        <v>17</v>
      </c>
      <c r="D17" s="3" t="s">
        <v>28</v>
      </c>
      <c r="E17" s="28"/>
      <c r="F17" s="1" t="s">
        <v>16</v>
      </c>
      <c r="M17" s="396"/>
      <c r="N17" s="352"/>
      <c r="O17" s="352"/>
      <c r="P17" s="334"/>
      <c r="Q17" s="334"/>
    </row>
    <row r="18" spans="1:17" x14ac:dyDescent="0.35">
      <c r="A18" s="333">
        <f t="shared" si="1"/>
        <v>18</v>
      </c>
      <c r="D18" s="3" t="s">
        <v>29</v>
      </c>
      <c r="E18" s="28"/>
      <c r="F18" s="1" t="s">
        <v>16</v>
      </c>
      <c r="G18" s="10"/>
      <c r="H18" s="11"/>
      <c r="I18" s="57" t="s">
        <v>30</v>
      </c>
      <c r="J18" s="10"/>
      <c r="K18" s="10"/>
      <c r="P18" s="334"/>
      <c r="Q18" s="334"/>
    </row>
    <row r="19" spans="1:17" x14ac:dyDescent="0.35">
      <c r="A19" s="333">
        <f t="shared" si="1"/>
        <v>19</v>
      </c>
      <c r="C19" s="1" t="s">
        <v>9</v>
      </c>
      <c r="D19" s="329"/>
      <c r="E19" s="329"/>
      <c r="F19" s="1" t="s">
        <v>16</v>
      </c>
      <c r="G19" s="10"/>
      <c r="H19" s="10"/>
      <c r="I19" s="7" t="s">
        <v>31</v>
      </c>
      <c r="J19" s="12">
        <f>+SUM(E15:E20,L11,L13,L15)</f>
        <v>0</v>
      </c>
      <c r="K19" s="10" t="s">
        <v>16</v>
      </c>
      <c r="P19" s="334"/>
      <c r="Q19" s="334"/>
    </row>
    <row r="20" spans="1:17" x14ac:dyDescent="0.35">
      <c r="A20" s="333">
        <f t="shared" si="1"/>
        <v>20</v>
      </c>
      <c r="C20" s="1" t="s">
        <v>9</v>
      </c>
      <c r="D20" s="329"/>
      <c r="E20" s="329"/>
      <c r="F20" s="1" t="s">
        <v>16</v>
      </c>
      <c r="G20" s="10"/>
      <c r="H20" s="10"/>
      <c r="I20" s="3" t="s">
        <v>575</v>
      </c>
      <c r="J20" s="353"/>
      <c r="K20" s="3"/>
      <c r="L20" s="8"/>
      <c r="P20" s="334"/>
      <c r="Q20" s="334"/>
    </row>
    <row r="21" spans="1:17" x14ac:dyDescent="0.35">
      <c r="A21" s="333">
        <f t="shared" si="1"/>
        <v>21</v>
      </c>
      <c r="H21" s="311"/>
      <c r="I21" s="7" t="s">
        <v>517</v>
      </c>
      <c r="J21" s="28"/>
      <c r="K21" s="331" t="s">
        <v>515</v>
      </c>
      <c r="L21" s="8"/>
      <c r="P21" s="334"/>
      <c r="Q21" s="334"/>
    </row>
    <row r="22" spans="1:17" x14ac:dyDescent="0.35">
      <c r="A22" s="333">
        <f t="shared" si="1"/>
        <v>22</v>
      </c>
      <c r="G22" s="10"/>
      <c r="H22" s="10"/>
      <c r="I22" s="3"/>
      <c r="J22" s="3"/>
      <c r="K22" s="3"/>
      <c r="L22" s="8"/>
      <c r="P22" s="334"/>
      <c r="Q22" s="334"/>
    </row>
    <row r="23" spans="1:17" x14ac:dyDescent="0.35">
      <c r="A23" s="333">
        <f t="shared" si="1"/>
        <v>23</v>
      </c>
      <c r="G23" s="10"/>
      <c r="H23" s="10"/>
      <c r="I23" s="3"/>
      <c r="J23" s="3"/>
      <c r="K23" s="3"/>
      <c r="L23" s="8"/>
      <c r="P23" s="334"/>
      <c r="Q23" s="334"/>
    </row>
    <row r="24" spans="1:17" x14ac:dyDescent="0.35">
      <c r="A24" s="333">
        <f t="shared" si="1"/>
        <v>24</v>
      </c>
      <c r="B24" s="348" t="s">
        <v>32</v>
      </c>
      <c r="C24" s="348"/>
      <c r="D24" s="348"/>
      <c r="E24" s="348"/>
      <c r="F24" s="348"/>
      <c r="G24" s="348"/>
      <c r="H24" s="349"/>
      <c r="I24" s="349"/>
      <c r="J24" s="349"/>
      <c r="K24" s="349"/>
      <c r="L24" s="349"/>
      <c r="M24" s="349"/>
      <c r="N24" s="350"/>
      <c r="O24" s="350"/>
      <c r="P24" s="334"/>
      <c r="Q24" s="334"/>
    </row>
    <row r="25" spans="1:17" x14ac:dyDescent="0.35">
      <c r="A25" s="333">
        <f t="shared" si="1"/>
        <v>25</v>
      </c>
      <c r="O25" s="13"/>
      <c r="P25" s="334"/>
      <c r="Q25" s="334"/>
    </row>
    <row r="26" spans="1:17" x14ac:dyDescent="0.35">
      <c r="A26" s="333">
        <f t="shared" si="1"/>
        <v>26</v>
      </c>
      <c r="D26" s="3" t="s">
        <v>33</v>
      </c>
      <c r="E26" s="28"/>
      <c r="F26" s="1" t="s">
        <v>34</v>
      </c>
      <c r="J26" s="354" t="s">
        <v>35</v>
      </c>
      <c r="K26" s="69"/>
      <c r="P26" s="334"/>
      <c r="Q26" s="334"/>
    </row>
    <row r="27" spans="1:17" x14ac:dyDescent="0.35">
      <c r="A27" s="333">
        <f t="shared" si="1"/>
        <v>27</v>
      </c>
      <c r="D27" s="3" t="s">
        <v>36</v>
      </c>
      <c r="E27" s="28"/>
      <c r="F27" s="1" t="s">
        <v>34</v>
      </c>
      <c r="J27" s="67" t="str">
        <f>+IFERROR(E28/J19,"")</f>
        <v/>
      </c>
      <c r="K27" s="1" t="s">
        <v>187</v>
      </c>
      <c r="P27" s="334"/>
      <c r="Q27" s="334"/>
    </row>
    <row r="28" spans="1:17" x14ac:dyDescent="0.35">
      <c r="A28" s="333">
        <f t="shared" si="1"/>
        <v>28</v>
      </c>
      <c r="D28" s="3" t="s">
        <v>40</v>
      </c>
      <c r="E28" s="28"/>
      <c r="F28" s="1" t="s">
        <v>41</v>
      </c>
      <c r="J28" s="68" t="str">
        <f>+IFERROR(E28/(E31),"")</f>
        <v/>
      </c>
      <c r="K28" s="1" t="s">
        <v>516</v>
      </c>
      <c r="P28" s="334"/>
      <c r="Q28" s="334"/>
    </row>
    <row r="29" spans="1:17" x14ac:dyDescent="0.35">
      <c r="A29" s="333">
        <f t="shared" si="1"/>
        <v>29</v>
      </c>
      <c r="J29" s="68" t="str">
        <f>+IFERROR(E32/J19,"")</f>
        <v/>
      </c>
      <c r="K29" s="15" t="s">
        <v>186</v>
      </c>
      <c r="P29" s="334"/>
      <c r="Q29" s="334"/>
    </row>
    <row r="30" spans="1:17" x14ac:dyDescent="0.35">
      <c r="A30" s="333">
        <f t="shared" si="1"/>
        <v>30</v>
      </c>
      <c r="D30" s="3" t="s">
        <v>37</v>
      </c>
      <c r="E30" s="353"/>
      <c r="F30" s="1" t="s">
        <v>38</v>
      </c>
      <c r="J30" s="355" t="str">
        <f>+IFERROR(E28/E32,"")</f>
        <v/>
      </c>
      <c r="K30" s="6" t="s">
        <v>39</v>
      </c>
      <c r="P30" s="334"/>
      <c r="Q30" s="334"/>
    </row>
    <row r="31" spans="1:17" x14ac:dyDescent="0.35">
      <c r="A31" s="333">
        <f t="shared" si="1"/>
        <v>31</v>
      </c>
      <c r="D31" s="7" t="s">
        <v>43</v>
      </c>
      <c r="E31" s="28"/>
      <c r="F31" s="16" t="s">
        <v>518</v>
      </c>
      <c r="J31" s="356" t="str">
        <f>+IFERROR(E28/E33,"")</f>
        <v/>
      </c>
      <c r="K31" s="15" t="s">
        <v>42</v>
      </c>
      <c r="P31" s="334"/>
      <c r="Q31" s="334"/>
    </row>
    <row r="32" spans="1:17" x14ac:dyDescent="0.35">
      <c r="A32" s="333">
        <f t="shared" si="1"/>
        <v>32</v>
      </c>
      <c r="D32" s="3" t="s">
        <v>43</v>
      </c>
      <c r="E32" s="28"/>
      <c r="F32" s="1" t="s">
        <v>41</v>
      </c>
      <c r="M32" s="69"/>
      <c r="P32" s="334"/>
      <c r="Q32" s="334"/>
    </row>
    <row r="33" spans="1:17" ht="17.25" customHeight="1" x14ac:dyDescent="0.35">
      <c r="A33" s="333">
        <f t="shared" si="1"/>
        <v>33</v>
      </c>
      <c r="D33" s="14" t="s">
        <v>44</v>
      </c>
      <c r="E33" s="390"/>
      <c r="M33" s="69"/>
      <c r="P33" s="334"/>
      <c r="Q33" s="334"/>
    </row>
    <row r="34" spans="1:17" x14ac:dyDescent="0.35">
      <c r="A34" s="333">
        <f t="shared" si="1"/>
        <v>34</v>
      </c>
      <c r="P34" s="334"/>
      <c r="Q34" s="334"/>
    </row>
    <row r="35" spans="1:17" x14ac:dyDescent="0.35">
      <c r="A35" s="333">
        <f t="shared" si="1"/>
        <v>35</v>
      </c>
      <c r="B35" s="348" t="s">
        <v>45</v>
      </c>
      <c r="C35" s="348"/>
      <c r="D35" s="348"/>
      <c r="E35" s="348"/>
      <c r="F35" s="348"/>
      <c r="G35" s="348"/>
      <c r="H35" s="349"/>
      <c r="I35" s="349"/>
      <c r="J35" s="349"/>
      <c r="K35" s="349"/>
      <c r="L35" s="349"/>
      <c r="M35" s="349"/>
      <c r="N35" s="350"/>
      <c r="O35" s="350"/>
      <c r="P35" s="334"/>
      <c r="Q35" s="334"/>
    </row>
    <row r="36" spans="1:17" outlineLevel="1" x14ac:dyDescent="0.35">
      <c r="A36" s="333">
        <f t="shared" si="1"/>
        <v>36</v>
      </c>
      <c r="B36" s="8"/>
      <c r="C36" s="8"/>
      <c r="D36" s="17"/>
      <c r="E36" s="8"/>
      <c r="P36" s="334"/>
      <c r="Q36" s="334"/>
    </row>
    <row r="37" spans="1:17" outlineLevel="1" x14ac:dyDescent="0.35">
      <c r="A37" s="333">
        <f t="shared" si="1"/>
        <v>37</v>
      </c>
      <c r="G37" s="358">
        <v>2015</v>
      </c>
      <c r="H37" s="358">
        <f>+G37+1</f>
        <v>2016</v>
      </c>
      <c r="I37" s="358">
        <f>+H37+1</f>
        <v>2017</v>
      </c>
      <c r="P37" s="334"/>
      <c r="Q37" s="334"/>
    </row>
    <row r="38" spans="1:17" outlineLevel="1" x14ac:dyDescent="0.35">
      <c r="A38" s="333">
        <f t="shared" si="1"/>
        <v>38</v>
      </c>
      <c r="G38" s="359" t="s">
        <v>46</v>
      </c>
      <c r="H38" s="360" t="s">
        <v>47</v>
      </c>
      <c r="I38" s="361" t="s">
        <v>48</v>
      </c>
      <c r="P38" s="334"/>
      <c r="Q38" s="334"/>
    </row>
    <row r="39" spans="1:17" outlineLevel="1" x14ac:dyDescent="0.35">
      <c r="A39" s="333">
        <f t="shared" si="1"/>
        <v>39</v>
      </c>
      <c r="G39" s="362"/>
      <c r="H39" s="363" t="s">
        <v>46</v>
      </c>
      <c r="I39" s="364" t="s">
        <v>47</v>
      </c>
      <c r="M39" s="18"/>
      <c r="N39" s="79"/>
      <c r="P39" s="334"/>
      <c r="Q39" s="334"/>
    </row>
    <row r="40" spans="1:17" outlineLevel="1" x14ac:dyDescent="0.35">
      <c r="A40" s="333">
        <f t="shared" si="1"/>
        <v>40</v>
      </c>
      <c r="C40" s="19" t="s">
        <v>49</v>
      </c>
      <c r="D40" s="16"/>
      <c r="P40" s="334"/>
      <c r="Q40" s="334"/>
    </row>
    <row r="41" spans="1:17" outlineLevel="1" x14ac:dyDescent="0.35">
      <c r="A41" s="333">
        <f t="shared" si="1"/>
        <v>41</v>
      </c>
      <c r="C41" s="16"/>
      <c r="D41" s="7" t="s">
        <v>632</v>
      </c>
      <c r="E41" s="391"/>
      <c r="F41" s="1" t="s">
        <v>38</v>
      </c>
      <c r="N41" s="1"/>
      <c r="O41" s="1"/>
      <c r="P41" s="334"/>
      <c r="Q41" s="334"/>
    </row>
    <row r="42" spans="1:17" outlineLevel="1" x14ac:dyDescent="0.35">
      <c r="A42" s="333">
        <f t="shared" si="1"/>
        <v>42</v>
      </c>
      <c r="C42" s="16"/>
      <c r="D42" s="7" t="s">
        <v>633</v>
      </c>
      <c r="E42" s="28"/>
      <c r="F42" s="1" t="s">
        <v>34</v>
      </c>
      <c r="N42" s="1"/>
      <c r="O42" s="1"/>
      <c r="P42" s="334"/>
      <c r="Q42" s="334"/>
    </row>
    <row r="43" spans="1:17" outlineLevel="1" x14ac:dyDescent="0.35">
      <c r="A43" s="333">
        <f t="shared" si="1"/>
        <v>43</v>
      </c>
      <c r="C43" s="20"/>
      <c r="D43" s="20"/>
      <c r="E43" s="21"/>
      <c r="F43" s="21"/>
      <c r="G43" s="21"/>
      <c r="H43" s="21"/>
      <c r="I43" s="21"/>
      <c r="J43" s="21"/>
      <c r="K43" s="21"/>
      <c r="L43" s="21"/>
      <c r="M43" s="21"/>
      <c r="N43" s="21"/>
      <c r="O43" s="1"/>
      <c r="P43" s="334"/>
      <c r="Q43" s="334"/>
    </row>
    <row r="44" spans="1:17" outlineLevel="1" x14ac:dyDescent="0.35">
      <c r="A44" s="333">
        <f t="shared" si="1"/>
        <v>44</v>
      </c>
      <c r="C44" s="19" t="s">
        <v>50</v>
      </c>
      <c r="K44" s="22"/>
      <c r="N44" s="1"/>
      <c r="O44" s="1"/>
      <c r="P44" s="334"/>
      <c r="Q44" s="334"/>
    </row>
    <row r="45" spans="1:17" outlineLevel="1" x14ac:dyDescent="0.35">
      <c r="A45" s="333">
        <f t="shared" si="1"/>
        <v>45</v>
      </c>
      <c r="C45" s="19"/>
      <c r="D45" s="3" t="s">
        <v>634</v>
      </c>
      <c r="E45" s="391"/>
      <c r="F45" s="1" t="s">
        <v>38</v>
      </c>
      <c r="N45" s="1"/>
      <c r="O45" s="1"/>
      <c r="P45" s="334"/>
      <c r="Q45" s="334"/>
    </row>
    <row r="46" spans="1:17" outlineLevel="1" x14ac:dyDescent="0.35">
      <c r="A46" s="333">
        <f t="shared" si="1"/>
        <v>46</v>
      </c>
      <c r="D46" s="3" t="s">
        <v>635</v>
      </c>
      <c r="E46" s="28"/>
      <c r="F46" s="1" t="s">
        <v>34</v>
      </c>
      <c r="N46" s="1"/>
      <c r="O46" s="1"/>
      <c r="P46" s="334"/>
      <c r="Q46" s="334"/>
    </row>
    <row r="47" spans="1:17" outlineLevel="1" x14ac:dyDescent="0.35">
      <c r="A47" s="333">
        <f t="shared" si="1"/>
        <v>47</v>
      </c>
      <c r="C47" s="21"/>
      <c r="D47" s="23"/>
      <c r="E47" s="23"/>
      <c r="F47" s="23"/>
      <c r="G47" s="23"/>
      <c r="H47" s="23"/>
      <c r="I47" s="23"/>
      <c r="J47" s="21"/>
      <c r="K47" s="21"/>
      <c r="L47" s="21"/>
      <c r="M47" s="21"/>
      <c r="N47" s="21"/>
      <c r="O47" s="1"/>
      <c r="P47" s="334"/>
      <c r="Q47" s="334"/>
    </row>
    <row r="48" spans="1:17" outlineLevel="1" x14ac:dyDescent="0.35">
      <c r="A48" s="333">
        <f t="shared" si="1"/>
        <v>48</v>
      </c>
      <c r="C48" s="2" t="s">
        <v>636</v>
      </c>
      <c r="D48" s="3"/>
      <c r="E48" s="3"/>
      <c r="F48" s="3"/>
      <c r="G48" s="3"/>
      <c r="H48" s="3"/>
      <c r="I48" s="3"/>
      <c r="J48" s="3"/>
      <c r="K48" s="3"/>
      <c r="N48" s="1"/>
      <c r="O48" s="1"/>
      <c r="P48" s="334"/>
      <c r="Q48" s="334"/>
    </row>
    <row r="49" spans="1:17" outlineLevel="1" x14ac:dyDescent="0.35">
      <c r="A49" s="333">
        <f t="shared" si="1"/>
        <v>49</v>
      </c>
      <c r="C49" s="2"/>
      <c r="D49" s="7" t="s">
        <v>637</v>
      </c>
      <c r="E49" s="392" t="str">
        <f>IF(E41*E42=0,"",IF(E45*E46=0,"",(E41*(E42/(E42+E46)))+(E45*(E46/(E46+E42)))))</f>
        <v/>
      </c>
      <c r="F49" s="6"/>
      <c r="G49" s="3"/>
      <c r="H49" s="3"/>
      <c r="I49" s="3"/>
      <c r="J49" s="3"/>
      <c r="K49" s="3"/>
      <c r="P49" s="334"/>
      <c r="Q49" s="334"/>
    </row>
    <row r="50" spans="1:17" outlineLevel="1" x14ac:dyDescent="0.35">
      <c r="A50" s="333">
        <f t="shared" si="1"/>
        <v>50</v>
      </c>
      <c r="C50" s="2"/>
      <c r="D50" s="7"/>
      <c r="E50" s="7"/>
      <c r="F50" s="3"/>
      <c r="G50" s="3"/>
      <c r="H50" s="3"/>
      <c r="I50" s="3"/>
      <c r="J50" s="21"/>
      <c r="K50" s="21"/>
      <c r="L50" s="21"/>
      <c r="M50" s="21"/>
      <c r="N50" s="21"/>
      <c r="O50" s="3"/>
      <c r="P50" s="334"/>
      <c r="Q50" s="334"/>
    </row>
    <row r="51" spans="1:17" outlineLevel="1" x14ac:dyDescent="0.35">
      <c r="A51" s="333">
        <f t="shared" si="1"/>
        <v>51</v>
      </c>
      <c r="C51" s="24" t="s">
        <v>512</v>
      </c>
      <c r="D51" s="25"/>
      <c r="E51" s="25"/>
      <c r="F51" s="26"/>
      <c r="G51" s="26"/>
      <c r="H51" s="26"/>
      <c r="I51" s="26"/>
      <c r="J51" s="26"/>
      <c r="K51" s="26"/>
      <c r="P51" s="334"/>
      <c r="Q51" s="334"/>
    </row>
    <row r="52" spans="1:17" outlineLevel="1" x14ac:dyDescent="0.35">
      <c r="A52" s="333">
        <f t="shared" si="1"/>
        <v>52</v>
      </c>
      <c r="C52" s="2"/>
      <c r="D52" s="7" t="s">
        <v>639</v>
      </c>
      <c r="E52" s="391"/>
      <c r="F52" s="1" t="s">
        <v>38</v>
      </c>
      <c r="G52" s="3"/>
      <c r="I52" s="3" t="s">
        <v>638</v>
      </c>
      <c r="J52" s="353"/>
      <c r="K52" s="1" t="s">
        <v>38</v>
      </c>
      <c r="P52" s="334"/>
      <c r="Q52" s="334"/>
    </row>
    <row r="53" spans="1:17" outlineLevel="1" x14ac:dyDescent="0.35">
      <c r="A53" s="333">
        <f t="shared" si="1"/>
        <v>53</v>
      </c>
      <c r="C53" s="16"/>
      <c r="D53" s="7" t="s">
        <v>640</v>
      </c>
      <c r="E53" s="391"/>
      <c r="F53" s="1" t="s">
        <v>38</v>
      </c>
      <c r="G53" s="8" t="str">
        <f>+IF(E53="","",IF(E52&gt;E53,"ERROR! No puede ser el destete mayor a la preñez",""))</f>
        <v/>
      </c>
      <c r="I53" s="14" t="s">
        <v>51</v>
      </c>
      <c r="J53" s="365"/>
      <c r="K53" s="1" t="s">
        <v>52</v>
      </c>
      <c r="P53" s="334"/>
      <c r="Q53" s="334"/>
    </row>
    <row r="54" spans="1:17" outlineLevel="1" x14ac:dyDescent="0.35">
      <c r="A54" s="333">
        <f t="shared" si="1"/>
        <v>54</v>
      </c>
      <c r="C54" s="16"/>
      <c r="D54" s="7" t="s">
        <v>643</v>
      </c>
      <c r="E54" s="367"/>
      <c r="H54" s="3"/>
      <c r="I54" s="3" t="s">
        <v>642</v>
      </c>
      <c r="J54" s="353"/>
      <c r="K54" s="1" t="s">
        <v>38</v>
      </c>
      <c r="P54" s="334"/>
      <c r="Q54" s="334"/>
    </row>
    <row r="55" spans="1:17" outlineLevel="1" x14ac:dyDescent="0.35">
      <c r="A55" s="333">
        <f t="shared" si="1"/>
        <v>55</v>
      </c>
      <c r="C55" s="16"/>
      <c r="D55" s="7" t="s">
        <v>641</v>
      </c>
      <c r="E55" s="367"/>
      <c r="F55" s="1" t="s">
        <v>34</v>
      </c>
      <c r="H55" s="3"/>
      <c r="P55" s="334"/>
      <c r="Q55" s="334"/>
    </row>
    <row r="56" spans="1:17" outlineLevel="1" x14ac:dyDescent="0.35">
      <c r="A56" s="333">
        <f t="shared" si="1"/>
        <v>56</v>
      </c>
      <c r="I56" s="2" t="s">
        <v>645</v>
      </c>
      <c r="J56" s="2" t="s">
        <v>646</v>
      </c>
      <c r="P56" s="334"/>
      <c r="Q56" s="334"/>
    </row>
    <row r="57" spans="1:17" outlineLevel="1" x14ac:dyDescent="0.35">
      <c r="A57" s="333">
        <f t="shared" si="1"/>
        <v>57</v>
      </c>
      <c r="D57" s="3" t="s">
        <v>58</v>
      </c>
      <c r="E57" s="28"/>
      <c r="F57" s="1" t="s">
        <v>59</v>
      </c>
      <c r="H57" s="3" t="s">
        <v>647</v>
      </c>
      <c r="I57" s="389"/>
      <c r="J57" s="366"/>
      <c r="P57" s="334"/>
      <c r="Q57" s="334"/>
    </row>
    <row r="58" spans="1:17" outlineLevel="1" x14ac:dyDescent="0.35">
      <c r="A58" s="333">
        <f t="shared" si="1"/>
        <v>58</v>
      </c>
      <c r="D58" s="3" t="s">
        <v>644</v>
      </c>
      <c r="E58" s="28"/>
      <c r="H58" s="3" t="s">
        <v>648</v>
      </c>
      <c r="I58" s="389"/>
      <c r="J58" s="366"/>
      <c r="P58" s="334"/>
      <c r="Q58" s="334"/>
    </row>
    <row r="59" spans="1:17" outlineLevel="1" x14ac:dyDescent="0.35">
      <c r="A59" s="333">
        <f t="shared" si="1"/>
        <v>59</v>
      </c>
      <c r="F59" s="27"/>
      <c r="G59" s="27"/>
      <c r="P59" s="334"/>
      <c r="Q59" s="334"/>
    </row>
    <row r="60" spans="1:17" outlineLevel="1" x14ac:dyDescent="0.35">
      <c r="A60" s="333">
        <f t="shared" si="1"/>
        <v>60</v>
      </c>
      <c r="C60" s="59" t="s">
        <v>192</v>
      </c>
      <c r="D60" s="27"/>
      <c r="E60" s="18" t="s">
        <v>189</v>
      </c>
      <c r="F60" s="18" t="s">
        <v>190</v>
      </c>
      <c r="G60" s="18" t="s">
        <v>191</v>
      </c>
      <c r="H60" s="18" t="s">
        <v>113</v>
      </c>
      <c r="I60" s="18" t="s">
        <v>193</v>
      </c>
      <c r="P60" s="334"/>
      <c r="Q60" s="334"/>
    </row>
    <row r="61" spans="1:17" outlineLevel="1" x14ac:dyDescent="0.35">
      <c r="A61" s="333">
        <f t="shared" si="1"/>
        <v>61</v>
      </c>
      <c r="D61" s="3" t="s">
        <v>188</v>
      </c>
      <c r="E61" s="28"/>
      <c r="F61" s="28"/>
      <c r="G61" s="28"/>
      <c r="H61" s="28"/>
      <c r="I61" s="28"/>
      <c r="P61" s="334"/>
      <c r="Q61" s="334"/>
    </row>
    <row r="62" spans="1:17" x14ac:dyDescent="0.35">
      <c r="A62" s="333">
        <f t="shared" si="1"/>
        <v>62</v>
      </c>
      <c r="P62" s="334"/>
      <c r="Q62" s="334"/>
    </row>
    <row r="63" spans="1:17" x14ac:dyDescent="0.35">
      <c r="A63" s="333">
        <f t="shared" si="1"/>
        <v>63</v>
      </c>
      <c r="B63" s="348" t="s">
        <v>60</v>
      </c>
      <c r="C63" s="348"/>
      <c r="D63" s="348"/>
      <c r="E63" s="348"/>
      <c r="F63" s="348"/>
      <c r="G63" s="348"/>
      <c r="H63" s="349"/>
      <c r="I63" s="349"/>
      <c r="J63" s="349"/>
      <c r="K63" s="349"/>
      <c r="L63" s="349"/>
      <c r="M63" s="349"/>
      <c r="N63" s="350"/>
      <c r="O63" s="350"/>
      <c r="P63" s="334"/>
      <c r="Q63" s="334"/>
    </row>
    <row r="64" spans="1:17" outlineLevel="2" x14ac:dyDescent="0.35">
      <c r="A64" s="333">
        <f t="shared" si="1"/>
        <v>64</v>
      </c>
      <c r="B64" s="8"/>
      <c r="C64" s="354" t="s">
        <v>513</v>
      </c>
      <c r="D64" s="17"/>
      <c r="E64" s="8"/>
      <c r="L64" s="368"/>
      <c r="M64" s="368"/>
      <c r="N64" s="369"/>
      <c r="O64" s="369"/>
      <c r="P64" s="334"/>
      <c r="Q64" s="334"/>
    </row>
    <row r="65" spans="1:17" outlineLevel="2" x14ac:dyDescent="0.35">
      <c r="A65" s="333">
        <f t="shared" si="1"/>
        <v>65</v>
      </c>
      <c r="C65" s="370" t="s">
        <v>574</v>
      </c>
      <c r="N65" s="1"/>
      <c r="P65" s="334"/>
      <c r="Q65" s="334"/>
    </row>
    <row r="66" spans="1:17" outlineLevel="2" x14ac:dyDescent="0.35">
      <c r="A66" s="333">
        <f t="shared" si="1"/>
        <v>66</v>
      </c>
      <c r="N66" s="1"/>
      <c r="O66" s="1"/>
      <c r="P66" s="334"/>
      <c r="Q66" s="334"/>
    </row>
    <row r="67" spans="1:17" outlineLevel="2" x14ac:dyDescent="0.35">
      <c r="A67" s="333">
        <f t="shared" ref="A67:A130" si="2">+A66+1</f>
        <v>67</v>
      </c>
      <c r="C67" s="60"/>
      <c r="D67" s="60" t="s">
        <v>61</v>
      </c>
      <c r="H67" s="29" t="s">
        <v>567</v>
      </c>
      <c r="I67" s="29"/>
      <c r="N67" s="1"/>
      <c r="O67" s="1"/>
      <c r="P67" s="334"/>
      <c r="Q67" s="334"/>
    </row>
    <row r="68" spans="1:17" outlineLevel="2" x14ac:dyDescent="0.35">
      <c r="A68" s="333">
        <f t="shared" si="2"/>
        <v>68</v>
      </c>
      <c r="D68" s="3" t="s">
        <v>40</v>
      </c>
      <c r="E68" s="28"/>
      <c r="F68" s="1" t="s">
        <v>41</v>
      </c>
      <c r="I68" s="3" t="s">
        <v>40</v>
      </c>
      <c r="J68" s="28"/>
      <c r="K68" s="1" t="s">
        <v>41</v>
      </c>
      <c r="O68" s="1"/>
      <c r="P68" s="334"/>
      <c r="Q68" s="334"/>
    </row>
    <row r="69" spans="1:17" outlineLevel="2" x14ac:dyDescent="0.35">
      <c r="A69" s="333">
        <f t="shared" si="2"/>
        <v>69</v>
      </c>
      <c r="D69" s="3"/>
      <c r="I69" s="3"/>
      <c r="P69" s="334"/>
      <c r="Q69" s="334"/>
    </row>
    <row r="70" spans="1:17" outlineLevel="2" x14ac:dyDescent="0.35">
      <c r="A70" s="333">
        <f t="shared" si="2"/>
        <v>70</v>
      </c>
      <c r="D70" s="7" t="s">
        <v>43</v>
      </c>
      <c r="E70" s="28"/>
      <c r="F70" s="16" t="s">
        <v>518</v>
      </c>
      <c r="I70" s="7" t="s">
        <v>43</v>
      </c>
      <c r="J70" s="28"/>
      <c r="K70" s="16" t="s">
        <v>518</v>
      </c>
      <c r="P70" s="334"/>
      <c r="Q70" s="334"/>
    </row>
    <row r="71" spans="1:17" outlineLevel="2" x14ac:dyDescent="0.35">
      <c r="A71" s="333">
        <f t="shared" si="2"/>
        <v>71</v>
      </c>
      <c r="D71" s="3" t="s">
        <v>43</v>
      </c>
      <c r="E71" s="28"/>
      <c r="F71" s="1" t="s">
        <v>41</v>
      </c>
      <c r="I71" s="3" t="s">
        <v>43</v>
      </c>
      <c r="J71" s="28"/>
      <c r="K71" s="1" t="s">
        <v>41</v>
      </c>
      <c r="P71" s="334"/>
      <c r="Q71" s="334"/>
    </row>
    <row r="72" spans="1:17" outlineLevel="2" x14ac:dyDescent="0.35">
      <c r="A72" s="333">
        <f t="shared" si="2"/>
        <v>72</v>
      </c>
      <c r="D72" s="371" t="s">
        <v>194</v>
      </c>
      <c r="E72" s="357"/>
      <c r="F72" s="1" t="s">
        <v>62</v>
      </c>
      <c r="I72" s="371" t="s">
        <v>194</v>
      </c>
      <c r="J72" s="357"/>
      <c r="K72" s="1" t="s">
        <v>62</v>
      </c>
      <c r="P72" s="334"/>
      <c r="Q72" s="334"/>
    </row>
    <row r="73" spans="1:17" outlineLevel="2" x14ac:dyDescent="0.35">
      <c r="A73" s="333">
        <f t="shared" si="2"/>
        <v>73</v>
      </c>
      <c r="D73" s="372" t="s">
        <v>68</v>
      </c>
      <c r="E73" s="373" t="e">
        <f>+E68/E70/365</f>
        <v>#DIV/0!</v>
      </c>
      <c r="F73" s="1" t="s">
        <v>69</v>
      </c>
      <c r="I73" s="372" t="s">
        <v>68</v>
      </c>
      <c r="J73" s="373" t="e">
        <f>+J68/J70/365</f>
        <v>#DIV/0!</v>
      </c>
      <c r="K73" s="1" t="s">
        <v>69</v>
      </c>
      <c r="P73" s="334"/>
      <c r="Q73" s="334"/>
    </row>
    <row r="74" spans="1:17" outlineLevel="2" x14ac:dyDescent="0.35">
      <c r="A74" s="333">
        <f t="shared" si="2"/>
        <v>74</v>
      </c>
      <c r="D74" s="372" t="s">
        <v>39</v>
      </c>
      <c r="E74" s="373" t="e">
        <f>E68/E71</f>
        <v>#DIV/0!</v>
      </c>
      <c r="I74" s="372" t="s">
        <v>39</v>
      </c>
      <c r="J74" s="373" t="e">
        <f>+J68/J71</f>
        <v>#DIV/0!</v>
      </c>
      <c r="P74" s="334"/>
      <c r="Q74" s="334"/>
    </row>
    <row r="75" spans="1:17" outlineLevel="2" x14ac:dyDescent="0.35">
      <c r="A75" s="333">
        <f t="shared" si="2"/>
        <v>75</v>
      </c>
      <c r="D75" s="14" t="s">
        <v>519</v>
      </c>
      <c r="E75" s="374" t="e">
        <f>+E68/E70</f>
        <v>#DIV/0!</v>
      </c>
      <c r="I75" s="14" t="s">
        <v>519</v>
      </c>
      <c r="J75" s="374" t="e">
        <f>+J68/J70</f>
        <v>#DIV/0!</v>
      </c>
      <c r="P75" s="334"/>
      <c r="Q75" s="334"/>
    </row>
    <row r="76" spans="1:17" outlineLevel="2" x14ac:dyDescent="0.35">
      <c r="A76" s="333">
        <f t="shared" si="2"/>
        <v>76</v>
      </c>
      <c r="P76" s="334"/>
      <c r="Q76" s="334"/>
    </row>
    <row r="77" spans="1:17" outlineLevel="2" x14ac:dyDescent="0.35">
      <c r="A77" s="333">
        <f t="shared" si="2"/>
        <v>77</v>
      </c>
      <c r="C77" s="308" t="s">
        <v>573</v>
      </c>
      <c r="H77" s="308" t="s">
        <v>572</v>
      </c>
      <c r="P77" s="334"/>
      <c r="Q77" s="334"/>
    </row>
    <row r="78" spans="1:17" outlineLevel="2" x14ac:dyDescent="0.35">
      <c r="A78" s="333">
        <f t="shared" si="2"/>
        <v>78</v>
      </c>
      <c r="C78" s="309" t="s">
        <v>565</v>
      </c>
      <c r="H78" s="309" t="s">
        <v>565</v>
      </c>
      <c r="P78" s="334"/>
      <c r="Q78" s="334"/>
    </row>
    <row r="79" spans="1:17" outlineLevel="2" x14ac:dyDescent="0.35">
      <c r="A79" s="333">
        <f t="shared" si="2"/>
        <v>79</v>
      </c>
      <c r="D79" s="1" t="s">
        <v>522</v>
      </c>
      <c r="E79" s="375"/>
      <c r="I79" s="1" t="s">
        <v>522</v>
      </c>
      <c r="J79" s="375"/>
      <c r="P79" s="334"/>
      <c r="Q79" s="334"/>
    </row>
    <row r="80" spans="1:17" outlineLevel="2" x14ac:dyDescent="0.35">
      <c r="A80" s="333">
        <f t="shared" si="2"/>
        <v>80</v>
      </c>
      <c r="I80" s="14" t="s">
        <v>566</v>
      </c>
      <c r="J80" s="28"/>
      <c r="P80" s="334"/>
      <c r="Q80" s="334"/>
    </row>
    <row r="81" spans="1:17" outlineLevel="2" x14ac:dyDescent="0.35">
      <c r="A81" s="333">
        <f t="shared" si="2"/>
        <v>81</v>
      </c>
      <c r="D81" s="1" t="s">
        <v>520</v>
      </c>
      <c r="E81" s="28"/>
      <c r="F81" s="1" t="s">
        <v>59</v>
      </c>
      <c r="I81" s="1" t="s">
        <v>520</v>
      </c>
      <c r="J81" s="28"/>
      <c r="K81" s="1" t="s">
        <v>59</v>
      </c>
      <c r="P81" s="334"/>
      <c r="Q81" s="334"/>
    </row>
    <row r="82" spans="1:17" outlineLevel="2" x14ac:dyDescent="0.35">
      <c r="A82" s="333">
        <f t="shared" si="2"/>
        <v>82</v>
      </c>
      <c r="D82" s="1" t="s">
        <v>521</v>
      </c>
      <c r="E82" s="28"/>
      <c r="F82" s="1" t="s">
        <v>59</v>
      </c>
      <c r="I82" s="1" t="s">
        <v>521</v>
      </c>
      <c r="J82" s="28"/>
      <c r="K82" s="1" t="s">
        <v>59</v>
      </c>
      <c r="P82" s="334"/>
      <c r="Q82" s="334"/>
    </row>
    <row r="83" spans="1:17" outlineLevel="2" x14ac:dyDescent="0.35">
      <c r="A83" s="333">
        <f t="shared" si="2"/>
        <v>83</v>
      </c>
      <c r="D83" s="372" t="s">
        <v>523</v>
      </c>
      <c r="E83" s="376"/>
      <c r="I83" s="372" t="s">
        <v>523</v>
      </c>
      <c r="J83" s="376"/>
      <c r="P83" s="334"/>
      <c r="Q83" s="334"/>
    </row>
    <row r="84" spans="1:17" outlineLevel="2" x14ac:dyDescent="0.35">
      <c r="A84" s="333">
        <f t="shared" si="2"/>
        <v>84</v>
      </c>
      <c r="D84" s="372" t="s">
        <v>66</v>
      </c>
      <c r="E84" s="377"/>
      <c r="F84" s="1" t="s">
        <v>67</v>
      </c>
      <c r="I84" s="372" t="s">
        <v>66</v>
      </c>
      <c r="J84" s="377"/>
      <c r="K84" s="1" t="s">
        <v>67</v>
      </c>
      <c r="P84" s="334"/>
      <c r="Q84" s="334"/>
    </row>
    <row r="85" spans="1:17" outlineLevel="2" x14ac:dyDescent="0.35">
      <c r="A85" s="333">
        <f t="shared" si="2"/>
        <v>85</v>
      </c>
      <c r="D85" s="378"/>
      <c r="E85" s="3"/>
      <c r="F85" s="379"/>
      <c r="G85" s="16"/>
      <c r="H85" s="16"/>
      <c r="I85" s="16"/>
      <c r="J85" s="7"/>
      <c r="K85" s="379"/>
      <c r="P85" s="334"/>
      <c r="Q85" s="334"/>
    </row>
    <row r="86" spans="1:17" x14ac:dyDescent="0.35">
      <c r="A86" s="333">
        <f t="shared" si="2"/>
        <v>86</v>
      </c>
      <c r="B86" s="348" t="s">
        <v>70</v>
      </c>
      <c r="C86" s="348"/>
      <c r="D86" s="348"/>
      <c r="E86" s="348"/>
      <c r="F86" s="348"/>
      <c r="G86" s="348"/>
      <c r="H86" s="349"/>
      <c r="I86" s="349"/>
      <c r="J86" s="349"/>
      <c r="K86" s="349"/>
      <c r="L86" s="349"/>
      <c r="M86" s="349"/>
      <c r="N86" s="350"/>
      <c r="O86" s="350"/>
      <c r="P86" s="334"/>
      <c r="Q86" s="334"/>
    </row>
    <row r="87" spans="1:17" outlineLevel="1" x14ac:dyDescent="0.35">
      <c r="A87" s="333">
        <f t="shared" si="2"/>
        <v>87</v>
      </c>
      <c r="B87" s="8"/>
      <c r="C87" s="354" t="s">
        <v>71</v>
      </c>
      <c r="D87" s="17"/>
      <c r="E87" s="8"/>
      <c r="F87" s="380"/>
      <c r="G87" s="380"/>
      <c r="H87" s="368"/>
      <c r="I87" s="368"/>
      <c r="J87" s="368"/>
      <c r="K87" s="368"/>
      <c r="L87" s="368"/>
      <c r="M87" s="368"/>
      <c r="N87" s="369"/>
      <c r="O87" s="369"/>
      <c r="P87" s="334"/>
      <c r="Q87" s="334"/>
    </row>
    <row r="88" spans="1:17" outlineLevel="1" x14ac:dyDescent="0.35">
      <c r="A88" s="333">
        <f t="shared" si="2"/>
        <v>88</v>
      </c>
      <c r="B88" s="380"/>
      <c r="D88" s="380"/>
      <c r="E88" s="380"/>
      <c r="F88" s="380"/>
      <c r="G88" s="380"/>
      <c r="H88" s="368"/>
      <c r="I88" s="368"/>
      <c r="J88" s="368"/>
      <c r="K88" s="368"/>
      <c r="L88" s="368"/>
      <c r="M88" s="368"/>
      <c r="N88" s="369"/>
      <c r="O88" s="369"/>
      <c r="P88" s="334"/>
      <c r="Q88" s="334"/>
    </row>
    <row r="89" spans="1:17" outlineLevel="1" x14ac:dyDescent="0.35">
      <c r="A89" s="333">
        <f t="shared" si="2"/>
        <v>89</v>
      </c>
      <c r="B89" s="380"/>
      <c r="C89" s="354"/>
      <c r="D89" s="380"/>
      <c r="E89" s="380"/>
      <c r="F89" s="380"/>
      <c r="G89" s="381" t="s">
        <v>72</v>
      </c>
      <c r="H89" s="382"/>
      <c r="I89" s="368"/>
      <c r="J89" s="368"/>
      <c r="K89" s="368"/>
      <c r="L89" s="368"/>
      <c r="M89" s="368"/>
      <c r="N89" s="369"/>
      <c r="O89" s="369"/>
      <c r="P89" s="334"/>
    </row>
    <row r="90" spans="1:17" outlineLevel="1" x14ac:dyDescent="0.35">
      <c r="A90" s="333">
        <f t="shared" si="2"/>
        <v>90</v>
      </c>
      <c r="B90" s="380"/>
      <c r="C90" s="354" t="s">
        <v>661</v>
      </c>
      <c r="D90" s="380"/>
      <c r="E90" s="380"/>
      <c r="F90" s="380"/>
      <c r="G90" s="381" t="s">
        <v>73</v>
      </c>
      <c r="H90" s="383"/>
      <c r="I90" s="368"/>
      <c r="J90" s="368"/>
      <c r="K90" s="368"/>
      <c r="L90" s="368"/>
      <c r="M90" s="368"/>
      <c r="N90" s="369"/>
      <c r="O90" s="369"/>
      <c r="P90" s="334"/>
    </row>
    <row r="91" spans="1:17" outlineLevel="1" x14ac:dyDescent="0.35">
      <c r="A91" s="333">
        <f t="shared" si="2"/>
        <v>91</v>
      </c>
      <c r="P91" s="334"/>
    </row>
    <row r="92" spans="1:17" outlineLevel="1" x14ac:dyDescent="0.35">
      <c r="A92" s="333">
        <f t="shared" si="2"/>
        <v>92</v>
      </c>
      <c r="D92" s="29" t="s">
        <v>74</v>
      </c>
      <c r="G92" s="30"/>
      <c r="H92" s="31"/>
      <c r="I92" s="29" t="s">
        <v>75</v>
      </c>
      <c r="P92" s="334"/>
    </row>
    <row r="93" spans="1:17" outlineLevel="1" x14ac:dyDescent="0.35">
      <c r="A93" s="333">
        <f t="shared" si="2"/>
        <v>93</v>
      </c>
      <c r="D93" s="371"/>
      <c r="G93" s="30"/>
      <c r="H93" s="31"/>
      <c r="P93" s="334"/>
    </row>
    <row r="94" spans="1:17" outlineLevel="1" x14ac:dyDescent="0.35">
      <c r="A94" s="333">
        <f t="shared" si="2"/>
        <v>94</v>
      </c>
      <c r="D94" s="372" t="s">
        <v>63</v>
      </c>
      <c r="E94" s="28"/>
      <c r="F94" s="1" t="s">
        <v>64</v>
      </c>
      <c r="G94" s="30"/>
      <c r="I94" s="3" t="s">
        <v>40</v>
      </c>
      <c r="J94" s="28"/>
      <c r="K94" s="1" t="s">
        <v>41</v>
      </c>
      <c r="M94" s="10"/>
      <c r="P94" s="334"/>
    </row>
    <row r="95" spans="1:17" ht="18" customHeight="1" outlineLevel="1" x14ac:dyDescent="0.35">
      <c r="A95" s="333">
        <f t="shared" si="2"/>
        <v>95</v>
      </c>
      <c r="D95" s="3"/>
      <c r="E95" s="3"/>
      <c r="G95" s="30"/>
      <c r="I95" s="3"/>
      <c r="M95" s="10"/>
      <c r="P95" s="334"/>
    </row>
    <row r="96" spans="1:17" outlineLevel="1" x14ac:dyDescent="0.35">
      <c r="A96" s="333">
        <f t="shared" si="2"/>
        <v>96</v>
      </c>
      <c r="D96" s="14" t="s">
        <v>519</v>
      </c>
      <c r="E96" s="28"/>
      <c r="F96" s="1" t="s">
        <v>655</v>
      </c>
      <c r="G96" s="30"/>
      <c r="I96" s="14" t="s">
        <v>519</v>
      </c>
      <c r="J96" s="28"/>
      <c r="K96" s="16" t="s">
        <v>518</v>
      </c>
      <c r="M96" s="10"/>
      <c r="P96" s="334"/>
    </row>
    <row r="97" spans="1:17 16382:16382" outlineLevel="1" x14ac:dyDescent="0.35">
      <c r="A97" s="333">
        <f t="shared" si="2"/>
        <v>97</v>
      </c>
      <c r="D97" s="372" t="s">
        <v>660</v>
      </c>
      <c r="E97" s="397"/>
      <c r="F97" s="1" t="s">
        <v>69</v>
      </c>
      <c r="G97" s="30"/>
      <c r="I97" s="372" t="s">
        <v>660</v>
      </c>
      <c r="J97" s="397"/>
      <c r="K97" s="1" t="s">
        <v>41</v>
      </c>
      <c r="P97" s="334"/>
    </row>
    <row r="98" spans="1:17 16382:16382" outlineLevel="1" x14ac:dyDescent="0.35">
      <c r="A98" s="333">
        <f t="shared" si="2"/>
        <v>98</v>
      </c>
      <c r="D98" s="371" t="s">
        <v>194</v>
      </c>
      <c r="E98" s="357"/>
      <c r="F98" s="1" t="s">
        <v>62</v>
      </c>
      <c r="G98" s="30"/>
      <c r="I98" s="371" t="s">
        <v>194</v>
      </c>
      <c r="J98" s="357"/>
      <c r="K98" s="1" t="s">
        <v>62</v>
      </c>
      <c r="P98" s="334"/>
    </row>
    <row r="99" spans="1:17 16382:16382" outlineLevel="1" x14ac:dyDescent="0.35">
      <c r="A99" s="333">
        <f t="shared" si="2"/>
        <v>99</v>
      </c>
      <c r="D99" s="372" t="s">
        <v>76</v>
      </c>
      <c r="E99" s="357"/>
      <c r="F99" s="1" t="s">
        <v>77</v>
      </c>
      <c r="G99" s="30"/>
      <c r="I99" s="372" t="s">
        <v>76</v>
      </c>
      <c r="J99" s="357"/>
      <c r="K99" s="1" t="s">
        <v>77</v>
      </c>
      <c r="P99" s="334"/>
    </row>
    <row r="100" spans="1:17 16382:16382" outlineLevel="1" x14ac:dyDescent="0.35">
      <c r="A100" s="333">
        <f t="shared" si="2"/>
        <v>100</v>
      </c>
      <c r="D100" s="372"/>
      <c r="E100" s="372"/>
      <c r="F100" s="372"/>
      <c r="G100" s="30"/>
      <c r="P100" s="334"/>
    </row>
    <row r="101" spans="1:17 16382:16382" outlineLevel="1" x14ac:dyDescent="0.35">
      <c r="A101" s="333">
        <f t="shared" si="2"/>
        <v>101</v>
      </c>
      <c r="C101" s="10"/>
      <c r="D101" s="14" t="s">
        <v>551</v>
      </c>
      <c r="E101" s="393" t="e">
        <f>+E99/E94</f>
        <v>#DIV/0!</v>
      </c>
      <c r="F101" s="372"/>
      <c r="G101" s="30"/>
      <c r="I101" s="14" t="s">
        <v>551</v>
      </c>
      <c r="J101" s="393" t="e">
        <f>+J99/J94</f>
        <v>#DIV/0!</v>
      </c>
      <c r="P101" s="334"/>
    </row>
    <row r="102" spans="1:17 16382:16382" outlineLevel="1" x14ac:dyDescent="0.35">
      <c r="A102" s="333">
        <f t="shared" si="2"/>
        <v>102</v>
      </c>
      <c r="D102" s="372"/>
      <c r="G102" s="30"/>
      <c r="P102" s="334"/>
    </row>
    <row r="103" spans="1:17 16382:16382" outlineLevel="1" x14ac:dyDescent="0.35">
      <c r="A103" s="333">
        <f t="shared" si="2"/>
        <v>103</v>
      </c>
      <c r="G103" s="30"/>
      <c r="P103" s="334"/>
    </row>
    <row r="104" spans="1:17 16382:16382" outlineLevel="1" x14ac:dyDescent="0.35">
      <c r="A104" s="333">
        <f t="shared" si="2"/>
        <v>104</v>
      </c>
      <c r="D104" s="308" t="s">
        <v>563</v>
      </c>
      <c r="G104" s="30"/>
      <c r="P104" s="334"/>
    </row>
    <row r="105" spans="1:17 16382:16382" outlineLevel="1" x14ac:dyDescent="0.35">
      <c r="A105" s="333">
        <f t="shared" si="2"/>
        <v>105</v>
      </c>
      <c r="C105" s="309" t="s">
        <v>564</v>
      </c>
      <c r="D105" s="308"/>
      <c r="G105" s="30"/>
      <c r="I105" s="308" t="s">
        <v>568</v>
      </c>
      <c r="P105" s="334"/>
    </row>
    <row r="106" spans="1:17 16382:16382" outlineLevel="2" x14ac:dyDescent="0.35">
      <c r="A106" s="333">
        <f t="shared" si="2"/>
        <v>106</v>
      </c>
      <c r="B106" s="309"/>
      <c r="G106" s="30"/>
      <c r="H106" s="1" t="s">
        <v>564</v>
      </c>
      <c r="P106" s="334"/>
      <c r="Q106" s="334"/>
    </row>
    <row r="107" spans="1:17 16382:16382" outlineLevel="1" x14ac:dyDescent="0.35">
      <c r="A107" s="333">
        <f t="shared" si="2"/>
        <v>107</v>
      </c>
      <c r="D107" s="1" t="s">
        <v>522</v>
      </c>
      <c r="E107" s="375"/>
      <c r="G107" s="30"/>
      <c r="I107" s="1" t="s">
        <v>522</v>
      </c>
      <c r="J107" s="375"/>
      <c r="P107" s="334"/>
      <c r="XFB107" s="1"/>
    </row>
    <row r="108" spans="1:17 16382:16382" outlineLevel="1" x14ac:dyDescent="0.35">
      <c r="A108" s="333">
        <f t="shared" si="2"/>
        <v>108</v>
      </c>
      <c r="G108" s="30"/>
      <c r="I108" s="14" t="s">
        <v>566</v>
      </c>
      <c r="J108" s="28"/>
      <c r="P108" s="334"/>
      <c r="XFB108" s="1"/>
    </row>
    <row r="109" spans="1:17 16382:16382" outlineLevel="1" x14ac:dyDescent="0.35">
      <c r="A109" s="333">
        <f t="shared" si="2"/>
        <v>109</v>
      </c>
      <c r="D109" s="1" t="s">
        <v>520</v>
      </c>
      <c r="E109" s="28"/>
      <c r="F109" s="1" t="s">
        <v>59</v>
      </c>
      <c r="G109" s="30"/>
      <c r="I109" s="1" t="s">
        <v>520</v>
      </c>
      <c r="J109" s="28"/>
      <c r="K109" s="1" t="s">
        <v>59</v>
      </c>
      <c r="P109" s="334"/>
    </row>
    <row r="110" spans="1:17 16382:16382" outlineLevel="1" x14ac:dyDescent="0.35">
      <c r="A110" s="333">
        <f t="shared" si="2"/>
        <v>110</v>
      </c>
      <c r="D110" s="1" t="s">
        <v>521</v>
      </c>
      <c r="E110" s="28"/>
      <c r="F110" s="1" t="s">
        <v>59</v>
      </c>
      <c r="G110" s="30"/>
      <c r="I110" s="1" t="s">
        <v>521</v>
      </c>
      <c r="J110" s="28"/>
      <c r="K110" s="1" t="s">
        <v>59</v>
      </c>
      <c r="P110" s="334"/>
    </row>
    <row r="111" spans="1:17 16382:16382" ht="15" customHeight="1" outlineLevel="1" x14ac:dyDescent="0.35">
      <c r="A111" s="333">
        <f t="shared" si="2"/>
        <v>111</v>
      </c>
      <c r="G111" s="30"/>
      <c r="P111" s="334"/>
    </row>
    <row r="112" spans="1:17 16382:16382" ht="15" customHeight="1" outlineLevel="1" x14ac:dyDescent="0.35">
      <c r="A112" s="333">
        <f t="shared" si="2"/>
        <v>112</v>
      </c>
      <c r="C112" s="10"/>
      <c r="D112" s="384" t="s">
        <v>540</v>
      </c>
      <c r="E112" s="1" t="s">
        <v>67</v>
      </c>
      <c r="G112" s="30"/>
      <c r="I112" s="384" t="s">
        <v>540</v>
      </c>
      <c r="J112" s="1" t="s">
        <v>67</v>
      </c>
      <c r="P112" s="334"/>
    </row>
    <row r="113" spans="1:16" outlineLevel="1" x14ac:dyDescent="0.35">
      <c r="A113" s="333">
        <f t="shared" si="2"/>
        <v>113</v>
      </c>
      <c r="D113" s="372" t="s">
        <v>78</v>
      </c>
      <c r="E113" s="385"/>
      <c r="G113" s="30"/>
      <c r="I113" s="372" t="s">
        <v>78</v>
      </c>
      <c r="J113" s="385"/>
      <c r="P113" s="334"/>
    </row>
    <row r="114" spans="1:16" outlineLevel="1" x14ac:dyDescent="0.35">
      <c r="A114" s="333">
        <f t="shared" si="2"/>
        <v>114</v>
      </c>
      <c r="D114" s="14" t="s">
        <v>79</v>
      </c>
      <c r="E114" s="385"/>
      <c r="G114" s="30"/>
      <c r="I114" s="14" t="s">
        <v>79</v>
      </c>
      <c r="J114" s="385"/>
      <c r="P114" s="334"/>
    </row>
    <row r="115" spans="1:16" outlineLevel="1" x14ac:dyDescent="0.35">
      <c r="A115" s="333">
        <f t="shared" si="2"/>
        <v>115</v>
      </c>
      <c r="D115" s="14" t="s">
        <v>80</v>
      </c>
      <c r="E115" s="385"/>
      <c r="G115" s="30"/>
      <c r="I115" s="14" t="s">
        <v>80</v>
      </c>
      <c r="J115" s="385"/>
      <c r="P115" s="334"/>
    </row>
    <row r="116" spans="1:16" outlineLevel="1" x14ac:dyDescent="0.35">
      <c r="A116" s="333">
        <f t="shared" si="2"/>
        <v>116</v>
      </c>
      <c r="D116" s="14" t="s">
        <v>81</v>
      </c>
      <c r="E116" s="385"/>
      <c r="G116" s="30"/>
      <c r="I116" s="14" t="s">
        <v>81</v>
      </c>
      <c r="J116" s="385"/>
      <c r="P116" s="334"/>
    </row>
    <row r="117" spans="1:16" outlineLevel="1" x14ac:dyDescent="0.35">
      <c r="A117" s="333">
        <f t="shared" si="2"/>
        <v>117</v>
      </c>
      <c r="D117" s="14" t="s">
        <v>82</v>
      </c>
      <c r="E117" s="385"/>
      <c r="G117" s="30"/>
      <c r="I117" s="14" t="s">
        <v>82</v>
      </c>
      <c r="J117" s="385"/>
      <c r="P117" s="334"/>
    </row>
    <row r="118" spans="1:16" outlineLevel="1" x14ac:dyDescent="0.35">
      <c r="A118" s="333">
        <f t="shared" si="2"/>
        <v>118</v>
      </c>
      <c r="D118" s="14" t="s">
        <v>83</v>
      </c>
      <c r="E118" s="385"/>
      <c r="G118" s="30"/>
      <c r="H118" s="31"/>
      <c r="I118" s="14" t="s">
        <v>83</v>
      </c>
      <c r="J118" s="385"/>
      <c r="P118" s="334"/>
    </row>
    <row r="119" spans="1:16" outlineLevel="1" x14ac:dyDescent="0.35">
      <c r="A119" s="333">
        <f t="shared" si="2"/>
        <v>119</v>
      </c>
      <c r="G119" s="33"/>
      <c r="P119" s="334"/>
    </row>
    <row r="120" spans="1:16" outlineLevel="1" x14ac:dyDescent="0.35">
      <c r="A120" s="333">
        <f t="shared" si="2"/>
        <v>120</v>
      </c>
      <c r="C120" s="2"/>
      <c r="D120" s="386" t="s">
        <v>84</v>
      </c>
      <c r="E120" s="387" t="str">
        <f>IFERROR(E94/(E94+E68),"")</f>
        <v/>
      </c>
      <c r="G120" s="33"/>
      <c r="I120" s="386" t="s">
        <v>85</v>
      </c>
      <c r="J120" s="387" t="str">
        <f>IFERROR(J94/(J94+J68),"")</f>
        <v/>
      </c>
      <c r="M120" s="16"/>
      <c r="N120" s="1"/>
      <c r="P120" s="334"/>
    </row>
    <row r="121" spans="1:16" outlineLevel="1" x14ac:dyDescent="0.35">
      <c r="A121" s="333">
        <f t="shared" si="2"/>
        <v>121</v>
      </c>
      <c r="D121" s="386" t="s">
        <v>86</v>
      </c>
      <c r="E121" s="388" t="str">
        <f>IF(E120="","",1-E120)</f>
        <v/>
      </c>
      <c r="G121" s="33"/>
      <c r="I121" s="386" t="s">
        <v>87</v>
      </c>
      <c r="J121" s="388" t="str">
        <f>IF(J120="","",1-J120)</f>
        <v/>
      </c>
      <c r="M121" s="16"/>
      <c r="N121" s="1"/>
      <c r="P121" s="334"/>
    </row>
    <row r="122" spans="1:16" outlineLevel="1" x14ac:dyDescent="0.35">
      <c r="A122" s="333">
        <f t="shared" si="2"/>
        <v>122</v>
      </c>
      <c r="G122" s="33"/>
      <c r="M122" s="16"/>
      <c r="N122" s="1"/>
      <c r="P122" s="334"/>
    </row>
    <row r="123" spans="1:16" outlineLevel="1" x14ac:dyDescent="0.35">
      <c r="A123" s="333">
        <f t="shared" si="2"/>
        <v>123</v>
      </c>
      <c r="E123" s="378"/>
      <c r="F123" s="16"/>
      <c r="G123" s="16"/>
      <c r="J123" s="378"/>
      <c r="K123" s="16"/>
      <c r="L123" s="378"/>
      <c r="M123" s="16"/>
      <c r="N123" s="1"/>
      <c r="P123" s="334"/>
    </row>
    <row r="124" spans="1:16" x14ac:dyDescent="0.35">
      <c r="A124" s="333">
        <f t="shared" si="2"/>
        <v>124</v>
      </c>
      <c r="C124" s="403" t="s">
        <v>552</v>
      </c>
      <c r="D124" s="403"/>
      <c r="E124" s="403"/>
      <c r="F124" s="403"/>
      <c r="G124" s="403"/>
      <c r="H124" s="403"/>
      <c r="I124" s="403"/>
      <c r="J124" s="403"/>
      <c r="K124" s="403"/>
      <c r="L124" s="403"/>
      <c r="M124" s="403"/>
      <c r="N124" s="403"/>
      <c r="P124" s="334"/>
    </row>
    <row r="125" spans="1:16" x14ac:dyDescent="0.35">
      <c r="A125" s="333">
        <f t="shared" si="2"/>
        <v>125</v>
      </c>
      <c r="C125" s="401"/>
      <c r="D125" s="401"/>
      <c r="E125" s="401"/>
      <c r="F125" s="401"/>
      <c r="G125" s="401"/>
      <c r="H125" s="401"/>
      <c r="I125" s="401"/>
      <c r="J125" s="401"/>
      <c r="K125" s="401"/>
      <c r="L125" s="401"/>
      <c r="M125" s="401"/>
      <c r="N125" s="401"/>
      <c r="P125" s="334"/>
    </row>
    <row r="126" spans="1:16" x14ac:dyDescent="0.35">
      <c r="A126" s="333">
        <f t="shared" si="2"/>
        <v>126</v>
      </c>
      <c r="C126" s="402"/>
      <c r="D126" s="402"/>
      <c r="E126" s="402"/>
      <c r="F126" s="402"/>
      <c r="G126" s="402"/>
      <c r="H126" s="402"/>
      <c r="I126" s="402"/>
      <c r="J126" s="402"/>
      <c r="K126" s="402"/>
      <c r="L126" s="402"/>
      <c r="M126" s="402"/>
      <c r="N126" s="402"/>
      <c r="P126" s="334"/>
    </row>
    <row r="127" spans="1:16" x14ac:dyDescent="0.35">
      <c r="A127" s="333">
        <f t="shared" si="2"/>
        <v>127</v>
      </c>
      <c r="C127" s="402"/>
      <c r="D127" s="402"/>
      <c r="E127" s="402"/>
      <c r="F127" s="402"/>
      <c r="G127" s="402"/>
      <c r="H127" s="402"/>
      <c r="I127" s="402"/>
      <c r="J127" s="402"/>
      <c r="K127" s="402"/>
      <c r="L127" s="402"/>
      <c r="M127" s="402"/>
      <c r="N127" s="402"/>
      <c r="P127" s="334"/>
    </row>
    <row r="128" spans="1:16" x14ac:dyDescent="0.35">
      <c r="A128" s="333">
        <f t="shared" si="2"/>
        <v>128</v>
      </c>
      <c r="C128" s="402"/>
      <c r="D128" s="402"/>
      <c r="E128" s="402"/>
      <c r="F128" s="402"/>
      <c r="G128" s="402"/>
      <c r="H128" s="402"/>
      <c r="I128" s="402"/>
      <c r="J128" s="402"/>
      <c r="K128" s="402"/>
      <c r="L128" s="402"/>
      <c r="M128" s="402"/>
      <c r="N128" s="402"/>
      <c r="P128" s="334"/>
    </row>
    <row r="129" spans="1:16" x14ac:dyDescent="0.35">
      <c r="A129" s="333">
        <f t="shared" si="2"/>
        <v>129</v>
      </c>
      <c r="C129" s="402"/>
      <c r="D129" s="402"/>
      <c r="E129" s="402"/>
      <c r="F129" s="402"/>
      <c r="G129" s="402"/>
      <c r="H129" s="402"/>
      <c r="I129" s="402"/>
      <c r="J129" s="402"/>
      <c r="K129" s="402"/>
      <c r="L129" s="402"/>
      <c r="M129" s="402"/>
      <c r="N129" s="402"/>
      <c r="P129" s="334"/>
    </row>
    <row r="130" spans="1:16" x14ac:dyDescent="0.35">
      <c r="A130" s="333">
        <f t="shared" si="2"/>
        <v>130</v>
      </c>
      <c r="C130" s="402"/>
      <c r="D130" s="402"/>
      <c r="E130" s="402"/>
      <c r="F130" s="402"/>
      <c r="G130" s="402"/>
      <c r="H130" s="402"/>
      <c r="I130" s="402"/>
      <c r="J130" s="402"/>
      <c r="K130" s="402"/>
      <c r="L130" s="402"/>
      <c r="M130" s="402"/>
      <c r="N130" s="402"/>
      <c r="P130" s="334"/>
    </row>
    <row r="131" spans="1:16" x14ac:dyDescent="0.35">
      <c r="A131" s="333">
        <f t="shared" ref="A131:O135" si="3">+A130+1</f>
        <v>131</v>
      </c>
      <c r="C131" s="402"/>
      <c r="D131" s="402"/>
      <c r="E131" s="402"/>
      <c r="F131" s="402"/>
      <c r="G131" s="402"/>
      <c r="H131" s="402"/>
      <c r="I131" s="402"/>
      <c r="J131" s="402"/>
      <c r="K131" s="402"/>
      <c r="L131" s="402"/>
      <c r="M131" s="402"/>
      <c r="N131" s="402"/>
      <c r="P131" s="334"/>
    </row>
    <row r="132" spans="1:16" x14ac:dyDescent="0.35">
      <c r="A132" s="333">
        <f t="shared" si="3"/>
        <v>132</v>
      </c>
      <c r="C132" s="402"/>
      <c r="D132" s="402"/>
      <c r="E132" s="402"/>
      <c r="F132" s="402"/>
      <c r="G132" s="402"/>
      <c r="H132" s="402"/>
      <c r="I132" s="402"/>
      <c r="J132" s="402"/>
      <c r="K132" s="402"/>
      <c r="L132" s="402"/>
      <c r="M132" s="402"/>
      <c r="N132" s="402"/>
      <c r="P132" s="334"/>
    </row>
    <row r="133" spans="1:16" x14ac:dyDescent="0.35">
      <c r="A133" s="333">
        <f t="shared" si="3"/>
        <v>133</v>
      </c>
      <c r="P133" s="334"/>
    </row>
    <row r="134" spans="1:16" ht="14.5" x14ac:dyDescent="0.35">
      <c r="A134" s="333">
        <f t="shared" si="3"/>
        <v>134</v>
      </c>
      <c r="B134" s="333">
        <f t="shared" si="3"/>
        <v>1</v>
      </c>
      <c r="C134" s="333">
        <f t="shared" si="3"/>
        <v>1</v>
      </c>
      <c r="D134" s="333">
        <f t="shared" si="3"/>
        <v>1</v>
      </c>
      <c r="E134" s="333">
        <f t="shared" si="3"/>
        <v>1</v>
      </c>
      <c r="F134" s="333">
        <f t="shared" si="3"/>
        <v>1</v>
      </c>
      <c r="G134" s="333">
        <f t="shared" si="3"/>
        <v>1</v>
      </c>
      <c r="H134" s="333">
        <f t="shared" si="3"/>
        <v>1</v>
      </c>
      <c r="I134" s="333">
        <f t="shared" si="3"/>
        <v>1</v>
      </c>
      <c r="J134" s="333">
        <f t="shared" si="3"/>
        <v>1</v>
      </c>
      <c r="K134" s="333">
        <f t="shared" si="3"/>
        <v>1</v>
      </c>
      <c r="L134" s="333">
        <f t="shared" si="3"/>
        <v>1</v>
      </c>
      <c r="M134" s="333">
        <f t="shared" si="3"/>
        <v>1</v>
      </c>
      <c r="N134" s="333">
        <f t="shared" si="3"/>
        <v>1</v>
      </c>
      <c r="O134" s="333">
        <f t="shared" si="3"/>
        <v>1</v>
      </c>
      <c r="P134" s="334"/>
    </row>
    <row r="135" spans="1:16" ht="14.5" x14ac:dyDescent="0.35">
      <c r="A135" s="333">
        <f t="shared" si="3"/>
        <v>135</v>
      </c>
      <c r="B135" s="333">
        <f t="shared" si="3"/>
        <v>2</v>
      </c>
      <c r="C135" s="333">
        <f t="shared" si="3"/>
        <v>2</v>
      </c>
      <c r="D135" s="333">
        <f t="shared" si="3"/>
        <v>2</v>
      </c>
      <c r="E135" s="333">
        <f t="shared" si="3"/>
        <v>2</v>
      </c>
      <c r="F135" s="333">
        <f t="shared" si="3"/>
        <v>2</v>
      </c>
      <c r="G135" s="333">
        <f t="shared" si="3"/>
        <v>2</v>
      </c>
      <c r="H135" s="333">
        <f t="shared" si="3"/>
        <v>2</v>
      </c>
      <c r="I135" s="333">
        <f t="shared" si="3"/>
        <v>2</v>
      </c>
      <c r="J135" s="333">
        <f t="shared" si="3"/>
        <v>2</v>
      </c>
      <c r="K135" s="333">
        <f t="shared" si="3"/>
        <v>2</v>
      </c>
      <c r="L135" s="333">
        <f t="shared" si="3"/>
        <v>2</v>
      </c>
      <c r="M135" s="333">
        <f t="shared" si="3"/>
        <v>2</v>
      </c>
      <c r="N135" s="333">
        <f t="shared" si="3"/>
        <v>2</v>
      </c>
      <c r="O135" s="333">
        <f t="shared" si="3"/>
        <v>2</v>
      </c>
      <c r="P135" s="334"/>
    </row>
  </sheetData>
  <sheetProtection sheet="1" objects="1" scenarios="1" selectLockedCells="1"/>
  <protectedRanges>
    <protectedRange sqref="G37" name="Rango1"/>
  </protectedRanges>
  <dataConsolidate/>
  <mergeCells count="6">
    <mergeCell ref="C125:N132"/>
    <mergeCell ref="I5:J5"/>
    <mergeCell ref="M11:O12"/>
    <mergeCell ref="M13:O14"/>
    <mergeCell ref="M15:O16"/>
    <mergeCell ref="C124:N124"/>
  </mergeCells>
  <conditionalFormatting sqref="J12">
    <cfRule type="expression" dxfId="14" priority="3">
      <formula>$J$11&gt;1</formula>
    </cfRule>
  </conditionalFormatting>
  <conditionalFormatting sqref="J14">
    <cfRule type="expression" dxfId="13" priority="2">
      <formula>$J$13&gt;1</formula>
    </cfRule>
  </conditionalFormatting>
  <conditionalFormatting sqref="J16">
    <cfRule type="expression" dxfId="12" priority="1">
      <formula>$J$15&gt;1</formula>
    </cfRule>
  </conditionalFormatting>
  <dataValidations count="62">
    <dataValidation allowBlank="1" showInputMessage="1" showErrorMessage="1" prompt="Aumento diario de peso vivo promedio" sqref="J97 E97"/>
    <dataValidation allowBlank="1" showErrorMessage="1" prompt="Kilos de materia seca ofrecidos en total" sqref="E96 J96"/>
    <dataValidation allowBlank="1" showInputMessage="1" showErrorMessage="1" prompt="Stock medio en terminación: promedio de los valores de stock mensual en kilos totales para el ejercicio." sqref="J71"/>
    <dataValidation allowBlank="1" showInputMessage="1" showErrorMessage="1" prompt="Stock medio en terminación: promedio de los valores de stock mensual en cabezas para el ejercicio." sqref="J70"/>
    <dataValidation allowBlank="1" showInputMessage="1" showErrorMessage="1" prompt="Stock medio en recría: promedio de los valores de stock mensual en kilos totales para el ejercicio." sqref="E71"/>
    <dataValidation allowBlank="1" showInputMessage="1" showErrorMessage="1" prompt="Promedio de los valores de stock mensual en cabezas para el ejercicio (incluye corrales). Los terneros al pie de la madre se deben contabilizar para el cálculo de carga." sqref="E31"/>
    <dataValidation allowBlank="1" showInputMessage="1" showErrorMessage="1" prompt="Promedio de los valores de stock mensual en kg para el ejercicio (incluye corrales). Los terneros al pie de la madre se deben contabilizar como stock para el cálculo de carga." sqref="E32"/>
    <dataValidation allowBlank="1" showInputMessage="1" showErrorMessage="1" prompt="Kilos de materia seca ofrecidos en los corrales de terminación." sqref="J99"/>
    <dataValidation allowBlank="1" showInputMessage="1" showErrorMessage="1" prompt="Kilos de materia seca ofrecidos en los corrales de recría" sqref="E99"/>
    <dataValidation type="list" allowBlank="1" showInputMessage="1" showErrorMessage="1" prompt="Edad promedio al destete '17. Si hubo diferentes destetes, poner una edad promedio. Si merece aclaraciones, anotarlas en observaciones. " sqref="E58">
      <formula1>Destete</formula1>
    </dataValidation>
    <dataValidation type="list" allowBlank="1" showInputMessage="1" showErrorMessage="1" prompt="% de la dieta en MS suplementada" sqref="E84 J84">
      <formula1>supl</formula1>
    </dataValidation>
    <dataValidation allowBlank="1" showInputMessage="1" showErrorMessage="1" prompt="Tiempo promedio de la terminación. Si hay distintos lotes/rodeos, poner la duración ponderada." sqref="J72 J98"/>
    <dataValidation allowBlank="1" showInputMessage="1" showErrorMessage="1" prompt="Tiempo promedio de la recría. Si hay distintos lotes/rodeos, poner la duración ponderada." sqref="E72 E98"/>
    <dataValidation allowBlank="1" showInputMessage="1" showErrorMessage="1" prompt="Si la empresa tiene más de un establecimiento, llenar una planilla por cada campo." sqref="D6"/>
    <dataValidation allowBlank="1" showInputMessage="1" showErrorMessage="1" prompt="Superficie en en ganadería con aptitud agrícola (clase I a IV) propias y alquiladas." sqref="J20"/>
    <dataValidation type="list" allowBlank="1" showInputMessage="1" showErrorMessage="1" sqref="J80 J108">
      <formula1>sino</formula1>
    </dataValidation>
    <dataValidation type="list" allowBlank="1" showInputMessage="1" showErrorMessage="1" sqref="E115:E118 E113 J115:J118 J113">
      <formula1>Dieta</formula1>
    </dataValidation>
    <dataValidation type="list" allowBlank="1" showInputMessage="1" showErrorMessage="1" sqref="E114 J114">
      <formula1>CC</formula1>
    </dataValidation>
    <dataValidation allowBlank="1" showInputMessage="1" showErrorMessage="1" prompt="Stock medio en recría: promedio de los valores de stock mensual en cabezas para el ejercicio." sqref="E70"/>
    <dataValidation type="list" allowBlank="1" showInputMessage="1" showErrorMessage="1" sqref="E82 E110">
      <formula1>PSR</formula1>
    </dataValidation>
    <dataValidation type="list" allowBlank="1" showInputMessage="1" showErrorMessage="1" sqref="E81 E109">
      <formula1>PER</formula1>
    </dataValidation>
    <dataValidation type="list" allowBlank="1" showInputMessage="1" showErrorMessage="1" sqref="J82 J110">
      <formula1>PST</formula1>
    </dataValidation>
    <dataValidation type="list" allowBlank="1" showInputMessage="1" showErrorMessage="1" sqref="J81 J109">
      <formula1>PET</formula1>
    </dataValidation>
    <dataValidation type="list" allowBlank="1" showInputMessage="1" showErrorMessage="1" sqref="E79 J79 J107 E107">
      <formula1>MH</formula1>
    </dataValidation>
    <dataValidation allowBlank="1" showInputMessage="1" showErrorMessage="1" prompt="Ingrese un valor estimativo promedio de venta de la hectárea donde está realizando la ganadería." sqref="J21"/>
    <dataValidation allowBlank="1" showInputMessage="1" showErrorMessage="1" prompt="Capacidad máxima instantanea" sqref="H89"/>
    <dataValidation type="list" allowBlank="1" showInputMessage="1" showErrorMessage="1" prompt="Servicio '15_x000a_" sqref="I57">
      <formula1>fechaservicio</formula1>
    </dataValidation>
    <dataValidation allowBlank="1" showInputMessage="1" showErrorMessage="1" prompt="Peso medio de destete '17" sqref="E57"/>
    <dataValidation allowBlank="1" showInputMessage="1" showErrorMessage="1" prompt="% de vacas inseminadas en la campaña vacas Inseminadas/Vacas en Servicio)" sqref="J52"/>
    <dataValidation allowBlank="1" showInputMessage="1" showErrorMessage="1" prompt="% de vaquillonas inseminadas en la campaña (Vaquillona Inseminadas/Vaquillonas en Servicio)" sqref="J54"/>
    <dataValidation type="list" allowBlank="1" showInputMessage="1" showErrorMessage="1" sqref="J53">
      <formula1>edadservicio</formula1>
    </dataValidation>
    <dataValidation type="list" allowBlank="1" showInputMessage="1" showErrorMessage="1" prompt="Región donde se encuentra el establecimiento, independientemente del CREA al que pertenezca el establecimiento." sqref="F6">
      <formula1>Crea</formula1>
    </dataValidation>
    <dataValidation type="list" allowBlank="1" showErrorMessage="1" sqref="E61:I61">
      <formula1>cruz</formula1>
    </dataValidation>
    <dataValidation allowBlank="1" showInputMessage="1" showErrorMessage="1" prompt="Vacas preñadas 17´sobre vacas entoradas servicio 16´" sqref="E41"/>
    <dataValidation allowBlank="1" showInputMessage="1" showErrorMessage="1" prompt="Este indicador no debe ser tenido en cuenta en producciones a corral" sqref="J27 J29"/>
    <dataValidation allowBlank="1" showInputMessage="1" showErrorMessage="1" prompt="Incluye vacas y vaquillonas" sqref="E54:E55"/>
    <dataValidation allowBlank="1" showInputMessage="1" showErrorMessage="1" prompt="Ponderar en función de la cantidad de tiempo que se le dedica a la ganadería. Se tiene en cuenta el personal de maquinaria que le presta un servicio a la ganadería." sqref="E33 H90"/>
    <dataValidation allowBlank="1" showInputMessage="1" showErrorMessage="1" prompt="Stock bovino al 1 de julio 2016 (todo lo que está en el establecimiento)" sqref="E26"/>
    <dataValidation allowBlank="1" showInputMessage="1" showErrorMessage="1" prompt="Superficie de monte productivos de la unidad de producción" sqref="E16"/>
    <dataValidation allowBlank="1" showInputMessage="1" showErrorMessage="1" prompt="Superfice sembrada con verdeos de invierno tal cual. En la celda contigua se calculará las has asignadas a dicho recurso según las Normas CREA." sqref="J11"/>
    <dataValidation allowBlank="1" showInputMessage="1" showErrorMessage="1" prompt="Superficie de praderas perennes ya implantadas" sqref="E17"/>
    <dataValidation allowBlank="1" showInputMessage="1" showErrorMessage="1" prompt="Superficie de campo natural de la unidad de producción" sqref="E15"/>
    <dataValidation allowBlank="1" showInputMessage="1" showErrorMessage="1" prompt="Nro de cabezas muertas/cabezas ingresadas" sqref="E30"/>
    <dataValidation allowBlank="1" showInputMessage="1" showErrorMessage="1" prompt="Cantidad de Vaquillonas de 1 en servicio en 2016" sqref="E46"/>
    <dataValidation allowBlank="1" showInputMessage="1" showErrorMessage="1" prompt="Producción de carne (kg totales) = SALIDAS (kg vendidos,  traslados, consumo del eto.) - ENTRADAS (kg por compra o traslados de otras procedencias) + DIF. INVENTARIO (en Kg)" sqref="E28 J68 E68 E94 J94"/>
    <dataValidation allowBlank="1" showInputMessage="1" showErrorMessage="1" prompt="Stock bovino al 30 de junio 2017 (todo lo que está en el establecimiento)" sqref="E27"/>
    <dataValidation allowBlank="1" showInputMessage="1" showErrorMessage="1" prompt="Praderas implantadas en la campaña en análisis." sqref="E18"/>
    <dataValidation type="list" allowBlank="1" showInputMessage="1" showErrorMessage="1" sqref="G6">
      <formula1>MP</formula1>
    </dataValidation>
    <dataValidation allowBlank="1" showInputMessage="1" showErrorMessage="1" prompt="Superficie de suelo de la unidad de producción en agricultura, propias y alquiladas." sqref="E12"/>
    <dataValidation allowBlank="1" showInputMessage="1" showErrorMessage="1" prompt="Superficie del establecimiento en producción." sqref="E11"/>
    <dataValidation allowBlank="1" showInputMessage="1" showErrorMessage="1" prompt="Superfice sembrada (tal cual) con verdeos de verano para consumo fresco o diferido. En la celda contigua se calculará las has asignadas a dicho recurso según las Normas CREA." sqref="J13"/>
    <dataValidation allowBlank="1" showInputMessage="1" showErrorMessage="1" prompt="Superfice de rastrojos pastoreados. En la celda contigua se calculará las has asignadas a dicho recurso según las Normas CREA." sqref="J15"/>
    <dataValidation allowBlank="1" showErrorMessage="1" sqref="J19"/>
    <dataValidation allowBlank="1" showErrorMessage="1" prompt="Superficie de monte productivos del establecimiento" sqref="J16"/>
    <dataValidation allowBlank="1" showInputMessage="1" showErrorMessage="1" prompt="Terneros destetados 17´sobre vientres entorados en servicio´15" sqref="E52"/>
    <dataValidation allowBlank="1" showInputMessage="1" showErrorMessage="1" prompt="Vacas y vaquillonas preñadas sobre vientres entoradas en servicio 15´" sqref="E53"/>
    <dataValidation allowBlank="1" showInputMessage="1" showErrorMessage="1" prompt="Vaquillonas de 1° servicio preñadas 17´/ vaquillonas de 1° s. entoradas en 16´" sqref="E45"/>
    <dataValidation type="list" allowBlank="1" showInputMessage="1" showErrorMessage="1" sqref="J83 E83">
      <formula1>RRFF</formula1>
    </dataValidation>
    <dataValidation allowBlank="1" showInputMessage="1" showErrorMessage="1" prompt="Tiempo desde la primer labor del verdeo hasta cambio de uso del lote (no sólo tiempo que fue pastoreado)." sqref="J12"/>
    <dataValidation allowBlank="1" showInputMessage="1" showErrorMessage="1" prompt="Tiempo desde la primer labor del verdeo/diferido hasta cambio de uso del lote (no sólo tiempo que fue pastoreado)." sqref="J14"/>
    <dataValidation type="list" allowBlank="1" showInputMessage="1" showErrorMessage="1" prompt="Servicio '15" sqref="I58">
      <formula1>fechaservicio</formula1>
    </dataValidation>
    <dataValidation type="list" allowBlank="1" showInputMessage="1" showErrorMessage="1" prompt="Servicio '15" sqref="J57:J58">
      <formula1>duracion</formula1>
    </dataValidation>
  </dataValidations>
  <hyperlinks>
    <hyperlink ref="G95" location="'1 (prop.sup)'!F115" display="Ir a cálculo desbaste"/>
    <hyperlink ref="G95:G96" location="'1'!D118" display="Ir a cálculo desbaste"/>
    <hyperlink ref="L95:L96" location="'1'!D118" display="Ir a cálculo desbaste"/>
    <hyperlink ref="L95" location="'1 (prop.sup)'!F115" display="Ir a cálculo desbaste"/>
  </hyperlinks>
  <pageMargins left="0.25" right="0.25" top="0.75" bottom="0.75" header="0.3" footer="0.3"/>
  <pageSetup paperSize="9" scale="48" fitToHeight="0" orientation="portrait" verticalDpi="599" r:id="rId1"/>
  <rowBreaks count="1" manualBreakCount="1">
    <brk id="60" min="1" max="12" man="1"/>
  </row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B135"/>
  <sheetViews>
    <sheetView showGridLines="0" zoomScale="90" zoomScaleNormal="90" workbookViewId="0">
      <pane xSplit="1" ySplit="1" topLeftCell="B2" activePane="bottomRight" state="frozen"/>
      <selection activeCell="G25" sqref="G25"/>
      <selection pane="topRight" activeCell="G25" sqref="G25"/>
      <selection pane="bottomLeft" activeCell="G25" sqref="G25"/>
      <selection pane="bottomRight" activeCell="C6" sqref="C6"/>
    </sheetView>
  </sheetViews>
  <sheetFormatPr baseColWidth="10" defaultColWidth="0" defaultRowHeight="15.5" customHeight="1" zeroHeight="1" outlineLevelRow="2" x14ac:dyDescent="0.35"/>
  <cols>
    <col min="1" max="1" width="5" style="330" customWidth="1"/>
    <col min="2" max="2" width="11.81640625" style="1" customWidth="1"/>
    <col min="3" max="3" width="16" style="1" customWidth="1"/>
    <col min="4" max="4" width="18.54296875" style="1" customWidth="1"/>
    <col min="5" max="6" width="14.54296875" style="1" customWidth="1"/>
    <col min="7" max="7" width="12.1796875" style="1" customWidth="1"/>
    <col min="8" max="8" width="16.26953125" style="1" customWidth="1"/>
    <col min="9" max="10" width="14.54296875" style="1" customWidth="1"/>
    <col min="11" max="12" width="13.453125" style="1" customWidth="1"/>
    <col min="13" max="13" width="14.54296875" style="1" customWidth="1"/>
    <col min="14" max="15" width="11.453125" style="69" customWidth="1"/>
    <col min="16" max="16" width="5.54296875" style="69" customWidth="1"/>
    <col min="17" max="17" width="11.453125" style="69" hidden="1"/>
    <col min="18" max="16382" width="0" style="69" hidden="1"/>
    <col min="16383" max="16384" width="11.453125" style="69" hidden="1"/>
  </cols>
  <sheetData>
    <row r="1" spans="1:17" s="333" customFormat="1" ht="14.5" x14ac:dyDescent="0.35">
      <c r="A1" s="333">
        <v>1</v>
      </c>
      <c r="B1" s="333">
        <f t="shared" ref="B1:P1" si="0">+A1+1</f>
        <v>2</v>
      </c>
      <c r="C1" s="333">
        <f t="shared" si="0"/>
        <v>3</v>
      </c>
      <c r="D1" s="333">
        <f t="shared" si="0"/>
        <v>4</v>
      </c>
      <c r="E1" s="333">
        <f t="shared" si="0"/>
        <v>5</v>
      </c>
      <c r="F1" s="333">
        <f t="shared" si="0"/>
        <v>6</v>
      </c>
      <c r="G1" s="333">
        <f t="shared" si="0"/>
        <v>7</v>
      </c>
      <c r="H1" s="333">
        <f t="shared" si="0"/>
        <v>8</v>
      </c>
      <c r="I1" s="333">
        <f t="shared" si="0"/>
        <v>9</v>
      </c>
      <c r="J1" s="333">
        <f t="shared" si="0"/>
        <v>10</v>
      </c>
      <c r="K1" s="333">
        <f t="shared" si="0"/>
        <v>11</v>
      </c>
      <c r="L1" s="333">
        <f t="shared" si="0"/>
        <v>12</v>
      </c>
      <c r="M1" s="333">
        <f t="shared" si="0"/>
        <v>13</v>
      </c>
      <c r="N1" s="333">
        <f t="shared" si="0"/>
        <v>14</v>
      </c>
      <c r="O1" s="333">
        <f t="shared" si="0"/>
        <v>15</v>
      </c>
      <c r="P1" s="333">
        <f t="shared" si="0"/>
        <v>16</v>
      </c>
    </row>
    <row r="2" spans="1:17" x14ac:dyDescent="0.35">
      <c r="A2" s="333">
        <f>+A1+1</f>
        <v>2</v>
      </c>
      <c r="P2" s="334"/>
      <c r="Q2" s="334"/>
    </row>
    <row r="3" spans="1:17" x14ac:dyDescent="0.35">
      <c r="A3" s="333">
        <f t="shared" ref="A3:A66" si="1">+A2+1</f>
        <v>3</v>
      </c>
      <c r="B3" s="335" t="s">
        <v>0</v>
      </c>
      <c r="C3" s="336"/>
      <c r="D3" s="58"/>
      <c r="E3" s="302"/>
      <c r="F3" s="337" t="s">
        <v>1</v>
      </c>
      <c r="G3" s="58"/>
      <c r="H3" s="303"/>
      <c r="I3" s="337" t="s">
        <v>2</v>
      </c>
      <c r="J3" s="58"/>
      <c r="K3" s="58"/>
      <c r="L3" s="336"/>
      <c r="M3" s="336"/>
      <c r="N3" s="338"/>
      <c r="O3" s="339"/>
      <c r="P3" s="334"/>
      <c r="Q3" s="334"/>
    </row>
    <row r="4" spans="1:17" x14ac:dyDescent="0.35">
      <c r="A4" s="333">
        <f t="shared" si="1"/>
        <v>4</v>
      </c>
      <c r="B4" s="340"/>
      <c r="C4" s="340"/>
      <c r="E4" s="336"/>
      <c r="F4" s="336"/>
      <c r="G4" s="336"/>
      <c r="H4" s="336"/>
      <c r="I4" s="336"/>
      <c r="J4" s="336"/>
      <c r="K4" s="336"/>
      <c r="L4" s="336"/>
      <c r="M4" s="336"/>
      <c r="N4" s="338"/>
      <c r="O4" s="338"/>
      <c r="P4" s="334"/>
      <c r="Q4" s="334"/>
    </row>
    <row r="5" spans="1:17" ht="29" x14ac:dyDescent="0.35">
      <c r="A5" s="333">
        <f t="shared" si="1"/>
        <v>5</v>
      </c>
      <c r="B5" s="341" t="s">
        <v>3</v>
      </c>
      <c r="C5" s="342" t="s">
        <v>4</v>
      </c>
      <c r="D5" s="341" t="s">
        <v>5</v>
      </c>
      <c r="E5" s="342" t="s">
        <v>6</v>
      </c>
      <c r="F5" s="342" t="s">
        <v>7</v>
      </c>
      <c r="G5" s="343" t="s">
        <v>8</v>
      </c>
      <c r="H5" s="344" t="s">
        <v>9</v>
      </c>
      <c r="I5" s="404" t="s">
        <v>10</v>
      </c>
      <c r="J5" s="405"/>
      <c r="N5" s="345"/>
      <c r="P5" s="334"/>
      <c r="Q5" s="334"/>
    </row>
    <row r="6" spans="1:17" x14ac:dyDescent="0.35">
      <c r="A6" s="333">
        <f t="shared" si="1"/>
        <v>6</v>
      </c>
      <c r="B6" s="310" t="s">
        <v>649</v>
      </c>
      <c r="C6" s="346"/>
      <c r="D6" s="346"/>
      <c r="E6" s="347"/>
      <c r="F6" s="346"/>
      <c r="G6" s="347"/>
      <c r="H6" s="347"/>
      <c r="I6" s="347"/>
      <c r="J6" s="347"/>
      <c r="N6" s="338"/>
      <c r="O6" s="338"/>
      <c r="P6" s="334"/>
      <c r="Q6" s="334"/>
    </row>
    <row r="7" spans="1:17" x14ac:dyDescent="0.35">
      <c r="A7" s="333">
        <f t="shared" si="1"/>
        <v>7</v>
      </c>
      <c r="P7" s="334"/>
      <c r="Q7" s="334"/>
    </row>
    <row r="8" spans="1:17" x14ac:dyDescent="0.35">
      <c r="A8" s="333">
        <f t="shared" si="1"/>
        <v>8</v>
      </c>
      <c r="B8" s="348" t="s">
        <v>13</v>
      </c>
      <c r="C8" s="348"/>
      <c r="D8" s="348"/>
      <c r="E8" s="348"/>
      <c r="F8" s="348"/>
      <c r="G8" s="348"/>
      <c r="H8" s="349"/>
      <c r="I8" s="349"/>
      <c r="J8" s="349"/>
      <c r="K8" s="349"/>
      <c r="L8" s="349"/>
      <c r="M8" s="349"/>
      <c r="N8" s="350"/>
      <c r="O8" s="350"/>
      <c r="P8" s="334"/>
      <c r="Q8" s="334"/>
    </row>
    <row r="9" spans="1:17" x14ac:dyDescent="0.35">
      <c r="A9" s="333">
        <f t="shared" si="1"/>
        <v>9</v>
      </c>
      <c r="P9" s="334"/>
      <c r="Q9" s="334"/>
    </row>
    <row r="10" spans="1:17" x14ac:dyDescent="0.35">
      <c r="A10" s="333">
        <f t="shared" si="1"/>
        <v>10</v>
      </c>
      <c r="C10" s="2"/>
      <c r="D10" s="2" t="s">
        <v>14</v>
      </c>
      <c r="G10" s="2"/>
      <c r="I10" s="56" t="s">
        <v>17</v>
      </c>
      <c r="J10" s="69"/>
      <c r="K10" s="69"/>
      <c r="L10" s="2" t="s">
        <v>18</v>
      </c>
      <c r="M10" s="4"/>
      <c r="P10" s="334"/>
      <c r="Q10" s="334"/>
    </row>
    <row r="11" spans="1:17" ht="18" customHeight="1" x14ac:dyDescent="0.35">
      <c r="A11" s="333">
        <f t="shared" si="1"/>
        <v>11</v>
      </c>
      <c r="D11" s="3" t="s">
        <v>15</v>
      </c>
      <c r="E11" s="28"/>
      <c r="F11" s="1" t="s">
        <v>16</v>
      </c>
      <c r="I11" s="3" t="s">
        <v>19</v>
      </c>
      <c r="J11" s="28"/>
      <c r="K11" s="1" t="s">
        <v>16</v>
      </c>
      <c r="L11" s="5" t="str">
        <f>IF(J11*J12/12=0,"",J11*J12/12)</f>
        <v/>
      </c>
      <c r="M11" s="406" t="s">
        <v>656</v>
      </c>
      <c r="N11" s="406"/>
      <c r="O11" s="406"/>
      <c r="P11" s="334"/>
      <c r="Q11" s="334"/>
    </row>
    <row r="12" spans="1:17" x14ac:dyDescent="0.35">
      <c r="A12" s="333">
        <f t="shared" si="1"/>
        <v>12</v>
      </c>
      <c r="D12" s="3" t="s">
        <v>514</v>
      </c>
      <c r="E12" s="28"/>
      <c r="F12" s="1" t="s">
        <v>16</v>
      </c>
      <c r="I12" s="3" t="str">
        <f>+IF(J11&gt;1,"Tiempo ocupado por verdeo de invierno","")</f>
        <v/>
      </c>
      <c r="J12" s="351"/>
      <c r="K12" s="6" t="str">
        <f>+IF($J$11&gt;1,"meses","")</f>
        <v/>
      </c>
      <c r="L12" s="69"/>
      <c r="M12" s="406"/>
      <c r="N12" s="406"/>
      <c r="O12" s="406"/>
      <c r="P12" s="334"/>
      <c r="Q12" s="334"/>
    </row>
    <row r="13" spans="1:17" ht="18" customHeight="1" x14ac:dyDescent="0.35">
      <c r="A13" s="333">
        <f t="shared" si="1"/>
        <v>13</v>
      </c>
      <c r="I13" s="3" t="s">
        <v>22</v>
      </c>
      <c r="J13" s="28"/>
      <c r="K13" s="1" t="s">
        <v>16</v>
      </c>
      <c r="L13" s="5" t="str">
        <f>IF(J13*J14/12=0,"",J13*J14/12)</f>
        <v/>
      </c>
      <c r="M13" s="406" t="s">
        <v>657</v>
      </c>
      <c r="N13" s="406"/>
      <c r="O13" s="406"/>
      <c r="P13" s="334"/>
      <c r="Q13" s="334"/>
    </row>
    <row r="14" spans="1:17" x14ac:dyDescent="0.35">
      <c r="A14" s="333">
        <f t="shared" si="1"/>
        <v>14</v>
      </c>
      <c r="C14" s="2"/>
      <c r="D14" s="2" t="s">
        <v>21</v>
      </c>
      <c r="I14" s="3" t="str">
        <f>+IF(J13&gt;1,"Tiempo ocupado por verdeo de verano y diferido","")</f>
        <v/>
      </c>
      <c r="J14" s="351"/>
      <c r="K14" s="6" t="str">
        <f>+IF($J$13&gt;1,"meses","")</f>
        <v/>
      </c>
      <c r="L14" s="69"/>
      <c r="M14" s="406"/>
      <c r="N14" s="406"/>
      <c r="O14" s="406"/>
      <c r="P14" s="334"/>
      <c r="Q14" s="334"/>
    </row>
    <row r="15" spans="1:17" ht="18" customHeight="1" x14ac:dyDescent="0.35">
      <c r="A15" s="333">
        <f t="shared" si="1"/>
        <v>15</v>
      </c>
      <c r="D15" s="3" t="s">
        <v>24</v>
      </c>
      <c r="E15" s="28"/>
      <c r="F15" s="1" t="s">
        <v>16</v>
      </c>
      <c r="I15" s="3" t="s">
        <v>26</v>
      </c>
      <c r="J15" s="28"/>
      <c r="K15" s="1" t="s">
        <v>16</v>
      </c>
      <c r="L15" s="5" t="str">
        <f>IF(J15*J16/12=0,"",J15*J16/12)</f>
        <v/>
      </c>
      <c r="M15" s="406" t="s">
        <v>658</v>
      </c>
      <c r="N15" s="406"/>
      <c r="O15" s="406"/>
      <c r="P15" s="334"/>
      <c r="Q15" s="334"/>
    </row>
    <row r="16" spans="1:17" x14ac:dyDescent="0.35">
      <c r="A16" s="333">
        <f t="shared" si="1"/>
        <v>16</v>
      </c>
      <c r="B16" s="8"/>
      <c r="D16" s="7" t="s">
        <v>25</v>
      </c>
      <c r="E16" s="28"/>
      <c r="F16" s="1" t="s">
        <v>16</v>
      </c>
      <c r="I16" s="3" t="str">
        <f>+IF(J15&gt;1,"Tiempo de ocupación de rastrojos y otros  ","")</f>
        <v/>
      </c>
      <c r="J16" s="351"/>
      <c r="K16" s="6" t="str">
        <f>+IF($J$15&gt;1,"meses","")</f>
        <v/>
      </c>
      <c r="L16" s="69"/>
      <c r="M16" s="406"/>
      <c r="N16" s="406"/>
      <c r="O16" s="406"/>
      <c r="P16" s="334"/>
      <c r="Q16" s="334"/>
    </row>
    <row r="17" spans="1:17" x14ac:dyDescent="0.35">
      <c r="A17" s="333">
        <f t="shared" si="1"/>
        <v>17</v>
      </c>
      <c r="D17" s="3" t="s">
        <v>28</v>
      </c>
      <c r="E17" s="28"/>
      <c r="F17" s="1" t="s">
        <v>16</v>
      </c>
      <c r="M17" s="396"/>
      <c r="N17" s="352"/>
      <c r="O17" s="352"/>
      <c r="P17" s="334"/>
      <c r="Q17" s="334"/>
    </row>
    <row r="18" spans="1:17" x14ac:dyDescent="0.35">
      <c r="A18" s="333">
        <f t="shared" si="1"/>
        <v>18</v>
      </c>
      <c r="D18" s="3" t="s">
        <v>29</v>
      </c>
      <c r="E18" s="28"/>
      <c r="F18" s="1" t="s">
        <v>16</v>
      </c>
      <c r="G18" s="10"/>
      <c r="H18" s="11"/>
      <c r="I18" s="57" t="s">
        <v>30</v>
      </c>
      <c r="J18" s="10"/>
      <c r="K18" s="10"/>
      <c r="P18" s="334"/>
      <c r="Q18" s="334"/>
    </row>
    <row r="19" spans="1:17" x14ac:dyDescent="0.35">
      <c r="A19" s="333">
        <f t="shared" si="1"/>
        <v>19</v>
      </c>
      <c r="C19" s="1" t="s">
        <v>9</v>
      </c>
      <c r="D19" s="329"/>
      <c r="E19" s="329"/>
      <c r="F19" s="1" t="s">
        <v>16</v>
      </c>
      <c r="G19" s="10"/>
      <c r="H19" s="10"/>
      <c r="I19" s="7" t="s">
        <v>31</v>
      </c>
      <c r="J19" s="12">
        <f>+SUM(E15:E20,L11,L13,L15)</f>
        <v>0</v>
      </c>
      <c r="K19" s="10" t="s">
        <v>16</v>
      </c>
      <c r="P19" s="334"/>
      <c r="Q19" s="334"/>
    </row>
    <row r="20" spans="1:17" x14ac:dyDescent="0.35">
      <c r="A20" s="333">
        <f t="shared" si="1"/>
        <v>20</v>
      </c>
      <c r="C20" s="1" t="s">
        <v>9</v>
      </c>
      <c r="D20" s="329"/>
      <c r="E20" s="329"/>
      <c r="F20" s="1" t="s">
        <v>16</v>
      </c>
      <c r="G20" s="10"/>
      <c r="H20" s="10"/>
      <c r="I20" s="3" t="s">
        <v>575</v>
      </c>
      <c r="J20" s="353"/>
      <c r="K20" s="3"/>
      <c r="L20" s="8"/>
      <c r="P20" s="334"/>
      <c r="Q20" s="334"/>
    </row>
    <row r="21" spans="1:17" x14ac:dyDescent="0.35">
      <c r="A21" s="333">
        <f t="shared" si="1"/>
        <v>21</v>
      </c>
      <c r="H21" s="311"/>
      <c r="I21" s="7" t="s">
        <v>517</v>
      </c>
      <c r="J21" s="28"/>
      <c r="K21" s="331" t="s">
        <v>515</v>
      </c>
      <c r="L21" s="8"/>
      <c r="P21" s="334"/>
      <c r="Q21" s="334"/>
    </row>
    <row r="22" spans="1:17" x14ac:dyDescent="0.35">
      <c r="A22" s="333">
        <f t="shared" si="1"/>
        <v>22</v>
      </c>
      <c r="G22" s="10"/>
      <c r="H22" s="10"/>
      <c r="I22" s="3"/>
      <c r="J22" s="3"/>
      <c r="K22" s="3"/>
      <c r="L22" s="8"/>
      <c r="P22" s="334"/>
      <c r="Q22" s="334"/>
    </row>
    <row r="23" spans="1:17" x14ac:dyDescent="0.35">
      <c r="A23" s="333">
        <f t="shared" si="1"/>
        <v>23</v>
      </c>
      <c r="G23" s="10"/>
      <c r="H23" s="10"/>
      <c r="I23" s="3"/>
      <c r="J23" s="3"/>
      <c r="K23" s="3"/>
      <c r="L23" s="8"/>
      <c r="P23" s="334"/>
      <c r="Q23" s="334"/>
    </row>
    <row r="24" spans="1:17" x14ac:dyDescent="0.35">
      <c r="A24" s="333">
        <f t="shared" si="1"/>
        <v>24</v>
      </c>
      <c r="B24" s="348" t="s">
        <v>32</v>
      </c>
      <c r="C24" s="348"/>
      <c r="D24" s="348"/>
      <c r="E24" s="348"/>
      <c r="F24" s="348"/>
      <c r="G24" s="348"/>
      <c r="H24" s="349"/>
      <c r="I24" s="349"/>
      <c r="J24" s="349"/>
      <c r="K24" s="349"/>
      <c r="L24" s="349"/>
      <c r="M24" s="349"/>
      <c r="N24" s="350"/>
      <c r="O24" s="350"/>
      <c r="P24" s="334"/>
      <c r="Q24" s="334"/>
    </row>
    <row r="25" spans="1:17" x14ac:dyDescent="0.35">
      <c r="A25" s="333">
        <f t="shared" si="1"/>
        <v>25</v>
      </c>
      <c r="O25" s="13"/>
      <c r="P25" s="334"/>
      <c r="Q25" s="334"/>
    </row>
    <row r="26" spans="1:17" x14ac:dyDescent="0.35">
      <c r="A26" s="333">
        <f t="shared" si="1"/>
        <v>26</v>
      </c>
      <c r="D26" s="3" t="s">
        <v>33</v>
      </c>
      <c r="E26" s="28"/>
      <c r="F26" s="1" t="s">
        <v>34</v>
      </c>
      <c r="J26" s="354" t="s">
        <v>35</v>
      </c>
      <c r="K26" s="69"/>
      <c r="P26" s="334"/>
      <c r="Q26" s="334"/>
    </row>
    <row r="27" spans="1:17" x14ac:dyDescent="0.35">
      <c r="A27" s="333">
        <f t="shared" si="1"/>
        <v>27</v>
      </c>
      <c r="D27" s="3" t="s">
        <v>36</v>
      </c>
      <c r="E27" s="28"/>
      <c r="F27" s="1" t="s">
        <v>34</v>
      </c>
      <c r="J27" s="67" t="str">
        <f>+IFERROR(E28/J19,"")</f>
        <v/>
      </c>
      <c r="K27" s="1" t="s">
        <v>187</v>
      </c>
      <c r="P27" s="334"/>
      <c r="Q27" s="334"/>
    </row>
    <row r="28" spans="1:17" x14ac:dyDescent="0.35">
      <c r="A28" s="333">
        <f t="shared" si="1"/>
        <v>28</v>
      </c>
      <c r="D28" s="3" t="s">
        <v>40</v>
      </c>
      <c r="E28" s="28"/>
      <c r="F28" s="1" t="s">
        <v>41</v>
      </c>
      <c r="J28" s="68" t="str">
        <f>+IFERROR(E28/(E31),"")</f>
        <v/>
      </c>
      <c r="K28" s="1" t="s">
        <v>516</v>
      </c>
      <c r="P28" s="334"/>
      <c r="Q28" s="334"/>
    </row>
    <row r="29" spans="1:17" x14ac:dyDescent="0.35">
      <c r="A29" s="333">
        <f t="shared" si="1"/>
        <v>29</v>
      </c>
      <c r="J29" s="68" t="str">
        <f>+IFERROR(E32/J19,"")</f>
        <v/>
      </c>
      <c r="K29" s="15" t="s">
        <v>186</v>
      </c>
      <c r="P29" s="334"/>
      <c r="Q29" s="334"/>
    </row>
    <row r="30" spans="1:17" x14ac:dyDescent="0.35">
      <c r="A30" s="333">
        <f t="shared" si="1"/>
        <v>30</v>
      </c>
      <c r="D30" s="3" t="s">
        <v>37</v>
      </c>
      <c r="E30" s="353"/>
      <c r="F30" s="1" t="s">
        <v>38</v>
      </c>
      <c r="J30" s="355" t="str">
        <f>+IFERROR(E28/E32,"")</f>
        <v/>
      </c>
      <c r="K30" s="6" t="s">
        <v>39</v>
      </c>
      <c r="P30" s="334"/>
      <c r="Q30" s="334"/>
    </row>
    <row r="31" spans="1:17" x14ac:dyDescent="0.35">
      <c r="A31" s="333">
        <f t="shared" si="1"/>
        <v>31</v>
      </c>
      <c r="D31" s="7" t="s">
        <v>43</v>
      </c>
      <c r="E31" s="28"/>
      <c r="F31" s="16" t="s">
        <v>518</v>
      </c>
      <c r="J31" s="356" t="str">
        <f>+IFERROR(E28/E33,"")</f>
        <v/>
      </c>
      <c r="K31" s="15" t="s">
        <v>42</v>
      </c>
      <c r="P31" s="334"/>
      <c r="Q31" s="334"/>
    </row>
    <row r="32" spans="1:17" x14ac:dyDescent="0.35">
      <c r="A32" s="333">
        <f t="shared" si="1"/>
        <v>32</v>
      </c>
      <c r="D32" s="3" t="s">
        <v>43</v>
      </c>
      <c r="E32" s="28"/>
      <c r="F32" s="1" t="s">
        <v>41</v>
      </c>
      <c r="M32" s="69"/>
      <c r="P32" s="334"/>
      <c r="Q32" s="334"/>
    </row>
    <row r="33" spans="1:17" ht="17.25" customHeight="1" x14ac:dyDescent="0.35">
      <c r="A33" s="333">
        <f t="shared" si="1"/>
        <v>33</v>
      </c>
      <c r="D33" s="14" t="s">
        <v>44</v>
      </c>
      <c r="E33" s="390"/>
      <c r="M33" s="69"/>
      <c r="P33" s="334"/>
      <c r="Q33" s="334"/>
    </row>
    <row r="34" spans="1:17" x14ac:dyDescent="0.35">
      <c r="A34" s="333">
        <f t="shared" si="1"/>
        <v>34</v>
      </c>
      <c r="P34" s="334"/>
      <c r="Q34" s="334"/>
    </row>
    <row r="35" spans="1:17" x14ac:dyDescent="0.35">
      <c r="A35" s="333">
        <f t="shared" si="1"/>
        <v>35</v>
      </c>
      <c r="B35" s="348" t="s">
        <v>45</v>
      </c>
      <c r="C35" s="348"/>
      <c r="D35" s="348"/>
      <c r="E35" s="348"/>
      <c r="F35" s="348"/>
      <c r="G35" s="348"/>
      <c r="H35" s="349"/>
      <c r="I35" s="349"/>
      <c r="J35" s="349"/>
      <c r="K35" s="349"/>
      <c r="L35" s="349"/>
      <c r="M35" s="349"/>
      <c r="N35" s="350"/>
      <c r="O35" s="350"/>
      <c r="P35" s="334"/>
      <c r="Q35" s="334"/>
    </row>
    <row r="36" spans="1:17" outlineLevel="1" x14ac:dyDescent="0.35">
      <c r="A36" s="333">
        <f t="shared" si="1"/>
        <v>36</v>
      </c>
      <c r="B36" s="8"/>
      <c r="C36" s="8"/>
      <c r="D36" s="17"/>
      <c r="E36" s="8"/>
      <c r="P36" s="334"/>
      <c r="Q36" s="334"/>
    </row>
    <row r="37" spans="1:17" outlineLevel="1" x14ac:dyDescent="0.35">
      <c r="A37" s="333">
        <f t="shared" si="1"/>
        <v>37</v>
      </c>
      <c r="G37" s="358">
        <v>2015</v>
      </c>
      <c r="H37" s="358">
        <f>+G37+1</f>
        <v>2016</v>
      </c>
      <c r="I37" s="358">
        <f>+H37+1</f>
        <v>2017</v>
      </c>
      <c r="P37" s="334"/>
      <c r="Q37" s="334"/>
    </row>
    <row r="38" spans="1:17" outlineLevel="1" x14ac:dyDescent="0.35">
      <c r="A38" s="333">
        <f t="shared" si="1"/>
        <v>38</v>
      </c>
      <c r="G38" s="359" t="s">
        <v>46</v>
      </c>
      <c r="H38" s="360" t="s">
        <v>47</v>
      </c>
      <c r="I38" s="361" t="s">
        <v>48</v>
      </c>
      <c r="P38" s="334"/>
      <c r="Q38" s="334"/>
    </row>
    <row r="39" spans="1:17" outlineLevel="1" x14ac:dyDescent="0.35">
      <c r="A39" s="333">
        <f t="shared" si="1"/>
        <v>39</v>
      </c>
      <c r="G39" s="362"/>
      <c r="H39" s="363" t="s">
        <v>46</v>
      </c>
      <c r="I39" s="364" t="s">
        <v>47</v>
      </c>
      <c r="M39" s="18"/>
      <c r="N39" s="79"/>
      <c r="P39" s="334"/>
      <c r="Q39" s="334"/>
    </row>
    <row r="40" spans="1:17" outlineLevel="1" x14ac:dyDescent="0.35">
      <c r="A40" s="333">
        <f t="shared" si="1"/>
        <v>40</v>
      </c>
      <c r="C40" s="19" t="s">
        <v>49</v>
      </c>
      <c r="D40" s="16"/>
      <c r="P40" s="334"/>
      <c r="Q40" s="334"/>
    </row>
    <row r="41" spans="1:17" outlineLevel="1" x14ac:dyDescent="0.35">
      <c r="A41" s="333">
        <f t="shared" si="1"/>
        <v>41</v>
      </c>
      <c r="C41" s="16"/>
      <c r="D41" s="7" t="s">
        <v>632</v>
      </c>
      <c r="E41" s="391"/>
      <c r="F41" s="1" t="s">
        <v>38</v>
      </c>
      <c r="N41" s="1"/>
      <c r="O41" s="1"/>
      <c r="P41" s="334"/>
      <c r="Q41" s="334"/>
    </row>
    <row r="42" spans="1:17" outlineLevel="1" x14ac:dyDescent="0.35">
      <c r="A42" s="333">
        <f t="shared" si="1"/>
        <v>42</v>
      </c>
      <c r="C42" s="16"/>
      <c r="D42" s="7" t="s">
        <v>633</v>
      </c>
      <c r="E42" s="28"/>
      <c r="F42" s="1" t="s">
        <v>34</v>
      </c>
      <c r="N42" s="1"/>
      <c r="O42" s="1"/>
      <c r="P42" s="334"/>
      <c r="Q42" s="334"/>
    </row>
    <row r="43" spans="1:17" outlineLevel="1" x14ac:dyDescent="0.35">
      <c r="A43" s="333">
        <f t="shared" si="1"/>
        <v>43</v>
      </c>
      <c r="C43" s="20"/>
      <c r="D43" s="20"/>
      <c r="E43" s="21"/>
      <c r="F43" s="21"/>
      <c r="G43" s="21"/>
      <c r="H43" s="21"/>
      <c r="I43" s="21"/>
      <c r="J43" s="21"/>
      <c r="K43" s="21"/>
      <c r="L43" s="21"/>
      <c r="M43" s="21"/>
      <c r="N43" s="21"/>
      <c r="O43" s="1"/>
      <c r="P43" s="334"/>
      <c r="Q43" s="334"/>
    </row>
    <row r="44" spans="1:17" outlineLevel="1" x14ac:dyDescent="0.35">
      <c r="A44" s="333">
        <f t="shared" si="1"/>
        <v>44</v>
      </c>
      <c r="C44" s="19" t="s">
        <v>50</v>
      </c>
      <c r="K44" s="22"/>
      <c r="N44" s="1"/>
      <c r="O44" s="1"/>
      <c r="P44" s="334"/>
      <c r="Q44" s="334"/>
    </row>
    <row r="45" spans="1:17" outlineLevel="1" x14ac:dyDescent="0.35">
      <c r="A45" s="333">
        <f t="shared" si="1"/>
        <v>45</v>
      </c>
      <c r="C45" s="19"/>
      <c r="D45" s="3" t="s">
        <v>634</v>
      </c>
      <c r="E45" s="391"/>
      <c r="F45" s="1" t="s">
        <v>38</v>
      </c>
      <c r="N45" s="1"/>
      <c r="O45" s="1"/>
      <c r="P45" s="334"/>
      <c r="Q45" s="334"/>
    </row>
    <row r="46" spans="1:17" outlineLevel="1" x14ac:dyDescent="0.35">
      <c r="A46" s="333">
        <f t="shared" si="1"/>
        <v>46</v>
      </c>
      <c r="D46" s="3" t="s">
        <v>635</v>
      </c>
      <c r="E46" s="28"/>
      <c r="F46" s="1" t="s">
        <v>34</v>
      </c>
      <c r="N46" s="1"/>
      <c r="O46" s="1"/>
      <c r="P46" s="334"/>
      <c r="Q46" s="334"/>
    </row>
    <row r="47" spans="1:17" outlineLevel="1" x14ac:dyDescent="0.35">
      <c r="A47" s="333">
        <f t="shared" si="1"/>
        <v>47</v>
      </c>
      <c r="C47" s="21"/>
      <c r="D47" s="23"/>
      <c r="E47" s="23"/>
      <c r="F47" s="23"/>
      <c r="G47" s="23"/>
      <c r="H47" s="23"/>
      <c r="I47" s="23"/>
      <c r="J47" s="21"/>
      <c r="K47" s="21"/>
      <c r="L47" s="21"/>
      <c r="M47" s="21"/>
      <c r="N47" s="21"/>
      <c r="O47" s="1"/>
      <c r="P47" s="334"/>
      <c r="Q47" s="334"/>
    </row>
    <row r="48" spans="1:17" outlineLevel="1" x14ac:dyDescent="0.35">
      <c r="A48" s="333">
        <f t="shared" si="1"/>
        <v>48</v>
      </c>
      <c r="C48" s="2" t="s">
        <v>636</v>
      </c>
      <c r="D48" s="3"/>
      <c r="E48" s="3"/>
      <c r="F48" s="3"/>
      <c r="G48" s="3"/>
      <c r="H48" s="3"/>
      <c r="I48" s="3"/>
      <c r="J48" s="3"/>
      <c r="K48" s="3"/>
      <c r="N48" s="1"/>
      <c r="O48" s="1"/>
      <c r="P48" s="334"/>
      <c r="Q48" s="334"/>
    </row>
    <row r="49" spans="1:17" outlineLevel="1" x14ac:dyDescent="0.35">
      <c r="A49" s="333">
        <f t="shared" si="1"/>
        <v>49</v>
      </c>
      <c r="C49" s="2"/>
      <c r="D49" s="7" t="s">
        <v>637</v>
      </c>
      <c r="E49" s="392" t="str">
        <f>IF(E41*E42=0,"",IF(E45*E46=0,"",(E41*(E42/(E42+E46)))+(E45*(E46/(E46+E42)))))</f>
        <v/>
      </c>
      <c r="F49" s="6"/>
      <c r="G49" s="3"/>
      <c r="H49" s="3"/>
      <c r="I49" s="3"/>
      <c r="J49" s="3"/>
      <c r="K49" s="3"/>
      <c r="P49" s="334"/>
      <c r="Q49" s="334"/>
    </row>
    <row r="50" spans="1:17" outlineLevel="1" x14ac:dyDescent="0.35">
      <c r="A50" s="333">
        <f t="shared" si="1"/>
        <v>50</v>
      </c>
      <c r="C50" s="2"/>
      <c r="D50" s="7"/>
      <c r="E50" s="7"/>
      <c r="F50" s="3"/>
      <c r="G50" s="3"/>
      <c r="H50" s="3"/>
      <c r="I50" s="3"/>
      <c r="J50" s="21"/>
      <c r="K50" s="21"/>
      <c r="L50" s="21"/>
      <c r="M50" s="21"/>
      <c r="N50" s="21"/>
      <c r="O50" s="3"/>
      <c r="P50" s="334"/>
      <c r="Q50" s="334"/>
    </row>
    <row r="51" spans="1:17" outlineLevel="1" x14ac:dyDescent="0.35">
      <c r="A51" s="333">
        <f t="shared" si="1"/>
        <v>51</v>
      </c>
      <c r="C51" s="24" t="s">
        <v>512</v>
      </c>
      <c r="D51" s="25"/>
      <c r="E51" s="25"/>
      <c r="F51" s="26"/>
      <c r="G51" s="26"/>
      <c r="H51" s="26"/>
      <c r="I51" s="26"/>
      <c r="J51" s="26"/>
      <c r="K51" s="26"/>
      <c r="P51" s="334"/>
      <c r="Q51" s="334"/>
    </row>
    <row r="52" spans="1:17" outlineLevel="1" x14ac:dyDescent="0.35">
      <c r="A52" s="333">
        <f t="shared" si="1"/>
        <v>52</v>
      </c>
      <c r="C52" s="2"/>
      <c r="D52" s="7" t="s">
        <v>639</v>
      </c>
      <c r="E52" s="391"/>
      <c r="F52" s="1" t="s">
        <v>38</v>
      </c>
      <c r="G52" s="3"/>
      <c r="I52" s="3" t="s">
        <v>638</v>
      </c>
      <c r="J52" s="353"/>
      <c r="K52" s="1" t="s">
        <v>38</v>
      </c>
      <c r="P52" s="334"/>
      <c r="Q52" s="334"/>
    </row>
    <row r="53" spans="1:17" outlineLevel="1" x14ac:dyDescent="0.35">
      <c r="A53" s="333">
        <f t="shared" si="1"/>
        <v>53</v>
      </c>
      <c r="C53" s="16"/>
      <c r="D53" s="7" t="s">
        <v>640</v>
      </c>
      <c r="E53" s="391"/>
      <c r="F53" s="1" t="s">
        <v>38</v>
      </c>
      <c r="G53" s="8" t="str">
        <f>+IF(E53="","",IF(E52&gt;E53,"ERROR! No puede ser el destete mayor a la preñez",""))</f>
        <v/>
      </c>
      <c r="I53" s="14" t="s">
        <v>51</v>
      </c>
      <c r="J53" s="365"/>
      <c r="K53" s="1" t="s">
        <v>52</v>
      </c>
      <c r="P53" s="334"/>
      <c r="Q53" s="334"/>
    </row>
    <row r="54" spans="1:17" outlineLevel="1" x14ac:dyDescent="0.35">
      <c r="A54" s="333">
        <f t="shared" si="1"/>
        <v>54</v>
      </c>
      <c r="C54" s="16"/>
      <c r="D54" s="7" t="s">
        <v>643</v>
      </c>
      <c r="E54" s="367"/>
      <c r="H54" s="3"/>
      <c r="I54" s="3" t="s">
        <v>642</v>
      </c>
      <c r="J54" s="353"/>
      <c r="K54" s="1" t="s">
        <v>38</v>
      </c>
      <c r="P54" s="334"/>
      <c r="Q54" s="334"/>
    </row>
    <row r="55" spans="1:17" outlineLevel="1" x14ac:dyDescent="0.35">
      <c r="A55" s="333">
        <f t="shared" si="1"/>
        <v>55</v>
      </c>
      <c r="C55" s="16"/>
      <c r="D55" s="7" t="s">
        <v>641</v>
      </c>
      <c r="E55" s="367"/>
      <c r="F55" s="1" t="s">
        <v>34</v>
      </c>
      <c r="H55" s="3"/>
      <c r="P55" s="334"/>
      <c r="Q55" s="334"/>
    </row>
    <row r="56" spans="1:17" outlineLevel="1" x14ac:dyDescent="0.35">
      <c r="A56" s="333">
        <f t="shared" si="1"/>
        <v>56</v>
      </c>
      <c r="I56" s="2" t="s">
        <v>645</v>
      </c>
      <c r="J56" s="2" t="s">
        <v>646</v>
      </c>
      <c r="P56" s="334"/>
      <c r="Q56" s="334"/>
    </row>
    <row r="57" spans="1:17" outlineLevel="1" x14ac:dyDescent="0.35">
      <c r="A57" s="333">
        <f t="shared" si="1"/>
        <v>57</v>
      </c>
      <c r="D57" s="3" t="s">
        <v>58</v>
      </c>
      <c r="E57" s="28"/>
      <c r="F57" s="1" t="s">
        <v>59</v>
      </c>
      <c r="H57" s="3" t="s">
        <v>647</v>
      </c>
      <c r="I57" s="389"/>
      <c r="J57" s="366"/>
      <c r="P57" s="334"/>
      <c r="Q57" s="334"/>
    </row>
    <row r="58" spans="1:17" outlineLevel="1" x14ac:dyDescent="0.35">
      <c r="A58" s="333">
        <f t="shared" si="1"/>
        <v>58</v>
      </c>
      <c r="D58" s="3" t="s">
        <v>644</v>
      </c>
      <c r="E58" s="28"/>
      <c r="H58" s="3" t="s">
        <v>648</v>
      </c>
      <c r="I58" s="389"/>
      <c r="J58" s="366"/>
      <c r="P58" s="334"/>
      <c r="Q58" s="334"/>
    </row>
    <row r="59" spans="1:17" outlineLevel="1" x14ac:dyDescent="0.35">
      <c r="A59" s="333">
        <f t="shared" si="1"/>
        <v>59</v>
      </c>
      <c r="F59" s="27"/>
      <c r="G59" s="27"/>
      <c r="P59" s="334"/>
      <c r="Q59" s="334"/>
    </row>
    <row r="60" spans="1:17" outlineLevel="1" x14ac:dyDescent="0.35">
      <c r="A60" s="333">
        <f t="shared" si="1"/>
        <v>60</v>
      </c>
      <c r="C60" s="59" t="s">
        <v>192</v>
      </c>
      <c r="D60" s="27"/>
      <c r="E60" s="18" t="s">
        <v>189</v>
      </c>
      <c r="F60" s="18" t="s">
        <v>190</v>
      </c>
      <c r="G60" s="18" t="s">
        <v>191</v>
      </c>
      <c r="H60" s="18" t="s">
        <v>113</v>
      </c>
      <c r="I60" s="18" t="s">
        <v>193</v>
      </c>
      <c r="P60" s="334"/>
      <c r="Q60" s="334"/>
    </row>
    <row r="61" spans="1:17" outlineLevel="1" x14ac:dyDescent="0.35">
      <c r="A61" s="333">
        <f t="shared" si="1"/>
        <v>61</v>
      </c>
      <c r="D61" s="3" t="s">
        <v>188</v>
      </c>
      <c r="E61" s="28"/>
      <c r="F61" s="28"/>
      <c r="G61" s="28"/>
      <c r="H61" s="28"/>
      <c r="I61" s="28"/>
      <c r="P61" s="334"/>
      <c r="Q61" s="334"/>
    </row>
    <row r="62" spans="1:17" x14ac:dyDescent="0.35">
      <c r="A62" s="333">
        <f t="shared" si="1"/>
        <v>62</v>
      </c>
      <c r="P62" s="334"/>
      <c r="Q62" s="334"/>
    </row>
    <row r="63" spans="1:17" x14ac:dyDescent="0.35">
      <c r="A63" s="333">
        <f t="shared" si="1"/>
        <v>63</v>
      </c>
      <c r="B63" s="348" t="s">
        <v>60</v>
      </c>
      <c r="C63" s="348"/>
      <c r="D63" s="348"/>
      <c r="E63" s="348"/>
      <c r="F63" s="348"/>
      <c r="G63" s="348"/>
      <c r="H63" s="349"/>
      <c r="I63" s="349"/>
      <c r="J63" s="349"/>
      <c r="K63" s="349"/>
      <c r="L63" s="349"/>
      <c r="M63" s="349"/>
      <c r="N63" s="350"/>
      <c r="O63" s="350"/>
      <c r="P63" s="334"/>
      <c r="Q63" s="334"/>
    </row>
    <row r="64" spans="1:17" outlineLevel="2" x14ac:dyDescent="0.35">
      <c r="A64" s="333">
        <f t="shared" si="1"/>
        <v>64</v>
      </c>
      <c r="B64" s="8"/>
      <c r="C64" s="354" t="s">
        <v>513</v>
      </c>
      <c r="D64" s="17"/>
      <c r="E64" s="8"/>
      <c r="L64" s="368"/>
      <c r="M64" s="368"/>
      <c r="N64" s="369"/>
      <c r="O64" s="369"/>
      <c r="P64" s="334"/>
      <c r="Q64" s="334"/>
    </row>
    <row r="65" spans="1:17" outlineLevel="2" x14ac:dyDescent="0.35">
      <c r="A65" s="333">
        <f t="shared" si="1"/>
        <v>65</v>
      </c>
      <c r="C65" s="370" t="s">
        <v>574</v>
      </c>
      <c r="N65" s="1"/>
      <c r="P65" s="334"/>
      <c r="Q65" s="334"/>
    </row>
    <row r="66" spans="1:17" outlineLevel="2" x14ac:dyDescent="0.35">
      <c r="A66" s="333">
        <f t="shared" si="1"/>
        <v>66</v>
      </c>
      <c r="N66" s="1"/>
      <c r="O66" s="1"/>
      <c r="P66" s="334"/>
      <c r="Q66" s="334"/>
    </row>
    <row r="67" spans="1:17" outlineLevel="2" x14ac:dyDescent="0.35">
      <c r="A67" s="333">
        <f t="shared" ref="A67:A130" si="2">+A66+1</f>
        <v>67</v>
      </c>
      <c r="C67" s="60"/>
      <c r="D67" s="60" t="s">
        <v>61</v>
      </c>
      <c r="H67" s="29" t="s">
        <v>567</v>
      </c>
      <c r="I67" s="29"/>
      <c r="N67" s="1"/>
      <c r="O67" s="1"/>
      <c r="P67" s="334"/>
      <c r="Q67" s="334"/>
    </row>
    <row r="68" spans="1:17" outlineLevel="2" x14ac:dyDescent="0.35">
      <c r="A68" s="333">
        <f t="shared" si="2"/>
        <v>68</v>
      </c>
      <c r="D68" s="3" t="s">
        <v>40</v>
      </c>
      <c r="E68" s="28"/>
      <c r="F68" s="1" t="s">
        <v>41</v>
      </c>
      <c r="I68" s="3" t="s">
        <v>40</v>
      </c>
      <c r="J68" s="28"/>
      <c r="K68" s="1" t="s">
        <v>41</v>
      </c>
      <c r="O68" s="1"/>
      <c r="P68" s="334"/>
      <c r="Q68" s="334"/>
    </row>
    <row r="69" spans="1:17" outlineLevel="2" x14ac:dyDescent="0.35">
      <c r="A69" s="333">
        <f t="shared" si="2"/>
        <v>69</v>
      </c>
      <c r="D69" s="3"/>
      <c r="I69" s="3"/>
      <c r="P69" s="334"/>
      <c r="Q69" s="334"/>
    </row>
    <row r="70" spans="1:17" outlineLevel="2" x14ac:dyDescent="0.35">
      <c r="A70" s="333">
        <f t="shared" si="2"/>
        <v>70</v>
      </c>
      <c r="D70" s="7" t="s">
        <v>43</v>
      </c>
      <c r="E70" s="28"/>
      <c r="F70" s="16" t="s">
        <v>518</v>
      </c>
      <c r="I70" s="7" t="s">
        <v>43</v>
      </c>
      <c r="J70" s="28"/>
      <c r="K70" s="16" t="s">
        <v>518</v>
      </c>
      <c r="P70" s="334"/>
      <c r="Q70" s="334"/>
    </row>
    <row r="71" spans="1:17" outlineLevel="2" x14ac:dyDescent="0.35">
      <c r="A71" s="333">
        <f t="shared" si="2"/>
        <v>71</v>
      </c>
      <c r="D71" s="3" t="s">
        <v>43</v>
      </c>
      <c r="E71" s="28"/>
      <c r="F71" s="1" t="s">
        <v>41</v>
      </c>
      <c r="I71" s="3" t="s">
        <v>43</v>
      </c>
      <c r="J71" s="28"/>
      <c r="K71" s="1" t="s">
        <v>41</v>
      </c>
      <c r="P71" s="334"/>
      <c r="Q71" s="334"/>
    </row>
    <row r="72" spans="1:17" outlineLevel="2" x14ac:dyDescent="0.35">
      <c r="A72" s="333">
        <f t="shared" si="2"/>
        <v>72</v>
      </c>
      <c r="D72" s="371" t="s">
        <v>194</v>
      </c>
      <c r="E72" s="357"/>
      <c r="F72" s="1" t="s">
        <v>62</v>
      </c>
      <c r="I72" s="371" t="s">
        <v>194</v>
      </c>
      <c r="J72" s="357"/>
      <c r="K72" s="1" t="s">
        <v>62</v>
      </c>
      <c r="P72" s="334"/>
      <c r="Q72" s="334"/>
    </row>
    <row r="73" spans="1:17" outlineLevel="2" x14ac:dyDescent="0.35">
      <c r="A73" s="333">
        <f t="shared" si="2"/>
        <v>73</v>
      </c>
      <c r="D73" s="372" t="s">
        <v>68</v>
      </c>
      <c r="E73" s="373" t="e">
        <f>+E68/E70/365</f>
        <v>#DIV/0!</v>
      </c>
      <c r="F73" s="1" t="s">
        <v>69</v>
      </c>
      <c r="I73" s="372" t="s">
        <v>68</v>
      </c>
      <c r="J73" s="373" t="e">
        <f>+J68/J70/365</f>
        <v>#DIV/0!</v>
      </c>
      <c r="K73" s="1" t="s">
        <v>69</v>
      </c>
      <c r="P73" s="334"/>
      <c r="Q73" s="334"/>
    </row>
    <row r="74" spans="1:17" outlineLevel="2" x14ac:dyDescent="0.35">
      <c r="A74" s="333">
        <f t="shared" si="2"/>
        <v>74</v>
      </c>
      <c r="D74" s="372" t="s">
        <v>39</v>
      </c>
      <c r="E74" s="373" t="e">
        <f>E68/E71</f>
        <v>#DIV/0!</v>
      </c>
      <c r="I74" s="372" t="s">
        <v>39</v>
      </c>
      <c r="J74" s="373" t="e">
        <f>+J68/J71</f>
        <v>#DIV/0!</v>
      </c>
      <c r="P74" s="334"/>
      <c r="Q74" s="334"/>
    </row>
    <row r="75" spans="1:17" outlineLevel="2" x14ac:dyDescent="0.35">
      <c r="A75" s="333">
        <f t="shared" si="2"/>
        <v>75</v>
      </c>
      <c r="D75" s="14" t="s">
        <v>519</v>
      </c>
      <c r="E75" s="374" t="e">
        <f>+E68/E70</f>
        <v>#DIV/0!</v>
      </c>
      <c r="I75" s="14" t="s">
        <v>519</v>
      </c>
      <c r="J75" s="374" t="e">
        <f>+J68/J70</f>
        <v>#DIV/0!</v>
      </c>
      <c r="P75" s="334"/>
      <c r="Q75" s="334"/>
    </row>
    <row r="76" spans="1:17" outlineLevel="2" x14ac:dyDescent="0.35">
      <c r="A76" s="333">
        <f t="shared" si="2"/>
        <v>76</v>
      </c>
      <c r="P76" s="334"/>
      <c r="Q76" s="334"/>
    </row>
    <row r="77" spans="1:17" outlineLevel="2" x14ac:dyDescent="0.35">
      <c r="A77" s="333">
        <f t="shared" si="2"/>
        <v>77</v>
      </c>
      <c r="C77" s="308" t="s">
        <v>573</v>
      </c>
      <c r="H77" s="308" t="s">
        <v>572</v>
      </c>
      <c r="P77" s="334"/>
      <c r="Q77" s="334"/>
    </row>
    <row r="78" spans="1:17" outlineLevel="2" x14ac:dyDescent="0.35">
      <c r="A78" s="333">
        <f t="shared" si="2"/>
        <v>78</v>
      </c>
      <c r="C78" s="309" t="s">
        <v>565</v>
      </c>
      <c r="H78" s="309" t="s">
        <v>565</v>
      </c>
      <c r="P78" s="334"/>
      <c r="Q78" s="334"/>
    </row>
    <row r="79" spans="1:17" outlineLevel="2" x14ac:dyDescent="0.35">
      <c r="A79" s="333">
        <f t="shared" si="2"/>
        <v>79</v>
      </c>
      <c r="D79" s="1" t="s">
        <v>522</v>
      </c>
      <c r="E79" s="375"/>
      <c r="I79" s="1" t="s">
        <v>522</v>
      </c>
      <c r="J79" s="375"/>
      <c r="P79" s="334"/>
      <c r="Q79" s="334"/>
    </row>
    <row r="80" spans="1:17" outlineLevel="2" x14ac:dyDescent="0.35">
      <c r="A80" s="333">
        <f t="shared" si="2"/>
        <v>80</v>
      </c>
      <c r="I80" s="14" t="s">
        <v>566</v>
      </c>
      <c r="J80" s="28"/>
      <c r="P80" s="334"/>
      <c r="Q80" s="334"/>
    </row>
    <row r="81" spans="1:17" outlineLevel="2" x14ac:dyDescent="0.35">
      <c r="A81" s="333">
        <f t="shared" si="2"/>
        <v>81</v>
      </c>
      <c r="D81" s="1" t="s">
        <v>520</v>
      </c>
      <c r="E81" s="28"/>
      <c r="F81" s="1" t="s">
        <v>59</v>
      </c>
      <c r="I81" s="1" t="s">
        <v>520</v>
      </c>
      <c r="J81" s="28"/>
      <c r="K81" s="1" t="s">
        <v>59</v>
      </c>
      <c r="P81" s="334"/>
      <c r="Q81" s="334"/>
    </row>
    <row r="82" spans="1:17" outlineLevel="2" x14ac:dyDescent="0.35">
      <c r="A82" s="333">
        <f t="shared" si="2"/>
        <v>82</v>
      </c>
      <c r="D82" s="1" t="s">
        <v>521</v>
      </c>
      <c r="E82" s="28"/>
      <c r="F82" s="1" t="s">
        <v>59</v>
      </c>
      <c r="I82" s="1" t="s">
        <v>521</v>
      </c>
      <c r="J82" s="28"/>
      <c r="K82" s="1" t="s">
        <v>59</v>
      </c>
      <c r="P82" s="334"/>
      <c r="Q82" s="334"/>
    </row>
    <row r="83" spans="1:17" outlineLevel="2" x14ac:dyDescent="0.35">
      <c r="A83" s="333">
        <f t="shared" si="2"/>
        <v>83</v>
      </c>
      <c r="D83" s="372" t="s">
        <v>523</v>
      </c>
      <c r="E83" s="376"/>
      <c r="I83" s="372" t="s">
        <v>523</v>
      </c>
      <c r="J83" s="376"/>
      <c r="P83" s="334"/>
      <c r="Q83" s="334"/>
    </row>
    <row r="84" spans="1:17" outlineLevel="2" x14ac:dyDescent="0.35">
      <c r="A84" s="333">
        <f t="shared" si="2"/>
        <v>84</v>
      </c>
      <c r="D84" s="372" t="s">
        <v>66</v>
      </c>
      <c r="E84" s="377"/>
      <c r="F84" s="1" t="s">
        <v>67</v>
      </c>
      <c r="I84" s="372" t="s">
        <v>66</v>
      </c>
      <c r="J84" s="377"/>
      <c r="K84" s="1" t="s">
        <v>67</v>
      </c>
      <c r="P84" s="334"/>
      <c r="Q84" s="334"/>
    </row>
    <row r="85" spans="1:17" outlineLevel="2" x14ac:dyDescent="0.35">
      <c r="A85" s="333">
        <f t="shared" si="2"/>
        <v>85</v>
      </c>
      <c r="D85" s="378"/>
      <c r="E85" s="3"/>
      <c r="F85" s="379"/>
      <c r="G85" s="16"/>
      <c r="H85" s="16"/>
      <c r="I85" s="16"/>
      <c r="J85" s="7"/>
      <c r="K85" s="379"/>
      <c r="P85" s="334"/>
      <c r="Q85" s="334"/>
    </row>
    <row r="86" spans="1:17" x14ac:dyDescent="0.35">
      <c r="A86" s="333">
        <f t="shared" si="2"/>
        <v>86</v>
      </c>
      <c r="B86" s="348" t="s">
        <v>70</v>
      </c>
      <c r="C86" s="348"/>
      <c r="D86" s="348"/>
      <c r="E86" s="348"/>
      <c r="F86" s="348"/>
      <c r="G86" s="348"/>
      <c r="H86" s="349"/>
      <c r="I86" s="349"/>
      <c r="J86" s="349"/>
      <c r="K86" s="349"/>
      <c r="L86" s="349"/>
      <c r="M86" s="349"/>
      <c r="N86" s="350"/>
      <c r="O86" s="350"/>
      <c r="P86" s="334"/>
      <c r="Q86" s="334"/>
    </row>
    <row r="87" spans="1:17" outlineLevel="1" x14ac:dyDescent="0.35">
      <c r="A87" s="333">
        <f t="shared" si="2"/>
        <v>87</v>
      </c>
      <c r="B87" s="8"/>
      <c r="C87" s="354" t="s">
        <v>71</v>
      </c>
      <c r="D87" s="17"/>
      <c r="E87" s="8"/>
      <c r="F87" s="380"/>
      <c r="G87" s="380"/>
      <c r="H87" s="368"/>
      <c r="I87" s="368"/>
      <c r="J87" s="368"/>
      <c r="K87" s="368"/>
      <c r="L87" s="368"/>
      <c r="M87" s="368"/>
      <c r="N87" s="369"/>
      <c r="O87" s="369"/>
      <c r="P87" s="334"/>
      <c r="Q87" s="334"/>
    </row>
    <row r="88" spans="1:17" outlineLevel="1" x14ac:dyDescent="0.35">
      <c r="A88" s="333">
        <f t="shared" si="2"/>
        <v>88</v>
      </c>
      <c r="B88" s="380"/>
      <c r="D88" s="380"/>
      <c r="E88" s="380"/>
      <c r="F88" s="380"/>
      <c r="G88" s="380"/>
      <c r="H88" s="368"/>
      <c r="I88" s="368"/>
      <c r="J88" s="368"/>
      <c r="K88" s="368"/>
      <c r="L88" s="368"/>
      <c r="M88" s="368"/>
      <c r="N88" s="369"/>
      <c r="O88" s="369"/>
      <c r="P88" s="334"/>
      <c r="Q88" s="334"/>
    </row>
    <row r="89" spans="1:17" outlineLevel="1" x14ac:dyDescent="0.35">
      <c r="A89" s="333">
        <f t="shared" si="2"/>
        <v>89</v>
      </c>
      <c r="B89" s="380"/>
      <c r="C89" s="354"/>
      <c r="D89" s="380"/>
      <c r="E89" s="380"/>
      <c r="F89" s="380"/>
      <c r="G89" s="381" t="s">
        <v>72</v>
      </c>
      <c r="H89" s="382"/>
      <c r="I89" s="368"/>
      <c r="J89" s="368"/>
      <c r="K89" s="368"/>
      <c r="L89" s="368"/>
      <c r="M89" s="368"/>
      <c r="N89" s="369"/>
      <c r="O89" s="369"/>
      <c r="P89" s="334"/>
    </row>
    <row r="90" spans="1:17" outlineLevel="1" x14ac:dyDescent="0.35">
      <c r="A90" s="333">
        <f t="shared" si="2"/>
        <v>90</v>
      </c>
      <c r="B90" s="380"/>
      <c r="C90" s="354" t="s">
        <v>661</v>
      </c>
      <c r="D90" s="380"/>
      <c r="E90" s="380"/>
      <c r="F90" s="380"/>
      <c r="G90" s="381" t="s">
        <v>73</v>
      </c>
      <c r="H90" s="383"/>
      <c r="I90" s="368"/>
      <c r="J90" s="368"/>
      <c r="K90" s="368"/>
      <c r="L90" s="368"/>
      <c r="M90" s="368"/>
      <c r="N90" s="369"/>
      <c r="O90" s="369"/>
      <c r="P90" s="334"/>
    </row>
    <row r="91" spans="1:17" outlineLevel="1" x14ac:dyDescent="0.35">
      <c r="A91" s="333">
        <f t="shared" si="2"/>
        <v>91</v>
      </c>
      <c r="P91" s="334"/>
    </row>
    <row r="92" spans="1:17" outlineLevel="1" x14ac:dyDescent="0.35">
      <c r="A92" s="333">
        <f t="shared" si="2"/>
        <v>92</v>
      </c>
      <c r="D92" s="29" t="s">
        <v>74</v>
      </c>
      <c r="G92" s="30"/>
      <c r="H92" s="31"/>
      <c r="I92" s="29" t="s">
        <v>75</v>
      </c>
      <c r="P92" s="334"/>
    </row>
    <row r="93" spans="1:17" outlineLevel="1" x14ac:dyDescent="0.35">
      <c r="A93" s="333">
        <f t="shared" si="2"/>
        <v>93</v>
      </c>
      <c r="D93" s="371"/>
      <c r="G93" s="30"/>
      <c r="H93" s="31"/>
      <c r="P93" s="334"/>
    </row>
    <row r="94" spans="1:17" outlineLevel="1" x14ac:dyDescent="0.35">
      <c r="A94" s="333">
        <f t="shared" si="2"/>
        <v>94</v>
      </c>
      <c r="D94" s="372" t="s">
        <v>63</v>
      </c>
      <c r="E94" s="28"/>
      <c r="F94" s="1" t="s">
        <v>64</v>
      </c>
      <c r="G94" s="30"/>
      <c r="I94" s="3" t="s">
        <v>40</v>
      </c>
      <c r="J94" s="28"/>
      <c r="K94" s="1" t="s">
        <v>41</v>
      </c>
      <c r="M94" s="10"/>
      <c r="P94" s="334"/>
    </row>
    <row r="95" spans="1:17" ht="18" customHeight="1" outlineLevel="1" x14ac:dyDescent="0.35">
      <c r="A95" s="333">
        <f t="shared" si="2"/>
        <v>95</v>
      </c>
      <c r="D95" s="3"/>
      <c r="E95" s="3"/>
      <c r="G95" s="30"/>
      <c r="I95" s="3"/>
      <c r="M95" s="10"/>
      <c r="P95" s="334"/>
    </row>
    <row r="96" spans="1:17" outlineLevel="1" x14ac:dyDescent="0.35">
      <c r="A96" s="333">
        <f t="shared" si="2"/>
        <v>96</v>
      </c>
      <c r="D96" s="14" t="s">
        <v>519</v>
      </c>
      <c r="E96" s="28"/>
      <c r="F96" s="1" t="s">
        <v>655</v>
      </c>
      <c r="G96" s="30"/>
      <c r="I96" s="14" t="s">
        <v>519</v>
      </c>
      <c r="J96" s="28"/>
      <c r="K96" s="16" t="s">
        <v>518</v>
      </c>
      <c r="M96" s="10"/>
      <c r="P96" s="334"/>
    </row>
    <row r="97" spans="1:17 16382:16382" outlineLevel="1" x14ac:dyDescent="0.35">
      <c r="A97" s="333">
        <f t="shared" si="2"/>
        <v>97</v>
      </c>
      <c r="D97" s="372" t="s">
        <v>660</v>
      </c>
      <c r="E97" s="397"/>
      <c r="F97" s="1" t="s">
        <v>69</v>
      </c>
      <c r="G97" s="30"/>
      <c r="I97" s="372" t="s">
        <v>660</v>
      </c>
      <c r="J97" s="397"/>
      <c r="K97" s="1" t="s">
        <v>41</v>
      </c>
      <c r="P97" s="334"/>
    </row>
    <row r="98" spans="1:17 16382:16382" outlineLevel="1" x14ac:dyDescent="0.35">
      <c r="A98" s="333">
        <f t="shared" si="2"/>
        <v>98</v>
      </c>
      <c r="D98" s="371" t="s">
        <v>194</v>
      </c>
      <c r="E98" s="357"/>
      <c r="F98" s="1" t="s">
        <v>62</v>
      </c>
      <c r="G98" s="30"/>
      <c r="I98" s="371" t="s">
        <v>194</v>
      </c>
      <c r="J98" s="357"/>
      <c r="K98" s="1" t="s">
        <v>62</v>
      </c>
      <c r="P98" s="334"/>
    </row>
    <row r="99" spans="1:17 16382:16382" outlineLevel="1" x14ac:dyDescent="0.35">
      <c r="A99" s="333">
        <f t="shared" si="2"/>
        <v>99</v>
      </c>
      <c r="D99" s="372" t="s">
        <v>76</v>
      </c>
      <c r="E99" s="357"/>
      <c r="F99" s="1" t="s">
        <v>77</v>
      </c>
      <c r="G99" s="30"/>
      <c r="I99" s="372" t="s">
        <v>76</v>
      </c>
      <c r="J99" s="357"/>
      <c r="K99" s="1" t="s">
        <v>77</v>
      </c>
      <c r="P99" s="334"/>
    </row>
    <row r="100" spans="1:17 16382:16382" outlineLevel="1" x14ac:dyDescent="0.35">
      <c r="A100" s="333">
        <f t="shared" si="2"/>
        <v>100</v>
      </c>
      <c r="D100" s="372"/>
      <c r="E100" s="372"/>
      <c r="F100" s="372"/>
      <c r="G100" s="30"/>
      <c r="P100" s="334"/>
    </row>
    <row r="101" spans="1:17 16382:16382" outlineLevel="1" x14ac:dyDescent="0.35">
      <c r="A101" s="333">
        <f t="shared" si="2"/>
        <v>101</v>
      </c>
      <c r="C101" s="10"/>
      <c r="D101" s="14" t="s">
        <v>551</v>
      </c>
      <c r="E101" s="393" t="e">
        <f>+E99/E94</f>
        <v>#DIV/0!</v>
      </c>
      <c r="F101" s="372"/>
      <c r="G101" s="30"/>
      <c r="I101" s="14" t="s">
        <v>551</v>
      </c>
      <c r="J101" s="393" t="e">
        <f>+J99/J94</f>
        <v>#DIV/0!</v>
      </c>
      <c r="P101" s="334"/>
    </row>
    <row r="102" spans="1:17 16382:16382" outlineLevel="1" x14ac:dyDescent="0.35">
      <c r="A102" s="333">
        <f t="shared" si="2"/>
        <v>102</v>
      </c>
      <c r="D102" s="372"/>
      <c r="G102" s="30"/>
      <c r="P102" s="334"/>
    </row>
    <row r="103" spans="1:17 16382:16382" outlineLevel="1" x14ac:dyDescent="0.35">
      <c r="A103" s="333">
        <f t="shared" si="2"/>
        <v>103</v>
      </c>
      <c r="G103" s="30"/>
      <c r="P103" s="334"/>
    </row>
    <row r="104" spans="1:17 16382:16382" outlineLevel="1" x14ac:dyDescent="0.35">
      <c r="A104" s="333">
        <f t="shared" si="2"/>
        <v>104</v>
      </c>
      <c r="D104" s="308" t="s">
        <v>563</v>
      </c>
      <c r="G104" s="30"/>
      <c r="P104" s="334"/>
    </row>
    <row r="105" spans="1:17 16382:16382" outlineLevel="1" x14ac:dyDescent="0.35">
      <c r="A105" s="333">
        <f t="shared" si="2"/>
        <v>105</v>
      </c>
      <c r="C105" s="309" t="s">
        <v>564</v>
      </c>
      <c r="D105" s="308"/>
      <c r="G105" s="30"/>
      <c r="I105" s="308" t="s">
        <v>568</v>
      </c>
      <c r="P105" s="334"/>
    </row>
    <row r="106" spans="1:17 16382:16382" outlineLevel="2" x14ac:dyDescent="0.35">
      <c r="A106" s="333">
        <f t="shared" si="2"/>
        <v>106</v>
      </c>
      <c r="B106" s="309"/>
      <c r="G106" s="30"/>
      <c r="H106" s="1" t="s">
        <v>564</v>
      </c>
      <c r="P106" s="334"/>
      <c r="Q106" s="334"/>
    </row>
    <row r="107" spans="1:17 16382:16382" outlineLevel="1" x14ac:dyDescent="0.35">
      <c r="A107" s="333">
        <f t="shared" si="2"/>
        <v>107</v>
      </c>
      <c r="D107" s="1" t="s">
        <v>522</v>
      </c>
      <c r="E107" s="375"/>
      <c r="G107" s="30"/>
      <c r="I107" s="1" t="s">
        <v>522</v>
      </c>
      <c r="J107" s="375"/>
      <c r="P107" s="334"/>
      <c r="XFB107" s="1"/>
    </row>
    <row r="108" spans="1:17 16382:16382" outlineLevel="1" x14ac:dyDescent="0.35">
      <c r="A108" s="333">
        <f t="shared" si="2"/>
        <v>108</v>
      </c>
      <c r="G108" s="30"/>
      <c r="I108" s="14" t="s">
        <v>566</v>
      </c>
      <c r="J108" s="28"/>
      <c r="P108" s="334"/>
      <c r="XFB108" s="1"/>
    </row>
    <row r="109" spans="1:17 16382:16382" outlineLevel="1" x14ac:dyDescent="0.35">
      <c r="A109" s="333">
        <f t="shared" si="2"/>
        <v>109</v>
      </c>
      <c r="D109" s="1" t="s">
        <v>520</v>
      </c>
      <c r="E109" s="28"/>
      <c r="F109" s="1" t="s">
        <v>59</v>
      </c>
      <c r="G109" s="30"/>
      <c r="I109" s="1" t="s">
        <v>520</v>
      </c>
      <c r="J109" s="28"/>
      <c r="K109" s="1" t="s">
        <v>59</v>
      </c>
      <c r="P109" s="334"/>
    </row>
    <row r="110" spans="1:17 16382:16382" outlineLevel="1" x14ac:dyDescent="0.35">
      <c r="A110" s="333">
        <f t="shared" si="2"/>
        <v>110</v>
      </c>
      <c r="D110" s="1" t="s">
        <v>521</v>
      </c>
      <c r="E110" s="28"/>
      <c r="F110" s="1" t="s">
        <v>59</v>
      </c>
      <c r="G110" s="30"/>
      <c r="I110" s="1" t="s">
        <v>521</v>
      </c>
      <c r="J110" s="28"/>
      <c r="K110" s="1" t="s">
        <v>59</v>
      </c>
      <c r="P110" s="334"/>
    </row>
    <row r="111" spans="1:17 16382:16382" ht="15" customHeight="1" outlineLevel="1" x14ac:dyDescent="0.35">
      <c r="A111" s="333">
        <f t="shared" si="2"/>
        <v>111</v>
      </c>
      <c r="G111" s="30"/>
      <c r="P111" s="334"/>
    </row>
    <row r="112" spans="1:17 16382:16382" ht="15" customHeight="1" outlineLevel="1" x14ac:dyDescent="0.35">
      <c r="A112" s="333">
        <f t="shared" si="2"/>
        <v>112</v>
      </c>
      <c r="C112" s="10"/>
      <c r="D112" s="384" t="s">
        <v>540</v>
      </c>
      <c r="E112" s="1" t="s">
        <v>67</v>
      </c>
      <c r="G112" s="30"/>
      <c r="I112" s="384" t="s">
        <v>540</v>
      </c>
      <c r="J112" s="1" t="s">
        <v>67</v>
      </c>
      <c r="P112" s="334"/>
    </row>
    <row r="113" spans="1:16" outlineLevel="1" x14ac:dyDescent="0.35">
      <c r="A113" s="333">
        <f t="shared" si="2"/>
        <v>113</v>
      </c>
      <c r="D113" s="372" t="s">
        <v>78</v>
      </c>
      <c r="E113" s="385"/>
      <c r="G113" s="30"/>
      <c r="I113" s="372" t="s">
        <v>78</v>
      </c>
      <c r="J113" s="385"/>
      <c r="P113" s="334"/>
    </row>
    <row r="114" spans="1:16" outlineLevel="1" x14ac:dyDescent="0.35">
      <c r="A114" s="333">
        <f t="shared" si="2"/>
        <v>114</v>
      </c>
      <c r="D114" s="14" t="s">
        <v>79</v>
      </c>
      <c r="E114" s="385"/>
      <c r="G114" s="30"/>
      <c r="I114" s="14" t="s">
        <v>79</v>
      </c>
      <c r="J114" s="385"/>
      <c r="P114" s="334"/>
    </row>
    <row r="115" spans="1:16" outlineLevel="1" x14ac:dyDescent="0.35">
      <c r="A115" s="333">
        <f t="shared" si="2"/>
        <v>115</v>
      </c>
      <c r="D115" s="14" t="s">
        <v>80</v>
      </c>
      <c r="E115" s="385"/>
      <c r="G115" s="30"/>
      <c r="I115" s="14" t="s">
        <v>80</v>
      </c>
      <c r="J115" s="385"/>
      <c r="P115" s="334"/>
    </row>
    <row r="116" spans="1:16" outlineLevel="1" x14ac:dyDescent="0.35">
      <c r="A116" s="333">
        <f t="shared" si="2"/>
        <v>116</v>
      </c>
      <c r="D116" s="14" t="s">
        <v>81</v>
      </c>
      <c r="E116" s="385"/>
      <c r="G116" s="30"/>
      <c r="I116" s="14" t="s">
        <v>81</v>
      </c>
      <c r="J116" s="385"/>
      <c r="P116" s="334"/>
    </row>
    <row r="117" spans="1:16" outlineLevel="1" x14ac:dyDescent="0.35">
      <c r="A117" s="333">
        <f t="shared" si="2"/>
        <v>117</v>
      </c>
      <c r="D117" s="14" t="s">
        <v>82</v>
      </c>
      <c r="E117" s="385"/>
      <c r="G117" s="30"/>
      <c r="I117" s="14" t="s">
        <v>82</v>
      </c>
      <c r="J117" s="385"/>
      <c r="P117" s="334"/>
    </row>
    <row r="118" spans="1:16" outlineLevel="1" x14ac:dyDescent="0.35">
      <c r="A118" s="333">
        <f t="shared" si="2"/>
        <v>118</v>
      </c>
      <c r="D118" s="14" t="s">
        <v>83</v>
      </c>
      <c r="E118" s="385"/>
      <c r="G118" s="30"/>
      <c r="H118" s="31"/>
      <c r="I118" s="14" t="s">
        <v>83</v>
      </c>
      <c r="J118" s="385"/>
      <c r="P118" s="334"/>
    </row>
    <row r="119" spans="1:16" outlineLevel="1" x14ac:dyDescent="0.35">
      <c r="A119" s="333">
        <f t="shared" si="2"/>
        <v>119</v>
      </c>
      <c r="G119" s="33"/>
      <c r="P119" s="334"/>
    </row>
    <row r="120" spans="1:16" outlineLevel="1" x14ac:dyDescent="0.35">
      <c r="A120" s="333">
        <f t="shared" si="2"/>
        <v>120</v>
      </c>
      <c r="C120" s="2"/>
      <c r="D120" s="386" t="s">
        <v>84</v>
      </c>
      <c r="E120" s="387" t="str">
        <f>IFERROR(E94/(E94+E68),"")</f>
        <v/>
      </c>
      <c r="G120" s="33"/>
      <c r="I120" s="386" t="s">
        <v>85</v>
      </c>
      <c r="J120" s="387" t="str">
        <f>IFERROR(J94/(J94+J68),"")</f>
        <v/>
      </c>
      <c r="M120" s="16"/>
      <c r="N120" s="1"/>
      <c r="P120" s="334"/>
    </row>
    <row r="121" spans="1:16" outlineLevel="1" x14ac:dyDescent="0.35">
      <c r="A121" s="333">
        <f t="shared" si="2"/>
        <v>121</v>
      </c>
      <c r="D121" s="386" t="s">
        <v>86</v>
      </c>
      <c r="E121" s="388" t="str">
        <f>IF(E120="","",1-E120)</f>
        <v/>
      </c>
      <c r="G121" s="33"/>
      <c r="I121" s="386" t="s">
        <v>87</v>
      </c>
      <c r="J121" s="388" t="str">
        <f>IF(J120="","",1-J120)</f>
        <v/>
      </c>
      <c r="M121" s="16"/>
      <c r="N121" s="1"/>
      <c r="P121" s="334"/>
    </row>
    <row r="122" spans="1:16" outlineLevel="1" x14ac:dyDescent="0.35">
      <c r="A122" s="333">
        <f t="shared" si="2"/>
        <v>122</v>
      </c>
      <c r="G122" s="33"/>
      <c r="M122" s="16"/>
      <c r="N122" s="1"/>
      <c r="P122" s="334"/>
    </row>
    <row r="123" spans="1:16" outlineLevel="1" x14ac:dyDescent="0.35">
      <c r="A123" s="333">
        <f t="shared" si="2"/>
        <v>123</v>
      </c>
      <c r="E123" s="378"/>
      <c r="F123" s="16"/>
      <c r="G123" s="16"/>
      <c r="J123" s="378"/>
      <c r="K123" s="16"/>
      <c r="L123" s="378"/>
      <c r="M123" s="16"/>
      <c r="N123" s="1"/>
      <c r="P123" s="334"/>
    </row>
    <row r="124" spans="1:16" x14ac:dyDescent="0.35">
      <c r="A124" s="333">
        <f t="shared" si="2"/>
        <v>124</v>
      </c>
      <c r="C124" s="403" t="s">
        <v>552</v>
      </c>
      <c r="D124" s="403"/>
      <c r="E124" s="403"/>
      <c r="F124" s="403"/>
      <c r="G124" s="403"/>
      <c r="H124" s="403"/>
      <c r="I124" s="403"/>
      <c r="J124" s="403"/>
      <c r="K124" s="403"/>
      <c r="L124" s="403"/>
      <c r="M124" s="403"/>
      <c r="N124" s="403"/>
      <c r="P124" s="334"/>
    </row>
    <row r="125" spans="1:16" x14ac:dyDescent="0.35">
      <c r="A125" s="333">
        <f t="shared" si="2"/>
        <v>125</v>
      </c>
      <c r="C125" s="401"/>
      <c r="D125" s="401"/>
      <c r="E125" s="401"/>
      <c r="F125" s="401"/>
      <c r="G125" s="401"/>
      <c r="H125" s="401"/>
      <c r="I125" s="401"/>
      <c r="J125" s="401"/>
      <c r="K125" s="401"/>
      <c r="L125" s="401"/>
      <c r="M125" s="401"/>
      <c r="N125" s="401"/>
      <c r="P125" s="334"/>
    </row>
    <row r="126" spans="1:16" x14ac:dyDescent="0.35">
      <c r="A126" s="333">
        <f t="shared" si="2"/>
        <v>126</v>
      </c>
      <c r="C126" s="402"/>
      <c r="D126" s="402"/>
      <c r="E126" s="402"/>
      <c r="F126" s="402"/>
      <c r="G126" s="402"/>
      <c r="H126" s="402"/>
      <c r="I126" s="402"/>
      <c r="J126" s="402"/>
      <c r="K126" s="402"/>
      <c r="L126" s="402"/>
      <c r="M126" s="402"/>
      <c r="N126" s="402"/>
      <c r="P126" s="334"/>
    </row>
    <row r="127" spans="1:16" x14ac:dyDescent="0.35">
      <c r="A127" s="333">
        <f t="shared" si="2"/>
        <v>127</v>
      </c>
      <c r="C127" s="402"/>
      <c r="D127" s="402"/>
      <c r="E127" s="402"/>
      <c r="F127" s="402"/>
      <c r="G127" s="402"/>
      <c r="H127" s="402"/>
      <c r="I127" s="402"/>
      <c r="J127" s="402"/>
      <c r="K127" s="402"/>
      <c r="L127" s="402"/>
      <c r="M127" s="402"/>
      <c r="N127" s="402"/>
      <c r="P127" s="334"/>
    </row>
    <row r="128" spans="1:16" x14ac:dyDescent="0.35">
      <c r="A128" s="333">
        <f t="shared" si="2"/>
        <v>128</v>
      </c>
      <c r="C128" s="402"/>
      <c r="D128" s="402"/>
      <c r="E128" s="402"/>
      <c r="F128" s="402"/>
      <c r="G128" s="402"/>
      <c r="H128" s="402"/>
      <c r="I128" s="402"/>
      <c r="J128" s="402"/>
      <c r="K128" s="402"/>
      <c r="L128" s="402"/>
      <c r="M128" s="402"/>
      <c r="N128" s="402"/>
      <c r="P128" s="334"/>
    </row>
    <row r="129" spans="1:16" x14ac:dyDescent="0.35">
      <c r="A129" s="333">
        <f t="shared" si="2"/>
        <v>129</v>
      </c>
      <c r="C129" s="402"/>
      <c r="D129" s="402"/>
      <c r="E129" s="402"/>
      <c r="F129" s="402"/>
      <c r="G129" s="402"/>
      <c r="H129" s="402"/>
      <c r="I129" s="402"/>
      <c r="J129" s="402"/>
      <c r="K129" s="402"/>
      <c r="L129" s="402"/>
      <c r="M129" s="402"/>
      <c r="N129" s="402"/>
      <c r="P129" s="334"/>
    </row>
    <row r="130" spans="1:16" x14ac:dyDescent="0.35">
      <c r="A130" s="333">
        <f t="shared" si="2"/>
        <v>130</v>
      </c>
      <c r="C130" s="402"/>
      <c r="D130" s="402"/>
      <c r="E130" s="402"/>
      <c r="F130" s="402"/>
      <c r="G130" s="402"/>
      <c r="H130" s="402"/>
      <c r="I130" s="402"/>
      <c r="J130" s="402"/>
      <c r="K130" s="402"/>
      <c r="L130" s="402"/>
      <c r="M130" s="402"/>
      <c r="N130" s="402"/>
      <c r="P130" s="334"/>
    </row>
    <row r="131" spans="1:16" x14ac:dyDescent="0.35">
      <c r="A131" s="333">
        <f t="shared" ref="A131:O135" si="3">+A130+1</f>
        <v>131</v>
      </c>
      <c r="C131" s="402"/>
      <c r="D131" s="402"/>
      <c r="E131" s="402"/>
      <c r="F131" s="402"/>
      <c r="G131" s="402"/>
      <c r="H131" s="402"/>
      <c r="I131" s="402"/>
      <c r="J131" s="402"/>
      <c r="K131" s="402"/>
      <c r="L131" s="402"/>
      <c r="M131" s="402"/>
      <c r="N131" s="402"/>
      <c r="P131" s="334"/>
    </row>
    <row r="132" spans="1:16" x14ac:dyDescent="0.35">
      <c r="A132" s="333">
        <f t="shared" si="3"/>
        <v>132</v>
      </c>
      <c r="C132" s="402"/>
      <c r="D132" s="402"/>
      <c r="E132" s="402"/>
      <c r="F132" s="402"/>
      <c r="G132" s="402"/>
      <c r="H132" s="402"/>
      <c r="I132" s="402"/>
      <c r="J132" s="402"/>
      <c r="K132" s="402"/>
      <c r="L132" s="402"/>
      <c r="M132" s="402"/>
      <c r="N132" s="402"/>
      <c r="P132" s="334"/>
    </row>
    <row r="133" spans="1:16" x14ac:dyDescent="0.35">
      <c r="A133" s="333">
        <f t="shared" si="3"/>
        <v>133</v>
      </c>
      <c r="P133" s="334"/>
    </row>
    <row r="134" spans="1:16" ht="14.5" x14ac:dyDescent="0.35">
      <c r="A134" s="333">
        <f t="shared" si="3"/>
        <v>134</v>
      </c>
      <c r="B134" s="333">
        <f t="shared" si="3"/>
        <v>1</v>
      </c>
      <c r="C134" s="333">
        <f t="shared" si="3"/>
        <v>1</v>
      </c>
      <c r="D134" s="333">
        <f t="shared" si="3"/>
        <v>1</v>
      </c>
      <c r="E134" s="333">
        <f t="shared" si="3"/>
        <v>1</v>
      </c>
      <c r="F134" s="333">
        <f t="shared" si="3"/>
        <v>1</v>
      </c>
      <c r="G134" s="333">
        <f t="shared" si="3"/>
        <v>1</v>
      </c>
      <c r="H134" s="333">
        <f t="shared" si="3"/>
        <v>1</v>
      </c>
      <c r="I134" s="333">
        <f t="shared" si="3"/>
        <v>1</v>
      </c>
      <c r="J134" s="333">
        <f t="shared" si="3"/>
        <v>1</v>
      </c>
      <c r="K134" s="333">
        <f t="shared" si="3"/>
        <v>1</v>
      </c>
      <c r="L134" s="333">
        <f t="shared" si="3"/>
        <v>1</v>
      </c>
      <c r="M134" s="333">
        <f t="shared" si="3"/>
        <v>1</v>
      </c>
      <c r="N134" s="333">
        <f t="shared" si="3"/>
        <v>1</v>
      </c>
      <c r="O134" s="333">
        <f t="shared" si="3"/>
        <v>1</v>
      </c>
      <c r="P134" s="334"/>
    </row>
    <row r="135" spans="1:16" ht="14.5" x14ac:dyDescent="0.35">
      <c r="A135" s="333">
        <f t="shared" si="3"/>
        <v>135</v>
      </c>
      <c r="B135" s="333">
        <f t="shared" si="3"/>
        <v>2</v>
      </c>
      <c r="C135" s="333">
        <f t="shared" si="3"/>
        <v>2</v>
      </c>
      <c r="D135" s="333">
        <f t="shared" si="3"/>
        <v>2</v>
      </c>
      <c r="E135" s="333">
        <f t="shared" si="3"/>
        <v>2</v>
      </c>
      <c r="F135" s="333">
        <f t="shared" si="3"/>
        <v>2</v>
      </c>
      <c r="G135" s="333">
        <f t="shared" si="3"/>
        <v>2</v>
      </c>
      <c r="H135" s="333">
        <f t="shared" si="3"/>
        <v>2</v>
      </c>
      <c r="I135" s="333">
        <f t="shared" si="3"/>
        <v>2</v>
      </c>
      <c r="J135" s="333">
        <f t="shared" si="3"/>
        <v>2</v>
      </c>
      <c r="K135" s="333">
        <f t="shared" si="3"/>
        <v>2</v>
      </c>
      <c r="L135" s="333">
        <f t="shared" si="3"/>
        <v>2</v>
      </c>
      <c r="M135" s="333">
        <f t="shared" si="3"/>
        <v>2</v>
      </c>
      <c r="N135" s="333">
        <f t="shared" si="3"/>
        <v>2</v>
      </c>
      <c r="O135" s="333">
        <f t="shared" si="3"/>
        <v>2</v>
      </c>
      <c r="P135" s="334"/>
    </row>
  </sheetData>
  <sheetProtection sheet="1" objects="1" scenarios="1" selectLockedCells="1"/>
  <protectedRanges>
    <protectedRange sqref="G37" name="Rango1"/>
  </protectedRanges>
  <dataConsolidate/>
  <mergeCells count="6">
    <mergeCell ref="C125:N132"/>
    <mergeCell ref="I5:J5"/>
    <mergeCell ref="M11:O12"/>
    <mergeCell ref="M13:O14"/>
    <mergeCell ref="M15:O16"/>
    <mergeCell ref="C124:N124"/>
  </mergeCells>
  <conditionalFormatting sqref="J12">
    <cfRule type="expression" dxfId="11" priority="3">
      <formula>$J$11&gt;1</formula>
    </cfRule>
  </conditionalFormatting>
  <conditionalFormatting sqref="J14">
    <cfRule type="expression" dxfId="10" priority="2">
      <formula>$J$13&gt;1</formula>
    </cfRule>
  </conditionalFormatting>
  <conditionalFormatting sqref="J16">
    <cfRule type="expression" dxfId="9" priority="1">
      <formula>$J$15&gt;1</formula>
    </cfRule>
  </conditionalFormatting>
  <dataValidations count="62">
    <dataValidation type="list" allowBlank="1" showInputMessage="1" showErrorMessage="1" prompt="Servicio '15" sqref="J57:J58">
      <formula1>duracion</formula1>
    </dataValidation>
    <dataValidation type="list" allowBlank="1" showInputMessage="1" showErrorMessage="1" prompt="Servicio '15" sqref="I58">
      <formula1>fechaservicio</formula1>
    </dataValidation>
    <dataValidation allowBlank="1" showInputMessage="1" showErrorMessage="1" prompt="Tiempo desde la primer labor del verdeo/diferido hasta cambio de uso del lote (no sólo tiempo que fue pastoreado)." sqref="J14"/>
    <dataValidation allowBlank="1" showInputMessage="1" showErrorMessage="1" prompt="Tiempo desde la primer labor del verdeo hasta cambio de uso del lote (no sólo tiempo que fue pastoreado)." sqref="J12"/>
    <dataValidation type="list" allowBlank="1" showInputMessage="1" showErrorMessage="1" sqref="J83 E83">
      <formula1>RRFF</formula1>
    </dataValidation>
    <dataValidation allowBlank="1" showInputMessage="1" showErrorMessage="1" prompt="Vaquillonas de 1° servicio preñadas 17´/ vaquillonas de 1° s. entoradas en 16´" sqref="E45"/>
    <dataValidation allowBlank="1" showInputMessage="1" showErrorMessage="1" prompt="Vacas y vaquillonas preñadas sobre vientres entoradas en servicio 15´" sqref="E53"/>
    <dataValidation allowBlank="1" showInputMessage="1" showErrorMessage="1" prompt="Terneros destetados 17´sobre vientres entorados en servicio´15" sqref="E52"/>
    <dataValidation allowBlank="1" showErrorMessage="1" prompt="Superficie de monte productivos del establecimiento" sqref="J16"/>
    <dataValidation allowBlank="1" showErrorMessage="1" sqref="J19"/>
    <dataValidation allowBlank="1" showInputMessage="1" showErrorMessage="1" prompt="Superfice de rastrojos pastoreados. En la celda contigua se calculará las has asignadas a dicho recurso según las Normas CREA." sqref="J15"/>
    <dataValidation allowBlank="1" showInputMessage="1" showErrorMessage="1" prompt="Superfice sembrada (tal cual) con verdeos de verano para consumo fresco o diferido. En la celda contigua se calculará las has asignadas a dicho recurso según las Normas CREA." sqref="J13"/>
    <dataValidation allowBlank="1" showInputMessage="1" showErrorMessage="1" prompt="Superficie del establecimiento en producción." sqref="E11"/>
    <dataValidation allowBlank="1" showInputMessage="1" showErrorMessage="1" prompt="Superficie de suelo de la unidad de producción en agricultura, propias y alquiladas." sqref="E12"/>
    <dataValidation type="list" allowBlank="1" showInputMessage="1" showErrorMessage="1" sqref="G6">
      <formula1>MP</formula1>
    </dataValidation>
    <dataValidation allowBlank="1" showInputMessage="1" showErrorMessage="1" prompt="Praderas implantadas en la campaña en análisis." sqref="E18"/>
    <dataValidation allowBlank="1" showInputMessage="1" showErrorMessage="1" prompt="Stock bovino al 30 de junio 2017 (todo lo que está en el establecimiento)" sqref="E27"/>
    <dataValidation allowBlank="1" showInputMessage="1" showErrorMessage="1" prompt="Producción de carne (kg totales) = SALIDAS (kg vendidos,  traslados, consumo del eto.) - ENTRADAS (kg por compra o traslados de otras procedencias) + DIF. INVENTARIO (en Kg)" sqref="E28 J68 E68 E94 J94"/>
    <dataValidation allowBlank="1" showInputMessage="1" showErrorMessage="1" prompt="Cantidad de Vaquillonas de 1 en servicio en 2016" sqref="E46"/>
    <dataValidation allowBlank="1" showInputMessage="1" showErrorMessage="1" prompt="Nro de cabezas muertas/cabezas ingresadas" sqref="E30"/>
    <dataValidation allowBlank="1" showInputMessage="1" showErrorMessage="1" prompt="Superficie de campo natural de la unidad de producción" sqref="E15"/>
    <dataValidation allowBlank="1" showInputMessage="1" showErrorMessage="1" prompt="Superficie de praderas perennes ya implantadas" sqref="E17"/>
    <dataValidation allowBlank="1" showInputMessage="1" showErrorMessage="1" prompt="Superfice sembrada con verdeos de invierno tal cual. En la celda contigua se calculará las has asignadas a dicho recurso según las Normas CREA." sqref="J11"/>
    <dataValidation allowBlank="1" showInputMessage="1" showErrorMessage="1" prompt="Superficie de monte productivos de la unidad de producción" sqref="E16"/>
    <dataValidation allowBlank="1" showInputMessage="1" showErrorMessage="1" prompt="Stock bovino al 1 de julio 2016 (todo lo que está en el establecimiento)" sqref="E26"/>
    <dataValidation allowBlank="1" showInputMessage="1" showErrorMessage="1" prompt="Ponderar en función de la cantidad de tiempo que se le dedica a la ganadería. Se tiene en cuenta el personal de maquinaria que le presta un servicio a la ganadería." sqref="E33 H90"/>
    <dataValidation allowBlank="1" showInputMessage="1" showErrorMessage="1" prompt="Incluye vacas y vaquillonas" sqref="E54:E55"/>
    <dataValidation allowBlank="1" showInputMessage="1" showErrorMessage="1" prompt="Este indicador no debe ser tenido en cuenta en producciones a corral" sqref="J27 J29"/>
    <dataValidation allowBlank="1" showInputMessage="1" showErrorMessage="1" prompt="Vacas preñadas 17´sobre vacas entoradas servicio 16´" sqref="E41"/>
    <dataValidation type="list" allowBlank="1" showErrorMessage="1" sqref="E61:I61">
      <formula1>cruz</formula1>
    </dataValidation>
    <dataValidation type="list" allowBlank="1" showInputMessage="1" showErrorMessage="1" prompt="Región donde se encuentra el establecimiento, independientemente del CREA al que pertenezca el establecimiento." sqref="F6">
      <formula1>Crea</formula1>
    </dataValidation>
    <dataValidation type="list" allowBlank="1" showInputMessage="1" showErrorMessage="1" sqref="J53">
      <formula1>edadservicio</formula1>
    </dataValidation>
    <dataValidation allowBlank="1" showInputMessage="1" showErrorMessage="1" prompt="% de vaquillonas inseminadas en la campaña (Vaquillona Inseminadas/Vaquillonas en Servicio)" sqref="J54"/>
    <dataValidation allowBlank="1" showInputMessage="1" showErrorMessage="1" prompt="% de vacas inseminadas en la campaña vacas Inseminadas/Vacas en Servicio)" sqref="J52"/>
    <dataValidation allowBlank="1" showInputMessage="1" showErrorMessage="1" prompt="Peso medio de destete '17" sqref="E57"/>
    <dataValidation type="list" allowBlank="1" showInputMessage="1" showErrorMessage="1" prompt="Servicio '15_x000a_" sqref="I57">
      <formula1>fechaservicio</formula1>
    </dataValidation>
    <dataValidation allowBlank="1" showInputMessage="1" showErrorMessage="1" prompt="Capacidad máxima instantanea" sqref="H89"/>
    <dataValidation allowBlank="1" showInputMessage="1" showErrorMessage="1" prompt="Ingrese un valor estimativo promedio de venta de la hectárea donde está realizando la ganadería." sqref="J21"/>
    <dataValidation type="list" allowBlank="1" showInputMessage="1" showErrorMessage="1" sqref="E79 J79 J107 E107">
      <formula1>MH</formula1>
    </dataValidation>
    <dataValidation type="list" allowBlank="1" showInputMessage="1" showErrorMessage="1" sqref="J81 J109">
      <formula1>PET</formula1>
    </dataValidation>
    <dataValidation type="list" allowBlank="1" showInputMessage="1" showErrorMessage="1" sqref="J82 J110">
      <formula1>PST</formula1>
    </dataValidation>
    <dataValidation type="list" allowBlank="1" showInputMessage="1" showErrorMessage="1" sqref="E81 E109">
      <formula1>PER</formula1>
    </dataValidation>
    <dataValidation type="list" allowBlank="1" showInputMessage="1" showErrorMessage="1" sqref="E82 E110">
      <formula1>PSR</formula1>
    </dataValidation>
    <dataValidation allowBlank="1" showInputMessage="1" showErrorMessage="1" prompt="Stock medio en recría: promedio de los valores de stock mensual en cabezas para el ejercicio." sqref="E70"/>
    <dataValidation type="list" allowBlank="1" showInputMessage="1" showErrorMessage="1" sqref="E114 J114">
      <formula1>CC</formula1>
    </dataValidation>
    <dataValidation type="list" allowBlank="1" showInputMessage="1" showErrorMessage="1" sqref="E115:E118 E113 J115:J118 J113">
      <formula1>Dieta</formula1>
    </dataValidation>
    <dataValidation type="list" allowBlank="1" showInputMessage="1" showErrorMessage="1" sqref="J80 J108">
      <formula1>sino</formula1>
    </dataValidation>
    <dataValidation allowBlank="1" showInputMessage="1" showErrorMessage="1" prompt="Superficie en en ganadería con aptitud agrícola (clase I a IV) propias y alquiladas." sqref="J20"/>
    <dataValidation allowBlank="1" showInputMessage="1" showErrorMessage="1" prompt="Si la empresa tiene más de un establecimiento, llenar una planilla por cada campo." sqref="D6"/>
    <dataValidation allowBlank="1" showInputMessage="1" showErrorMessage="1" prompt="Tiempo promedio de la recría. Si hay distintos lotes/rodeos, poner la duración ponderada." sqref="E72 E98"/>
    <dataValidation allowBlank="1" showInputMessage="1" showErrorMessage="1" prompt="Tiempo promedio de la terminación. Si hay distintos lotes/rodeos, poner la duración ponderada." sqref="J72 J98"/>
    <dataValidation type="list" allowBlank="1" showInputMessage="1" showErrorMessage="1" prompt="% de la dieta en MS suplementada" sqref="E84 J84">
      <formula1>supl</formula1>
    </dataValidation>
    <dataValidation type="list" allowBlank="1" showInputMessage="1" showErrorMessage="1" prompt="Edad promedio al destete '17. Si hubo diferentes destetes, poner una edad promedio. Si merece aclaraciones, anotarlas en observaciones. " sqref="E58">
      <formula1>Destete</formula1>
    </dataValidation>
    <dataValidation allowBlank="1" showInputMessage="1" showErrorMessage="1" prompt="Kilos de materia seca ofrecidos en los corrales de recría" sqref="E99"/>
    <dataValidation allowBlank="1" showInputMessage="1" showErrorMessage="1" prompt="Kilos de materia seca ofrecidos en los corrales de terminación." sqref="J99"/>
    <dataValidation allowBlank="1" showInputMessage="1" showErrorMessage="1" prompt="Promedio de los valores de stock mensual en kg para el ejercicio (incluye corrales). Los terneros al pie de la madre se deben contabilizar como stock para el cálculo de carga." sqref="E32"/>
    <dataValidation allowBlank="1" showInputMessage="1" showErrorMessage="1" prompt="Promedio de los valores de stock mensual en cabezas para el ejercicio (incluye corrales). Los terneros al pie de la madre se deben contabilizar para el cálculo de carga." sqref="E31"/>
    <dataValidation allowBlank="1" showInputMessage="1" showErrorMessage="1" prompt="Stock medio en recría: promedio de los valores de stock mensual en kilos totales para el ejercicio." sqref="E71"/>
    <dataValidation allowBlank="1" showInputMessage="1" showErrorMessage="1" prompt="Stock medio en terminación: promedio de los valores de stock mensual en cabezas para el ejercicio." sqref="J70"/>
    <dataValidation allowBlank="1" showInputMessage="1" showErrorMessage="1" prompt="Stock medio en terminación: promedio de los valores de stock mensual en kilos totales para el ejercicio." sqref="J71"/>
    <dataValidation allowBlank="1" showErrorMessage="1" prompt="Kilos de materia seca ofrecidos en total" sqref="E96 J96"/>
    <dataValidation allowBlank="1" showInputMessage="1" showErrorMessage="1" prompt="Aumento diario de peso vivo promedio" sqref="J97 E97"/>
  </dataValidations>
  <hyperlinks>
    <hyperlink ref="G95" location="'1 (prop.sup)'!F115" display="Ir a cálculo desbaste"/>
    <hyperlink ref="G95:G96" location="'1'!D118" display="Ir a cálculo desbaste"/>
    <hyperlink ref="L95:L96" location="'1'!D118" display="Ir a cálculo desbaste"/>
    <hyperlink ref="L95" location="'1 (prop.sup)'!F115" display="Ir a cálculo desbaste"/>
  </hyperlinks>
  <pageMargins left="0.25" right="0.25" top="0.75" bottom="0.75" header="0.3" footer="0.3"/>
  <pageSetup paperSize="9" scale="48" fitToHeight="0" orientation="portrait" verticalDpi="599" r:id="rId1"/>
  <rowBreaks count="1" manualBreakCount="1">
    <brk id="60" min="1" max="12" man="1"/>
  </row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B135"/>
  <sheetViews>
    <sheetView showGridLines="0" zoomScale="90" zoomScaleNormal="90" workbookViewId="0">
      <pane xSplit="1" ySplit="1" topLeftCell="B2" activePane="bottomRight" state="frozen"/>
      <selection activeCell="G25" sqref="G25"/>
      <selection pane="topRight" activeCell="G25" sqref="G25"/>
      <selection pane="bottomLeft" activeCell="G25" sqref="G25"/>
      <selection pane="bottomRight" activeCell="C6" sqref="C6"/>
    </sheetView>
  </sheetViews>
  <sheetFormatPr baseColWidth="10" defaultColWidth="0" defaultRowHeight="15.5" customHeight="1" zeroHeight="1" outlineLevelRow="2" x14ac:dyDescent="0.35"/>
  <cols>
    <col min="1" max="1" width="5" style="330" customWidth="1"/>
    <col min="2" max="2" width="11.81640625" style="1" customWidth="1"/>
    <col min="3" max="3" width="16" style="1" customWidth="1"/>
    <col min="4" max="4" width="18.54296875" style="1" customWidth="1"/>
    <col min="5" max="6" width="14.54296875" style="1" customWidth="1"/>
    <col min="7" max="7" width="12.1796875" style="1" customWidth="1"/>
    <col min="8" max="8" width="16.26953125" style="1" customWidth="1"/>
    <col min="9" max="10" width="14.54296875" style="1" customWidth="1"/>
    <col min="11" max="12" width="13.453125" style="1" customWidth="1"/>
    <col min="13" max="13" width="14.54296875" style="1" customWidth="1"/>
    <col min="14" max="15" width="11.453125" style="69" customWidth="1"/>
    <col min="16" max="16" width="5.54296875" style="69" customWidth="1"/>
    <col min="17" max="17" width="11.453125" style="69" hidden="1"/>
    <col min="18" max="16382" width="0" style="69" hidden="1"/>
    <col min="16383" max="16384" width="11.453125" style="69" hidden="1"/>
  </cols>
  <sheetData>
    <row r="1" spans="1:17" s="333" customFormat="1" ht="14.5" x14ac:dyDescent="0.35">
      <c r="A1" s="333">
        <v>1</v>
      </c>
      <c r="B1" s="333">
        <f t="shared" ref="B1:P1" si="0">+A1+1</f>
        <v>2</v>
      </c>
      <c r="C1" s="333">
        <f t="shared" si="0"/>
        <v>3</v>
      </c>
      <c r="D1" s="333">
        <f t="shared" si="0"/>
        <v>4</v>
      </c>
      <c r="E1" s="333">
        <f t="shared" si="0"/>
        <v>5</v>
      </c>
      <c r="F1" s="333">
        <f t="shared" si="0"/>
        <v>6</v>
      </c>
      <c r="G1" s="333">
        <f t="shared" si="0"/>
        <v>7</v>
      </c>
      <c r="H1" s="333">
        <f t="shared" si="0"/>
        <v>8</v>
      </c>
      <c r="I1" s="333">
        <f t="shared" si="0"/>
        <v>9</v>
      </c>
      <c r="J1" s="333">
        <f t="shared" si="0"/>
        <v>10</v>
      </c>
      <c r="K1" s="333">
        <f t="shared" si="0"/>
        <v>11</v>
      </c>
      <c r="L1" s="333">
        <f t="shared" si="0"/>
        <v>12</v>
      </c>
      <c r="M1" s="333">
        <f t="shared" si="0"/>
        <v>13</v>
      </c>
      <c r="N1" s="333">
        <f t="shared" si="0"/>
        <v>14</v>
      </c>
      <c r="O1" s="333">
        <f t="shared" si="0"/>
        <v>15</v>
      </c>
      <c r="P1" s="333">
        <f t="shared" si="0"/>
        <v>16</v>
      </c>
    </row>
    <row r="2" spans="1:17" x14ac:dyDescent="0.35">
      <c r="A2" s="333">
        <f>+A1+1</f>
        <v>2</v>
      </c>
      <c r="P2" s="334"/>
      <c r="Q2" s="334"/>
    </row>
    <row r="3" spans="1:17" x14ac:dyDescent="0.35">
      <c r="A3" s="333">
        <f t="shared" ref="A3:A66" si="1">+A2+1</f>
        <v>3</v>
      </c>
      <c r="B3" s="335" t="s">
        <v>0</v>
      </c>
      <c r="C3" s="336"/>
      <c r="D3" s="58"/>
      <c r="E3" s="302"/>
      <c r="F3" s="337" t="s">
        <v>1</v>
      </c>
      <c r="G3" s="58"/>
      <c r="H3" s="303"/>
      <c r="I3" s="337" t="s">
        <v>2</v>
      </c>
      <c r="J3" s="58"/>
      <c r="K3" s="58"/>
      <c r="L3" s="336"/>
      <c r="M3" s="336"/>
      <c r="N3" s="338"/>
      <c r="O3" s="339"/>
      <c r="P3" s="334"/>
      <c r="Q3" s="334"/>
    </row>
    <row r="4" spans="1:17" x14ac:dyDescent="0.35">
      <c r="A4" s="333">
        <f t="shared" si="1"/>
        <v>4</v>
      </c>
      <c r="B4" s="340"/>
      <c r="C4" s="340"/>
      <c r="E4" s="336"/>
      <c r="F4" s="336"/>
      <c r="G4" s="336"/>
      <c r="H4" s="336"/>
      <c r="I4" s="336"/>
      <c r="J4" s="336"/>
      <c r="K4" s="336"/>
      <c r="L4" s="336"/>
      <c r="M4" s="336"/>
      <c r="N4" s="338"/>
      <c r="O4" s="338"/>
      <c r="P4" s="334"/>
      <c r="Q4" s="334"/>
    </row>
    <row r="5" spans="1:17" ht="29" x14ac:dyDescent="0.35">
      <c r="A5" s="333">
        <f t="shared" si="1"/>
        <v>5</v>
      </c>
      <c r="B5" s="341" t="s">
        <v>3</v>
      </c>
      <c r="C5" s="342" t="s">
        <v>4</v>
      </c>
      <c r="D5" s="341" t="s">
        <v>5</v>
      </c>
      <c r="E5" s="342" t="s">
        <v>6</v>
      </c>
      <c r="F5" s="342" t="s">
        <v>7</v>
      </c>
      <c r="G5" s="343" t="s">
        <v>8</v>
      </c>
      <c r="H5" s="344" t="s">
        <v>9</v>
      </c>
      <c r="I5" s="404" t="s">
        <v>10</v>
      </c>
      <c r="J5" s="405"/>
      <c r="N5" s="345"/>
      <c r="P5" s="334"/>
      <c r="Q5" s="334"/>
    </row>
    <row r="6" spans="1:17" x14ac:dyDescent="0.35">
      <c r="A6" s="333">
        <f t="shared" si="1"/>
        <v>6</v>
      </c>
      <c r="B6" s="310" t="s">
        <v>649</v>
      </c>
      <c r="C6" s="346"/>
      <c r="D6" s="346"/>
      <c r="E6" s="347"/>
      <c r="F6" s="346"/>
      <c r="G6" s="347"/>
      <c r="H6" s="347"/>
      <c r="I6" s="347"/>
      <c r="J6" s="347"/>
      <c r="N6" s="338"/>
      <c r="O6" s="338"/>
      <c r="P6" s="334"/>
      <c r="Q6" s="334"/>
    </row>
    <row r="7" spans="1:17" x14ac:dyDescent="0.35">
      <c r="A7" s="333">
        <f t="shared" si="1"/>
        <v>7</v>
      </c>
      <c r="P7" s="334"/>
      <c r="Q7" s="334"/>
    </row>
    <row r="8" spans="1:17" x14ac:dyDescent="0.35">
      <c r="A8" s="333">
        <f t="shared" si="1"/>
        <v>8</v>
      </c>
      <c r="B8" s="348" t="s">
        <v>13</v>
      </c>
      <c r="C8" s="348"/>
      <c r="D8" s="348"/>
      <c r="E8" s="348"/>
      <c r="F8" s="348"/>
      <c r="G8" s="348"/>
      <c r="H8" s="349"/>
      <c r="I8" s="349"/>
      <c r="J8" s="349"/>
      <c r="K8" s="349"/>
      <c r="L8" s="349"/>
      <c r="M8" s="349"/>
      <c r="N8" s="350"/>
      <c r="O8" s="350"/>
      <c r="P8" s="334"/>
      <c r="Q8" s="334"/>
    </row>
    <row r="9" spans="1:17" x14ac:dyDescent="0.35">
      <c r="A9" s="333">
        <f t="shared" si="1"/>
        <v>9</v>
      </c>
      <c r="P9" s="334"/>
      <c r="Q9" s="334"/>
    </row>
    <row r="10" spans="1:17" x14ac:dyDescent="0.35">
      <c r="A10" s="333">
        <f t="shared" si="1"/>
        <v>10</v>
      </c>
      <c r="C10" s="2"/>
      <c r="D10" s="2" t="s">
        <v>14</v>
      </c>
      <c r="G10" s="2"/>
      <c r="I10" s="56" t="s">
        <v>17</v>
      </c>
      <c r="J10" s="69"/>
      <c r="K10" s="69"/>
      <c r="L10" s="2" t="s">
        <v>18</v>
      </c>
      <c r="M10" s="4"/>
      <c r="P10" s="334"/>
      <c r="Q10" s="334"/>
    </row>
    <row r="11" spans="1:17" ht="18" customHeight="1" x14ac:dyDescent="0.35">
      <c r="A11" s="333">
        <f t="shared" si="1"/>
        <v>11</v>
      </c>
      <c r="D11" s="3" t="s">
        <v>15</v>
      </c>
      <c r="E11" s="28"/>
      <c r="F11" s="1" t="s">
        <v>16</v>
      </c>
      <c r="I11" s="3" t="s">
        <v>19</v>
      </c>
      <c r="J11" s="28"/>
      <c r="K11" s="1" t="s">
        <v>16</v>
      </c>
      <c r="L11" s="5" t="str">
        <f>IF(J11*J12/12=0,"",J11*J12/12)</f>
        <v/>
      </c>
      <c r="M11" s="406" t="s">
        <v>656</v>
      </c>
      <c r="N11" s="406"/>
      <c r="O11" s="406"/>
      <c r="P11" s="334"/>
      <c r="Q11" s="334"/>
    </row>
    <row r="12" spans="1:17" x14ac:dyDescent="0.35">
      <c r="A12" s="333">
        <f t="shared" si="1"/>
        <v>12</v>
      </c>
      <c r="D12" s="3" t="s">
        <v>514</v>
      </c>
      <c r="E12" s="28"/>
      <c r="F12" s="1" t="s">
        <v>16</v>
      </c>
      <c r="I12" s="3" t="str">
        <f>+IF(J11&gt;1,"Tiempo ocupado por verdeo de invierno","")</f>
        <v/>
      </c>
      <c r="J12" s="351"/>
      <c r="K12" s="6" t="str">
        <f>+IF($J$11&gt;1,"meses","")</f>
        <v/>
      </c>
      <c r="L12" s="69"/>
      <c r="M12" s="406"/>
      <c r="N12" s="406"/>
      <c r="O12" s="406"/>
      <c r="P12" s="334"/>
      <c r="Q12" s="334"/>
    </row>
    <row r="13" spans="1:17" ht="18" customHeight="1" x14ac:dyDescent="0.35">
      <c r="A13" s="333">
        <f t="shared" si="1"/>
        <v>13</v>
      </c>
      <c r="I13" s="3" t="s">
        <v>22</v>
      </c>
      <c r="J13" s="28"/>
      <c r="K13" s="1" t="s">
        <v>16</v>
      </c>
      <c r="L13" s="5" t="str">
        <f>IF(J13*J14/12=0,"",J13*J14/12)</f>
        <v/>
      </c>
      <c r="M13" s="406" t="s">
        <v>657</v>
      </c>
      <c r="N13" s="406"/>
      <c r="O13" s="406"/>
      <c r="P13" s="334"/>
      <c r="Q13" s="334"/>
    </row>
    <row r="14" spans="1:17" x14ac:dyDescent="0.35">
      <c r="A14" s="333">
        <f t="shared" si="1"/>
        <v>14</v>
      </c>
      <c r="C14" s="2"/>
      <c r="D14" s="2" t="s">
        <v>21</v>
      </c>
      <c r="I14" s="3" t="str">
        <f>+IF(J13&gt;1,"Tiempo ocupado por verdeo de verano y diferido","")</f>
        <v/>
      </c>
      <c r="J14" s="351"/>
      <c r="K14" s="6" t="str">
        <f>+IF($J$13&gt;1,"meses","")</f>
        <v/>
      </c>
      <c r="L14" s="69"/>
      <c r="M14" s="406"/>
      <c r="N14" s="406"/>
      <c r="O14" s="406"/>
      <c r="P14" s="334"/>
      <c r="Q14" s="334"/>
    </row>
    <row r="15" spans="1:17" ht="18" customHeight="1" x14ac:dyDescent="0.35">
      <c r="A15" s="333">
        <f t="shared" si="1"/>
        <v>15</v>
      </c>
      <c r="D15" s="3" t="s">
        <v>24</v>
      </c>
      <c r="E15" s="28"/>
      <c r="F15" s="1" t="s">
        <v>16</v>
      </c>
      <c r="I15" s="3" t="s">
        <v>26</v>
      </c>
      <c r="J15" s="28"/>
      <c r="K15" s="1" t="s">
        <v>16</v>
      </c>
      <c r="L15" s="5" t="str">
        <f>IF(J15*J16/12=0,"",J15*J16/12)</f>
        <v/>
      </c>
      <c r="M15" s="406" t="s">
        <v>658</v>
      </c>
      <c r="N15" s="406"/>
      <c r="O15" s="406"/>
      <c r="P15" s="334"/>
      <c r="Q15" s="334"/>
    </row>
    <row r="16" spans="1:17" x14ac:dyDescent="0.35">
      <c r="A16" s="333">
        <f t="shared" si="1"/>
        <v>16</v>
      </c>
      <c r="B16" s="8"/>
      <c r="D16" s="7" t="s">
        <v>25</v>
      </c>
      <c r="E16" s="28"/>
      <c r="F16" s="1" t="s">
        <v>16</v>
      </c>
      <c r="I16" s="3" t="str">
        <f>+IF(J15&gt;1,"Tiempo de ocupación de rastrojos y otros  ","")</f>
        <v/>
      </c>
      <c r="J16" s="351"/>
      <c r="K16" s="6" t="str">
        <f>+IF($J$15&gt;1,"meses","")</f>
        <v/>
      </c>
      <c r="L16" s="69"/>
      <c r="M16" s="406"/>
      <c r="N16" s="406"/>
      <c r="O16" s="406"/>
      <c r="P16" s="334"/>
      <c r="Q16" s="334"/>
    </row>
    <row r="17" spans="1:17" x14ac:dyDescent="0.35">
      <c r="A17" s="333">
        <f t="shared" si="1"/>
        <v>17</v>
      </c>
      <c r="D17" s="3" t="s">
        <v>28</v>
      </c>
      <c r="E17" s="28"/>
      <c r="F17" s="1" t="s">
        <v>16</v>
      </c>
      <c r="M17" s="396"/>
      <c r="N17" s="352"/>
      <c r="O17" s="352"/>
      <c r="P17" s="334"/>
      <c r="Q17" s="334"/>
    </row>
    <row r="18" spans="1:17" x14ac:dyDescent="0.35">
      <c r="A18" s="333">
        <f t="shared" si="1"/>
        <v>18</v>
      </c>
      <c r="D18" s="3" t="s">
        <v>29</v>
      </c>
      <c r="E18" s="28"/>
      <c r="F18" s="1" t="s">
        <v>16</v>
      </c>
      <c r="G18" s="10"/>
      <c r="H18" s="11"/>
      <c r="I18" s="57" t="s">
        <v>30</v>
      </c>
      <c r="J18" s="10"/>
      <c r="K18" s="10"/>
      <c r="P18" s="334"/>
      <c r="Q18" s="334"/>
    </row>
    <row r="19" spans="1:17" x14ac:dyDescent="0.35">
      <c r="A19" s="333">
        <f t="shared" si="1"/>
        <v>19</v>
      </c>
      <c r="C19" s="1" t="s">
        <v>9</v>
      </c>
      <c r="D19" s="329"/>
      <c r="E19" s="329"/>
      <c r="F19" s="1" t="s">
        <v>16</v>
      </c>
      <c r="G19" s="10"/>
      <c r="H19" s="10"/>
      <c r="I19" s="7" t="s">
        <v>31</v>
      </c>
      <c r="J19" s="12">
        <f>+SUM(E15:E20,L11,L13,L15)</f>
        <v>0</v>
      </c>
      <c r="K19" s="10" t="s">
        <v>16</v>
      </c>
      <c r="P19" s="334"/>
      <c r="Q19" s="334"/>
    </row>
    <row r="20" spans="1:17" x14ac:dyDescent="0.35">
      <c r="A20" s="333">
        <f t="shared" si="1"/>
        <v>20</v>
      </c>
      <c r="C20" s="1" t="s">
        <v>9</v>
      </c>
      <c r="D20" s="329"/>
      <c r="E20" s="329"/>
      <c r="F20" s="1" t="s">
        <v>16</v>
      </c>
      <c r="G20" s="10"/>
      <c r="H20" s="10"/>
      <c r="I20" s="3" t="s">
        <v>575</v>
      </c>
      <c r="J20" s="353"/>
      <c r="K20" s="3"/>
      <c r="L20" s="8"/>
      <c r="P20" s="334"/>
      <c r="Q20" s="334"/>
    </row>
    <row r="21" spans="1:17" x14ac:dyDescent="0.35">
      <c r="A21" s="333">
        <f t="shared" si="1"/>
        <v>21</v>
      </c>
      <c r="H21" s="311"/>
      <c r="I21" s="7" t="s">
        <v>517</v>
      </c>
      <c r="J21" s="28"/>
      <c r="K21" s="331" t="s">
        <v>515</v>
      </c>
      <c r="L21" s="8"/>
      <c r="P21" s="334"/>
      <c r="Q21" s="334"/>
    </row>
    <row r="22" spans="1:17" x14ac:dyDescent="0.35">
      <c r="A22" s="333">
        <f t="shared" si="1"/>
        <v>22</v>
      </c>
      <c r="G22" s="10"/>
      <c r="H22" s="10"/>
      <c r="I22" s="3"/>
      <c r="J22" s="3"/>
      <c r="K22" s="3"/>
      <c r="L22" s="8"/>
      <c r="P22" s="334"/>
      <c r="Q22" s="334"/>
    </row>
    <row r="23" spans="1:17" x14ac:dyDescent="0.35">
      <c r="A23" s="333">
        <f t="shared" si="1"/>
        <v>23</v>
      </c>
      <c r="G23" s="10"/>
      <c r="H23" s="10"/>
      <c r="I23" s="3"/>
      <c r="J23" s="3"/>
      <c r="K23" s="3"/>
      <c r="L23" s="8"/>
      <c r="P23" s="334"/>
      <c r="Q23" s="334"/>
    </row>
    <row r="24" spans="1:17" x14ac:dyDescent="0.35">
      <c r="A24" s="333">
        <f t="shared" si="1"/>
        <v>24</v>
      </c>
      <c r="B24" s="348" t="s">
        <v>32</v>
      </c>
      <c r="C24" s="348"/>
      <c r="D24" s="348"/>
      <c r="E24" s="348"/>
      <c r="F24" s="348"/>
      <c r="G24" s="348"/>
      <c r="H24" s="349"/>
      <c r="I24" s="349"/>
      <c r="J24" s="349"/>
      <c r="K24" s="349"/>
      <c r="L24" s="349"/>
      <c r="M24" s="349"/>
      <c r="N24" s="350"/>
      <c r="O24" s="350"/>
      <c r="P24" s="334"/>
      <c r="Q24" s="334"/>
    </row>
    <row r="25" spans="1:17" x14ac:dyDescent="0.35">
      <c r="A25" s="333">
        <f t="shared" si="1"/>
        <v>25</v>
      </c>
      <c r="O25" s="13"/>
      <c r="P25" s="334"/>
      <c r="Q25" s="334"/>
    </row>
    <row r="26" spans="1:17" x14ac:dyDescent="0.35">
      <c r="A26" s="333">
        <f t="shared" si="1"/>
        <v>26</v>
      </c>
      <c r="D26" s="3" t="s">
        <v>33</v>
      </c>
      <c r="E26" s="28"/>
      <c r="F26" s="1" t="s">
        <v>34</v>
      </c>
      <c r="J26" s="354" t="s">
        <v>35</v>
      </c>
      <c r="K26" s="69"/>
      <c r="P26" s="334"/>
      <c r="Q26" s="334"/>
    </row>
    <row r="27" spans="1:17" x14ac:dyDescent="0.35">
      <c r="A27" s="333">
        <f t="shared" si="1"/>
        <v>27</v>
      </c>
      <c r="D27" s="3" t="s">
        <v>36</v>
      </c>
      <c r="E27" s="28"/>
      <c r="F27" s="1" t="s">
        <v>34</v>
      </c>
      <c r="J27" s="67" t="str">
        <f>+IFERROR(E28/J19,"")</f>
        <v/>
      </c>
      <c r="K27" s="1" t="s">
        <v>187</v>
      </c>
      <c r="P27" s="334"/>
      <c r="Q27" s="334"/>
    </row>
    <row r="28" spans="1:17" x14ac:dyDescent="0.35">
      <c r="A28" s="333">
        <f t="shared" si="1"/>
        <v>28</v>
      </c>
      <c r="D28" s="3" t="s">
        <v>40</v>
      </c>
      <c r="E28" s="28"/>
      <c r="F28" s="1" t="s">
        <v>41</v>
      </c>
      <c r="J28" s="68" t="str">
        <f>+IFERROR(E28/(E31),"")</f>
        <v/>
      </c>
      <c r="K28" s="1" t="s">
        <v>516</v>
      </c>
      <c r="P28" s="334"/>
      <c r="Q28" s="334"/>
    </row>
    <row r="29" spans="1:17" x14ac:dyDescent="0.35">
      <c r="A29" s="333">
        <f t="shared" si="1"/>
        <v>29</v>
      </c>
      <c r="J29" s="68" t="str">
        <f>+IFERROR(E32/J19,"")</f>
        <v/>
      </c>
      <c r="K29" s="15" t="s">
        <v>186</v>
      </c>
      <c r="P29" s="334"/>
      <c r="Q29" s="334"/>
    </row>
    <row r="30" spans="1:17" x14ac:dyDescent="0.35">
      <c r="A30" s="333">
        <f t="shared" si="1"/>
        <v>30</v>
      </c>
      <c r="D30" s="3" t="s">
        <v>37</v>
      </c>
      <c r="E30" s="353"/>
      <c r="F30" s="1" t="s">
        <v>38</v>
      </c>
      <c r="J30" s="355" t="str">
        <f>+IFERROR(E28/E32,"")</f>
        <v/>
      </c>
      <c r="K30" s="6" t="s">
        <v>39</v>
      </c>
      <c r="P30" s="334"/>
      <c r="Q30" s="334"/>
    </row>
    <row r="31" spans="1:17" x14ac:dyDescent="0.35">
      <c r="A31" s="333">
        <f t="shared" si="1"/>
        <v>31</v>
      </c>
      <c r="D31" s="7" t="s">
        <v>43</v>
      </c>
      <c r="E31" s="28"/>
      <c r="F31" s="16" t="s">
        <v>518</v>
      </c>
      <c r="J31" s="356" t="str">
        <f>+IFERROR(E28/E33,"")</f>
        <v/>
      </c>
      <c r="K31" s="15" t="s">
        <v>42</v>
      </c>
      <c r="P31" s="334"/>
      <c r="Q31" s="334"/>
    </row>
    <row r="32" spans="1:17" x14ac:dyDescent="0.35">
      <c r="A32" s="333">
        <f t="shared" si="1"/>
        <v>32</v>
      </c>
      <c r="D32" s="3" t="s">
        <v>43</v>
      </c>
      <c r="E32" s="28"/>
      <c r="F32" s="1" t="s">
        <v>41</v>
      </c>
      <c r="M32" s="69"/>
      <c r="P32" s="334"/>
      <c r="Q32" s="334"/>
    </row>
    <row r="33" spans="1:17" ht="17.25" customHeight="1" x14ac:dyDescent="0.35">
      <c r="A33" s="333">
        <f t="shared" si="1"/>
        <v>33</v>
      </c>
      <c r="D33" s="14" t="s">
        <v>44</v>
      </c>
      <c r="E33" s="390"/>
      <c r="M33" s="69"/>
      <c r="P33" s="334"/>
      <c r="Q33" s="334"/>
    </row>
    <row r="34" spans="1:17" x14ac:dyDescent="0.35">
      <c r="A34" s="333">
        <f t="shared" si="1"/>
        <v>34</v>
      </c>
      <c r="P34" s="334"/>
      <c r="Q34" s="334"/>
    </row>
    <row r="35" spans="1:17" x14ac:dyDescent="0.35">
      <c r="A35" s="333">
        <f t="shared" si="1"/>
        <v>35</v>
      </c>
      <c r="B35" s="348" t="s">
        <v>45</v>
      </c>
      <c r="C35" s="348"/>
      <c r="D35" s="348"/>
      <c r="E35" s="348"/>
      <c r="F35" s="348"/>
      <c r="G35" s="348"/>
      <c r="H35" s="349"/>
      <c r="I35" s="349"/>
      <c r="J35" s="349"/>
      <c r="K35" s="349"/>
      <c r="L35" s="349"/>
      <c r="M35" s="349"/>
      <c r="N35" s="350"/>
      <c r="O35" s="350"/>
      <c r="P35" s="334"/>
      <c r="Q35" s="334"/>
    </row>
    <row r="36" spans="1:17" outlineLevel="1" x14ac:dyDescent="0.35">
      <c r="A36" s="333">
        <f t="shared" si="1"/>
        <v>36</v>
      </c>
      <c r="B36" s="8"/>
      <c r="C36" s="8"/>
      <c r="D36" s="17"/>
      <c r="E36" s="8"/>
      <c r="P36" s="334"/>
      <c r="Q36" s="334"/>
    </row>
    <row r="37" spans="1:17" outlineLevel="1" x14ac:dyDescent="0.35">
      <c r="A37" s="333">
        <f t="shared" si="1"/>
        <v>37</v>
      </c>
      <c r="G37" s="358">
        <v>2015</v>
      </c>
      <c r="H37" s="358">
        <f>+G37+1</f>
        <v>2016</v>
      </c>
      <c r="I37" s="358">
        <f>+H37+1</f>
        <v>2017</v>
      </c>
      <c r="P37" s="334"/>
      <c r="Q37" s="334"/>
    </row>
    <row r="38" spans="1:17" outlineLevel="1" x14ac:dyDescent="0.35">
      <c r="A38" s="333">
        <f t="shared" si="1"/>
        <v>38</v>
      </c>
      <c r="G38" s="359" t="s">
        <v>46</v>
      </c>
      <c r="H38" s="360" t="s">
        <v>47</v>
      </c>
      <c r="I38" s="361" t="s">
        <v>48</v>
      </c>
      <c r="P38" s="334"/>
      <c r="Q38" s="334"/>
    </row>
    <row r="39" spans="1:17" outlineLevel="1" x14ac:dyDescent="0.35">
      <c r="A39" s="333">
        <f t="shared" si="1"/>
        <v>39</v>
      </c>
      <c r="G39" s="362"/>
      <c r="H39" s="363" t="s">
        <v>46</v>
      </c>
      <c r="I39" s="364" t="s">
        <v>47</v>
      </c>
      <c r="M39" s="18"/>
      <c r="N39" s="79"/>
      <c r="P39" s="334"/>
      <c r="Q39" s="334"/>
    </row>
    <row r="40" spans="1:17" outlineLevel="1" x14ac:dyDescent="0.35">
      <c r="A40" s="333">
        <f t="shared" si="1"/>
        <v>40</v>
      </c>
      <c r="C40" s="19" t="s">
        <v>49</v>
      </c>
      <c r="D40" s="16"/>
      <c r="P40" s="334"/>
      <c r="Q40" s="334"/>
    </row>
    <row r="41" spans="1:17" outlineLevel="1" x14ac:dyDescent="0.35">
      <c r="A41" s="333">
        <f t="shared" si="1"/>
        <v>41</v>
      </c>
      <c r="C41" s="16"/>
      <c r="D41" s="7" t="s">
        <v>632</v>
      </c>
      <c r="E41" s="391"/>
      <c r="F41" s="1" t="s">
        <v>38</v>
      </c>
      <c r="N41" s="1"/>
      <c r="O41" s="1"/>
      <c r="P41" s="334"/>
      <c r="Q41" s="334"/>
    </row>
    <row r="42" spans="1:17" outlineLevel="1" x14ac:dyDescent="0.35">
      <c r="A42" s="333">
        <f t="shared" si="1"/>
        <v>42</v>
      </c>
      <c r="C42" s="16"/>
      <c r="D42" s="7" t="s">
        <v>633</v>
      </c>
      <c r="E42" s="28"/>
      <c r="F42" s="1" t="s">
        <v>34</v>
      </c>
      <c r="N42" s="1"/>
      <c r="O42" s="1"/>
      <c r="P42" s="334"/>
      <c r="Q42" s="334"/>
    </row>
    <row r="43" spans="1:17" outlineLevel="1" x14ac:dyDescent="0.35">
      <c r="A43" s="333">
        <f t="shared" si="1"/>
        <v>43</v>
      </c>
      <c r="C43" s="20"/>
      <c r="D43" s="20"/>
      <c r="E43" s="21"/>
      <c r="F43" s="21"/>
      <c r="G43" s="21"/>
      <c r="H43" s="21"/>
      <c r="I43" s="21"/>
      <c r="J43" s="21"/>
      <c r="K43" s="21"/>
      <c r="L43" s="21"/>
      <c r="M43" s="21"/>
      <c r="N43" s="21"/>
      <c r="O43" s="1"/>
      <c r="P43" s="334"/>
      <c r="Q43" s="334"/>
    </row>
    <row r="44" spans="1:17" outlineLevel="1" x14ac:dyDescent="0.35">
      <c r="A44" s="333">
        <f t="shared" si="1"/>
        <v>44</v>
      </c>
      <c r="C44" s="19" t="s">
        <v>50</v>
      </c>
      <c r="K44" s="22"/>
      <c r="N44" s="1"/>
      <c r="O44" s="1"/>
      <c r="P44" s="334"/>
      <c r="Q44" s="334"/>
    </row>
    <row r="45" spans="1:17" outlineLevel="1" x14ac:dyDescent="0.35">
      <c r="A45" s="333">
        <f t="shared" si="1"/>
        <v>45</v>
      </c>
      <c r="C45" s="19"/>
      <c r="D45" s="3" t="s">
        <v>634</v>
      </c>
      <c r="E45" s="391"/>
      <c r="F45" s="1" t="s">
        <v>38</v>
      </c>
      <c r="N45" s="1"/>
      <c r="O45" s="1"/>
      <c r="P45" s="334"/>
      <c r="Q45" s="334"/>
    </row>
    <row r="46" spans="1:17" outlineLevel="1" x14ac:dyDescent="0.35">
      <c r="A46" s="333">
        <f t="shared" si="1"/>
        <v>46</v>
      </c>
      <c r="D46" s="3" t="s">
        <v>635</v>
      </c>
      <c r="E46" s="28"/>
      <c r="F46" s="1" t="s">
        <v>34</v>
      </c>
      <c r="N46" s="1"/>
      <c r="O46" s="1"/>
      <c r="P46" s="334"/>
      <c r="Q46" s="334"/>
    </row>
    <row r="47" spans="1:17" outlineLevel="1" x14ac:dyDescent="0.35">
      <c r="A47" s="333">
        <f t="shared" si="1"/>
        <v>47</v>
      </c>
      <c r="C47" s="21"/>
      <c r="D47" s="23"/>
      <c r="E47" s="23"/>
      <c r="F47" s="23"/>
      <c r="G47" s="23"/>
      <c r="H47" s="23"/>
      <c r="I47" s="23"/>
      <c r="J47" s="21"/>
      <c r="K47" s="21"/>
      <c r="L47" s="21"/>
      <c r="M47" s="21"/>
      <c r="N47" s="21"/>
      <c r="O47" s="1"/>
      <c r="P47" s="334"/>
      <c r="Q47" s="334"/>
    </row>
    <row r="48" spans="1:17" outlineLevel="1" x14ac:dyDescent="0.35">
      <c r="A48" s="333">
        <f t="shared" si="1"/>
        <v>48</v>
      </c>
      <c r="C48" s="2" t="s">
        <v>636</v>
      </c>
      <c r="D48" s="3"/>
      <c r="E48" s="3"/>
      <c r="F48" s="3"/>
      <c r="G48" s="3"/>
      <c r="H48" s="3"/>
      <c r="I48" s="3"/>
      <c r="J48" s="3"/>
      <c r="K48" s="3"/>
      <c r="N48" s="1"/>
      <c r="O48" s="1"/>
      <c r="P48" s="334"/>
      <c r="Q48" s="334"/>
    </row>
    <row r="49" spans="1:17" outlineLevel="1" x14ac:dyDescent="0.35">
      <c r="A49" s="333">
        <f t="shared" si="1"/>
        <v>49</v>
      </c>
      <c r="C49" s="2"/>
      <c r="D49" s="7" t="s">
        <v>637</v>
      </c>
      <c r="E49" s="392" t="str">
        <f>IF(E41*E42=0,"",IF(E45*E46=0,"",(E41*(E42/(E42+E46)))+(E45*(E46/(E46+E42)))))</f>
        <v/>
      </c>
      <c r="F49" s="6"/>
      <c r="G49" s="3"/>
      <c r="H49" s="3"/>
      <c r="I49" s="3"/>
      <c r="J49" s="3"/>
      <c r="K49" s="3"/>
      <c r="P49" s="334"/>
      <c r="Q49" s="334"/>
    </row>
    <row r="50" spans="1:17" outlineLevel="1" x14ac:dyDescent="0.35">
      <c r="A50" s="333">
        <f t="shared" si="1"/>
        <v>50</v>
      </c>
      <c r="C50" s="2"/>
      <c r="D50" s="7"/>
      <c r="E50" s="7"/>
      <c r="F50" s="3"/>
      <c r="G50" s="3"/>
      <c r="H50" s="3"/>
      <c r="I50" s="3"/>
      <c r="J50" s="21"/>
      <c r="K50" s="21"/>
      <c r="L50" s="21"/>
      <c r="M50" s="21"/>
      <c r="N50" s="21"/>
      <c r="O50" s="3"/>
      <c r="P50" s="334"/>
      <c r="Q50" s="334"/>
    </row>
    <row r="51" spans="1:17" outlineLevel="1" x14ac:dyDescent="0.35">
      <c r="A51" s="333">
        <f t="shared" si="1"/>
        <v>51</v>
      </c>
      <c r="C51" s="24" t="s">
        <v>512</v>
      </c>
      <c r="D51" s="25"/>
      <c r="E51" s="25"/>
      <c r="F51" s="26"/>
      <c r="G51" s="26"/>
      <c r="H51" s="26"/>
      <c r="I51" s="26"/>
      <c r="J51" s="26"/>
      <c r="K51" s="26"/>
      <c r="P51" s="334"/>
      <c r="Q51" s="334"/>
    </row>
    <row r="52" spans="1:17" outlineLevel="1" x14ac:dyDescent="0.35">
      <c r="A52" s="333">
        <f t="shared" si="1"/>
        <v>52</v>
      </c>
      <c r="C52" s="2"/>
      <c r="D52" s="7" t="s">
        <v>639</v>
      </c>
      <c r="E52" s="391"/>
      <c r="F52" s="1" t="s">
        <v>38</v>
      </c>
      <c r="G52" s="3"/>
      <c r="I52" s="3" t="s">
        <v>638</v>
      </c>
      <c r="J52" s="353"/>
      <c r="K52" s="1" t="s">
        <v>38</v>
      </c>
      <c r="P52" s="334"/>
      <c r="Q52" s="334"/>
    </row>
    <row r="53" spans="1:17" outlineLevel="1" x14ac:dyDescent="0.35">
      <c r="A53" s="333">
        <f t="shared" si="1"/>
        <v>53</v>
      </c>
      <c r="C53" s="16"/>
      <c r="D53" s="7" t="s">
        <v>640</v>
      </c>
      <c r="E53" s="391"/>
      <c r="F53" s="1" t="s">
        <v>38</v>
      </c>
      <c r="G53" s="8" t="str">
        <f>+IF(E53="","",IF(E52&gt;E53,"ERROR! No puede ser el destete mayor a la preñez",""))</f>
        <v/>
      </c>
      <c r="I53" s="14" t="s">
        <v>51</v>
      </c>
      <c r="J53" s="365"/>
      <c r="K53" s="1" t="s">
        <v>52</v>
      </c>
      <c r="P53" s="334"/>
      <c r="Q53" s="334"/>
    </row>
    <row r="54" spans="1:17" outlineLevel="1" x14ac:dyDescent="0.35">
      <c r="A54" s="333">
        <f t="shared" si="1"/>
        <v>54</v>
      </c>
      <c r="C54" s="16"/>
      <c r="D54" s="7" t="s">
        <v>643</v>
      </c>
      <c r="E54" s="367"/>
      <c r="H54" s="3"/>
      <c r="I54" s="3" t="s">
        <v>642</v>
      </c>
      <c r="J54" s="353"/>
      <c r="K54" s="1" t="s">
        <v>38</v>
      </c>
      <c r="P54" s="334"/>
      <c r="Q54" s="334"/>
    </row>
    <row r="55" spans="1:17" outlineLevel="1" x14ac:dyDescent="0.35">
      <c r="A55" s="333">
        <f t="shared" si="1"/>
        <v>55</v>
      </c>
      <c r="C55" s="16"/>
      <c r="D55" s="7" t="s">
        <v>641</v>
      </c>
      <c r="E55" s="367"/>
      <c r="F55" s="1" t="s">
        <v>34</v>
      </c>
      <c r="H55" s="3"/>
      <c r="P55" s="334"/>
      <c r="Q55" s="334"/>
    </row>
    <row r="56" spans="1:17" outlineLevel="1" x14ac:dyDescent="0.35">
      <c r="A56" s="333">
        <f t="shared" si="1"/>
        <v>56</v>
      </c>
      <c r="I56" s="2" t="s">
        <v>645</v>
      </c>
      <c r="J56" s="2" t="s">
        <v>646</v>
      </c>
      <c r="P56" s="334"/>
      <c r="Q56" s="334"/>
    </row>
    <row r="57" spans="1:17" outlineLevel="1" x14ac:dyDescent="0.35">
      <c r="A57" s="333">
        <f t="shared" si="1"/>
        <v>57</v>
      </c>
      <c r="D57" s="3" t="s">
        <v>58</v>
      </c>
      <c r="E57" s="28"/>
      <c r="F57" s="1" t="s">
        <v>59</v>
      </c>
      <c r="H57" s="3" t="s">
        <v>647</v>
      </c>
      <c r="I57" s="389"/>
      <c r="J57" s="366"/>
      <c r="P57" s="334"/>
      <c r="Q57" s="334"/>
    </row>
    <row r="58" spans="1:17" outlineLevel="1" x14ac:dyDescent="0.35">
      <c r="A58" s="333">
        <f t="shared" si="1"/>
        <v>58</v>
      </c>
      <c r="D58" s="3" t="s">
        <v>644</v>
      </c>
      <c r="E58" s="28"/>
      <c r="H58" s="3" t="s">
        <v>648</v>
      </c>
      <c r="I58" s="389"/>
      <c r="J58" s="366"/>
      <c r="P58" s="334"/>
      <c r="Q58" s="334"/>
    </row>
    <row r="59" spans="1:17" outlineLevel="1" x14ac:dyDescent="0.35">
      <c r="A59" s="333">
        <f t="shared" si="1"/>
        <v>59</v>
      </c>
      <c r="F59" s="27"/>
      <c r="G59" s="27"/>
      <c r="P59" s="334"/>
      <c r="Q59" s="334"/>
    </row>
    <row r="60" spans="1:17" outlineLevel="1" x14ac:dyDescent="0.35">
      <c r="A60" s="333">
        <f t="shared" si="1"/>
        <v>60</v>
      </c>
      <c r="C60" s="59" t="s">
        <v>192</v>
      </c>
      <c r="D60" s="27"/>
      <c r="E60" s="18" t="s">
        <v>189</v>
      </c>
      <c r="F60" s="18" t="s">
        <v>190</v>
      </c>
      <c r="G60" s="18" t="s">
        <v>191</v>
      </c>
      <c r="H60" s="18" t="s">
        <v>113</v>
      </c>
      <c r="I60" s="18" t="s">
        <v>193</v>
      </c>
      <c r="P60" s="334"/>
      <c r="Q60" s="334"/>
    </row>
    <row r="61" spans="1:17" outlineLevel="1" x14ac:dyDescent="0.35">
      <c r="A61" s="333">
        <f t="shared" si="1"/>
        <v>61</v>
      </c>
      <c r="D61" s="3" t="s">
        <v>188</v>
      </c>
      <c r="E61" s="28"/>
      <c r="F61" s="28"/>
      <c r="G61" s="28"/>
      <c r="H61" s="28"/>
      <c r="I61" s="28"/>
      <c r="P61" s="334"/>
      <c r="Q61" s="334"/>
    </row>
    <row r="62" spans="1:17" x14ac:dyDescent="0.35">
      <c r="A62" s="333">
        <f t="shared" si="1"/>
        <v>62</v>
      </c>
      <c r="P62" s="334"/>
      <c r="Q62" s="334"/>
    </row>
    <row r="63" spans="1:17" x14ac:dyDescent="0.35">
      <c r="A63" s="333">
        <f t="shared" si="1"/>
        <v>63</v>
      </c>
      <c r="B63" s="348" t="s">
        <v>60</v>
      </c>
      <c r="C63" s="348"/>
      <c r="D63" s="348"/>
      <c r="E63" s="348"/>
      <c r="F63" s="348"/>
      <c r="G63" s="348"/>
      <c r="H63" s="349"/>
      <c r="I63" s="349"/>
      <c r="J63" s="349"/>
      <c r="K63" s="349"/>
      <c r="L63" s="349"/>
      <c r="M63" s="349"/>
      <c r="N63" s="350"/>
      <c r="O63" s="350"/>
      <c r="P63" s="334"/>
      <c r="Q63" s="334"/>
    </row>
    <row r="64" spans="1:17" outlineLevel="2" x14ac:dyDescent="0.35">
      <c r="A64" s="333">
        <f t="shared" si="1"/>
        <v>64</v>
      </c>
      <c r="B64" s="8"/>
      <c r="C64" s="354" t="s">
        <v>513</v>
      </c>
      <c r="D64" s="17"/>
      <c r="E64" s="8"/>
      <c r="L64" s="368"/>
      <c r="M64" s="368"/>
      <c r="N64" s="369"/>
      <c r="O64" s="369"/>
      <c r="P64" s="334"/>
      <c r="Q64" s="334"/>
    </row>
    <row r="65" spans="1:17" outlineLevel="2" x14ac:dyDescent="0.35">
      <c r="A65" s="333">
        <f t="shared" si="1"/>
        <v>65</v>
      </c>
      <c r="C65" s="370" t="s">
        <v>574</v>
      </c>
      <c r="N65" s="1"/>
      <c r="P65" s="334"/>
      <c r="Q65" s="334"/>
    </row>
    <row r="66" spans="1:17" outlineLevel="2" x14ac:dyDescent="0.35">
      <c r="A66" s="333">
        <f t="shared" si="1"/>
        <v>66</v>
      </c>
      <c r="N66" s="1"/>
      <c r="O66" s="1"/>
      <c r="P66" s="334"/>
      <c r="Q66" s="334"/>
    </row>
    <row r="67" spans="1:17" outlineLevel="2" x14ac:dyDescent="0.35">
      <c r="A67" s="333">
        <f t="shared" ref="A67:A130" si="2">+A66+1</f>
        <v>67</v>
      </c>
      <c r="C67" s="60"/>
      <c r="D67" s="60" t="s">
        <v>61</v>
      </c>
      <c r="H67" s="29" t="s">
        <v>567</v>
      </c>
      <c r="I67" s="29"/>
      <c r="N67" s="1"/>
      <c r="O67" s="1"/>
      <c r="P67" s="334"/>
      <c r="Q67" s="334"/>
    </row>
    <row r="68" spans="1:17" outlineLevel="2" x14ac:dyDescent="0.35">
      <c r="A68" s="333">
        <f t="shared" si="2"/>
        <v>68</v>
      </c>
      <c r="D68" s="3" t="s">
        <v>40</v>
      </c>
      <c r="E68" s="28"/>
      <c r="F68" s="1" t="s">
        <v>41</v>
      </c>
      <c r="I68" s="3" t="s">
        <v>40</v>
      </c>
      <c r="J68" s="28"/>
      <c r="K68" s="1" t="s">
        <v>41</v>
      </c>
      <c r="O68" s="1"/>
      <c r="P68" s="334"/>
      <c r="Q68" s="334"/>
    </row>
    <row r="69" spans="1:17" outlineLevel="2" x14ac:dyDescent="0.35">
      <c r="A69" s="333">
        <f t="shared" si="2"/>
        <v>69</v>
      </c>
      <c r="D69" s="3"/>
      <c r="I69" s="3"/>
      <c r="P69" s="334"/>
      <c r="Q69" s="334"/>
    </row>
    <row r="70" spans="1:17" outlineLevel="2" x14ac:dyDescent="0.35">
      <c r="A70" s="333">
        <f t="shared" si="2"/>
        <v>70</v>
      </c>
      <c r="D70" s="7" t="s">
        <v>43</v>
      </c>
      <c r="E70" s="28"/>
      <c r="F70" s="16" t="s">
        <v>518</v>
      </c>
      <c r="I70" s="7" t="s">
        <v>43</v>
      </c>
      <c r="J70" s="28"/>
      <c r="K70" s="16" t="s">
        <v>518</v>
      </c>
      <c r="P70" s="334"/>
      <c r="Q70" s="334"/>
    </row>
    <row r="71" spans="1:17" outlineLevel="2" x14ac:dyDescent="0.35">
      <c r="A71" s="333">
        <f t="shared" si="2"/>
        <v>71</v>
      </c>
      <c r="D71" s="3" t="s">
        <v>43</v>
      </c>
      <c r="E71" s="28"/>
      <c r="F71" s="1" t="s">
        <v>41</v>
      </c>
      <c r="I71" s="3" t="s">
        <v>43</v>
      </c>
      <c r="J71" s="28"/>
      <c r="K71" s="1" t="s">
        <v>41</v>
      </c>
      <c r="P71" s="334"/>
      <c r="Q71" s="334"/>
    </row>
    <row r="72" spans="1:17" outlineLevel="2" x14ac:dyDescent="0.35">
      <c r="A72" s="333">
        <f t="shared" si="2"/>
        <v>72</v>
      </c>
      <c r="D72" s="371" t="s">
        <v>194</v>
      </c>
      <c r="E72" s="357"/>
      <c r="F72" s="1" t="s">
        <v>62</v>
      </c>
      <c r="I72" s="371" t="s">
        <v>194</v>
      </c>
      <c r="J72" s="357"/>
      <c r="K72" s="1" t="s">
        <v>62</v>
      </c>
      <c r="P72" s="334"/>
      <c r="Q72" s="334"/>
    </row>
    <row r="73" spans="1:17" outlineLevel="2" x14ac:dyDescent="0.35">
      <c r="A73" s="333">
        <f t="shared" si="2"/>
        <v>73</v>
      </c>
      <c r="D73" s="372" t="s">
        <v>68</v>
      </c>
      <c r="E73" s="373" t="e">
        <f>+E68/E70/365</f>
        <v>#DIV/0!</v>
      </c>
      <c r="F73" s="1" t="s">
        <v>69</v>
      </c>
      <c r="I73" s="372" t="s">
        <v>68</v>
      </c>
      <c r="J73" s="373" t="e">
        <f>+J68/J70/365</f>
        <v>#DIV/0!</v>
      </c>
      <c r="K73" s="1" t="s">
        <v>69</v>
      </c>
      <c r="P73" s="334"/>
      <c r="Q73" s="334"/>
    </row>
    <row r="74" spans="1:17" outlineLevel="2" x14ac:dyDescent="0.35">
      <c r="A74" s="333">
        <f t="shared" si="2"/>
        <v>74</v>
      </c>
      <c r="D74" s="372" t="s">
        <v>39</v>
      </c>
      <c r="E74" s="373" t="e">
        <f>E68/E71</f>
        <v>#DIV/0!</v>
      </c>
      <c r="I74" s="372" t="s">
        <v>39</v>
      </c>
      <c r="J74" s="373" t="e">
        <f>+J68/J71</f>
        <v>#DIV/0!</v>
      </c>
      <c r="P74" s="334"/>
      <c r="Q74" s="334"/>
    </row>
    <row r="75" spans="1:17" outlineLevel="2" x14ac:dyDescent="0.35">
      <c r="A75" s="333">
        <f t="shared" si="2"/>
        <v>75</v>
      </c>
      <c r="D75" s="14" t="s">
        <v>519</v>
      </c>
      <c r="E75" s="374" t="e">
        <f>+E68/E70</f>
        <v>#DIV/0!</v>
      </c>
      <c r="I75" s="14" t="s">
        <v>519</v>
      </c>
      <c r="J75" s="374" t="e">
        <f>+J68/J70</f>
        <v>#DIV/0!</v>
      </c>
      <c r="P75" s="334"/>
      <c r="Q75" s="334"/>
    </row>
    <row r="76" spans="1:17" outlineLevel="2" x14ac:dyDescent="0.35">
      <c r="A76" s="333">
        <f t="shared" si="2"/>
        <v>76</v>
      </c>
      <c r="P76" s="334"/>
      <c r="Q76" s="334"/>
    </row>
    <row r="77" spans="1:17" outlineLevel="2" x14ac:dyDescent="0.35">
      <c r="A77" s="333">
        <f t="shared" si="2"/>
        <v>77</v>
      </c>
      <c r="C77" s="308" t="s">
        <v>573</v>
      </c>
      <c r="H77" s="308" t="s">
        <v>572</v>
      </c>
      <c r="P77" s="334"/>
      <c r="Q77" s="334"/>
    </row>
    <row r="78" spans="1:17" outlineLevel="2" x14ac:dyDescent="0.35">
      <c r="A78" s="333">
        <f t="shared" si="2"/>
        <v>78</v>
      </c>
      <c r="C78" s="309" t="s">
        <v>565</v>
      </c>
      <c r="H78" s="309" t="s">
        <v>565</v>
      </c>
      <c r="P78" s="334"/>
      <c r="Q78" s="334"/>
    </row>
    <row r="79" spans="1:17" outlineLevel="2" x14ac:dyDescent="0.35">
      <c r="A79" s="333">
        <f t="shared" si="2"/>
        <v>79</v>
      </c>
      <c r="D79" s="1" t="s">
        <v>522</v>
      </c>
      <c r="E79" s="375"/>
      <c r="I79" s="1" t="s">
        <v>522</v>
      </c>
      <c r="J79" s="375"/>
      <c r="P79" s="334"/>
      <c r="Q79" s="334"/>
    </row>
    <row r="80" spans="1:17" outlineLevel="2" x14ac:dyDescent="0.35">
      <c r="A80" s="333">
        <f t="shared" si="2"/>
        <v>80</v>
      </c>
      <c r="I80" s="14" t="s">
        <v>566</v>
      </c>
      <c r="J80" s="28"/>
      <c r="P80" s="334"/>
      <c r="Q80" s="334"/>
    </row>
    <row r="81" spans="1:17" outlineLevel="2" x14ac:dyDescent="0.35">
      <c r="A81" s="333">
        <f t="shared" si="2"/>
        <v>81</v>
      </c>
      <c r="D81" s="1" t="s">
        <v>520</v>
      </c>
      <c r="E81" s="28"/>
      <c r="F81" s="1" t="s">
        <v>59</v>
      </c>
      <c r="I81" s="1" t="s">
        <v>520</v>
      </c>
      <c r="J81" s="28"/>
      <c r="K81" s="1" t="s">
        <v>59</v>
      </c>
      <c r="P81" s="334"/>
      <c r="Q81" s="334"/>
    </row>
    <row r="82" spans="1:17" outlineLevel="2" x14ac:dyDescent="0.35">
      <c r="A82" s="333">
        <f t="shared" si="2"/>
        <v>82</v>
      </c>
      <c r="D82" s="1" t="s">
        <v>521</v>
      </c>
      <c r="E82" s="28"/>
      <c r="F82" s="1" t="s">
        <v>59</v>
      </c>
      <c r="I82" s="1" t="s">
        <v>521</v>
      </c>
      <c r="J82" s="28"/>
      <c r="K82" s="1" t="s">
        <v>59</v>
      </c>
      <c r="P82" s="334"/>
      <c r="Q82" s="334"/>
    </row>
    <row r="83" spans="1:17" outlineLevel="2" x14ac:dyDescent="0.35">
      <c r="A83" s="333">
        <f t="shared" si="2"/>
        <v>83</v>
      </c>
      <c r="D83" s="372" t="s">
        <v>523</v>
      </c>
      <c r="E83" s="376"/>
      <c r="I83" s="372" t="s">
        <v>523</v>
      </c>
      <c r="J83" s="376"/>
      <c r="P83" s="334"/>
      <c r="Q83" s="334"/>
    </row>
    <row r="84" spans="1:17" outlineLevel="2" x14ac:dyDescent="0.35">
      <c r="A84" s="333">
        <f t="shared" si="2"/>
        <v>84</v>
      </c>
      <c r="D84" s="372" t="s">
        <v>66</v>
      </c>
      <c r="E84" s="377"/>
      <c r="F84" s="1" t="s">
        <v>67</v>
      </c>
      <c r="I84" s="372" t="s">
        <v>66</v>
      </c>
      <c r="J84" s="377"/>
      <c r="K84" s="1" t="s">
        <v>67</v>
      </c>
      <c r="P84" s="334"/>
      <c r="Q84" s="334"/>
    </row>
    <row r="85" spans="1:17" outlineLevel="2" x14ac:dyDescent="0.35">
      <c r="A85" s="333">
        <f t="shared" si="2"/>
        <v>85</v>
      </c>
      <c r="D85" s="378"/>
      <c r="E85" s="3"/>
      <c r="F85" s="379"/>
      <c r="G85" s="16"/>
      <c r="H85" s="16"/>
      <c r="I85" s="16"/>
      <c r="J85" s="7"/>
      <c r="K85" s="379"/>
      <c r="P85" s="334"/>
      <c r="Q85" s="334"/>
    </row>
    <row r="86" spans="1:17" x14ac:dyDescent="0.35">
      <c r="A86" s="333">
        <f t="shared" si="2"/>
        <v>86</v>
      </c>
      <c r="B86" s="348" t="s">
        <v>70</v>
      </c>
      <c r="C86" s="348"/>
      <c r="D86" s="348"/>
      <c r="E86" s="348"/>
      <c r="F86" s="348"/>
      <c r="G86" s="348"/>
      <c r="H86" s="349"/>
      <c r="I86" s="349"/>
      <c r="J86" s="349"/>
      <c r="K86" s="349"/>
      <c r="L86" s="349"/>
      <c r="M86" s="349"/>
      <c r="N86" s="350"/>
      <c r="O86" s="350"/>
      <c r="P86" s="334"/>
      <c r="Q86" s="334"/>
    </row>
    <row r="87" spans="1:17" outlineLevel="1" x14ac:dyDescent="0.35">
      <c r="A87" s="333">
        <f t="shared" si="2"/>
        <v>87</v>
      </c>
      <c r="B87" s="8"/>
      <c r="C87" s="354" t="s">
        <v>71</v>
      </c>
      <c r="D87" s="17"/>
      <c r="E87" s="8"/>
      <c r="F87" s="380"/>
      <c r="G87" s="380"/>
      <c r="H87" s="368"/>
      <c r="I87" s="368"/>
      <c r="J87" s="368"/>
      <c r="K87" s="368"/>
      <c r="L87" s="368"/>
      <c r="M87" s="368"/>
      <c r="N87" s="369"/>
      <c r="O87" s="369"/>
      <c r="P87" s="334"/>
      <c r="Q87" s="334"/>
    </row>
    <row r="88" spans="1:17" outlineLevel="1" x14ac:dyDescent="0.35">
      <c r="A88" s="333">
        <f t="shared" si="2"/>
        <v>88</v>
      </c>
      <c r="B88" s="380"/>
      <c r="D88" s="380"/>
      <c r="E88" s="380"/>
      <c r="F88" s="380"/>
      <c r="G88" s="380"/>
      <c r="H88" s="368"/>
      <c r="I88" s="368"/>
      <c r="J88" s="368"/>
      <c r="K88" s="368"/>
      <c r="L88" s="368"/>
      <c r="M88" s="368"/>
      <c r="N88" s="369"/>
      <c r="O88" s="369"/>
      <c r="P88" s="334"/>
      <c r="Q88" s="334"/>
    </row>
    <row r="89" spans="1:17" outlineLevel="1" x14ac:dyDescent="0.35">
      <c r="A89" s="333">
        <f t="shared" si="2"/>
        <v>89</v>
      </c>
      <c r="B89" s="380"/>
      <c r="C89" s="354"/>
      <c r="D89" s="380"/>
      <c r="E89" s="380"/>
      <c r="F89" s="380"/>
      <c r="G89" s="381" t="s">
        <v>72</v>
      </c>
      <c r="H89" s="382"/>
      <c r="I89" s="368"/>
      <c r="J89" s="368"/>
      <c r="K89" s="368"/>
      <c r="L89" s="368"/>
      <c r="M89" s="368"/>
      <c r="N89" s="369"/>
      <c r="O89" s="369"/>
      <c r="P89" s="334"/>
    </row>
    <row r="90" spans="1:17" outlineLevel="1" x14ac:dyDescent="0.35">
      <c r="A90" s="333">
        <f t="shared" si="2"/>
        <v>90</v>
      </c>
      <c r="B90" s="380"/>
      <c r="C90" s="354" t="s">
        <v>661</v>
      </c>
      <c r="D90" s="380"/>
      <c r="E90" s="380"/>
      <c r="F90" s="380"/>
      <c r="G90" s="381" t="s">
        <v>73</v>
      </c>
      <c r="H90" s="383"/>
      <c r="I90" s="368"/>
      <c r="J90" s="368"/>
      <c r="K90" s="368"/>
      <c r="L90" s="368"/>
      <c r="M90" s="368"/>
      <c r="N90" s="369"/>
      <c r="O90" s="369"/>
      <c r="P90" s="334"/>
    </row>
    <row r="91" spans="1:17" outlineLevel="1" x14ac:dyDescent="0.35">
      <c r="A91" s="333">
        <f t="shared" si="2"/>
        <v>91</v>
      </c>
      <c r="P91" s="334"/>
    </row>
    <row r="92" spans="1:17" outlineLevel="1" x14ac:dyDescent="0.35">
      <c r="A92" s="333">
        <f t="shared" si="2"/>
        <v>92</v>
      </c>
      <c r="D92" s="29" t="s">
        <v>74</v>
      </c>
      <c r="G92" s="30"/>
      <c r="H92" s="31"/>
      <c r="I92" s="29" t="s">
        <v>75</v>
      </c>
      <c r="P92" s="334"/>
    </row>
    <row r="93" spans="1:17" outlineLevel="1" x14ac:dyDescent="0.35">
      <c r="A93" s="333">
        <f t="shared" si="2"/>
        <v>93</v>
      </c>
      <c r="D93" s="371"/>
      <c r="G93" s="30"/>
      <c r="H93" s="31"/>
      <c r="P93" s="334"/>
    </row>
    <row r="94" spans="1:17" outlineLevel="1" x14ac:dyDescent="0.35">
      <c r="A94" s="333">
        <f t="shared" si="2"/>
        <v>94</v>
      </c>
      <c r="D94" s="372" t="s">
        <v>63</v>
      </c>
      <c r="E94" s="28"/>
      <c r="F94" s="1" t="s">
        <v>64</v>
      </c>
      <c r="G94" s="30"/>
      <c r="I94" s="3" t="s">
        <v>40</v>
      </c>
      <c r="J94" s="28"/>
      <c r="K94" s="1" t="s">
        <v>41</v>
      </c>
      <c r="M94" s="10"/>
      <c r="P94" s="334"/>
    </row>
    <row r="95" spans="1:17" ht="18" customHeight="1" outlineLevel="1" x14ac:dyDescent="0.35">
      <c r="A95" s="333">
        <f t="shared" si="2"/>
        <v>95</v>
      </c>
      <c r="D95" s="3"/>
      <c r="E95" s="3"/>
      <c r="G95" s="30"/>
      <c r="I95" s="3"/>
      <c r="M95" s="10"/>
      <c r="P95" s="334"/>
    </row>
    <row r="96" spans="1:17" outlineLevel="1" x14ac:dyDescent="0.35">
      <c r="A96" s="333">
        <f t="shared" si="2"/>
        <v>96</v>
      </c>
      <c r="D96" s="14" t="s">
        <v>519</v>
      </c>
      <c r="E96" s="28"/>
      <c r="F96" s="1" t="s">
        <v>655</v>
      </c>
      <c r="G96" s="30"/>
      <c r="I96" s="14" t="s">
        <v>519</v>
      </c>
      <c r="J96" s="28"/>
      <c r="K96" s="16" t="s">
        <v>518</v>
      </c>
      <c r="M96" s="10"/>
      <c r="P96" s="334"/>
    </row>
    <row r="97" spans="1:17 16382:16382" outlineLevel="1" x14ac:dyDescent="0.35">
      <c r="A97" s="333">
        <f t="shared" si="2"/>
        <v>97</v>
      </c>
      <c r="D97" s="372" t="s">
        <v>660</v>
      </c>
      <c r="E97" s="397"/>
      <c r="F97" s="1" t="s">
        <v>69</v>
      </c>
      <c r="G97" s="30"/>
      <c r="I97" s="372" t="s">
        <v>660</v>
      </c>
      <c r="J97" s="397"/>
      <c r="K97" s="1" t="s">
        <v>41</v>
      </c>
      <c r="P97" s="334"/>
    </row>
    <row r="98" spans="1:17 16382:16382" outlineLevel="1" x14ac:dyDescent="0.35">
      <c r="A98" s="333">
        <f t="shared" si="2"/>
        <v>98</v>
      </c>
      <c r="D98" s="371" t="s">
        <v>194</v>
      </c>
      <c r="E98" s="357"/>
      <c r="F98" s="1" t="s">
        <v>62</v>
      </c>
      <c r="G98" s="30"/>
      <c r="I98" s="371" t="s">
        <v>194</v>
      </c>
      <c r="J98" s="357"/>
      <c r="K98" s="1" t="s">
        <v>62</v>
      </c>
      <c r="P98" s="334"/>
    </row>
    <row r="99" spans="1:17 16382:16382" outlineLevel="1" x14ac:dyDescent="0.35">
      <c r="A99" s="333">
        <f t="shared" si="2"/>
        <v>99</v>
      </c>
      <c r="D99" s="372" t="s">
        <v>76</v>
      </c>
      <c r="E99" s="357"/>
      <c r="F99" s="1" t="s">
        <v>77</v>
      </c>
      <c r="G99" s="30"/>
      <c r="I99" s="372" t="s">
        <v>76</v>
      </c>
      <c r="J99" s="357"/>
      <c r="K99" s="1" t="s">
        <v>77</v>
      </c>
      <c r="P99" s="334"/>
    </row>
    <row r="100" spans="1:17 16382:16382" outlineLevel="1" x14ac:dyDescent="0.35">
      <c r="A100" s="333">
        <f t="shared" si="2"/>
        <v>100</v>
      </c>
      <c r="D100" s="372"/>
      <c r="E100" s="372"/>
      <c r="F100" s="372"/>
      <c r="G100" s="30"/>
      <c r="P100" s="334"/>
    </row>
    <row r="101" spans="1:17 16382:16382" outlineLevel="1" x14ac:dyDescent="0.35">
      <c r="A101" s="333">
        <f t="shared" si="2"/>
        <v>101</v>
      </c>
      <c r="C101" s="10"/>
      <c r="D101" s="14" t="s">
        <v>551</v>
      </c>
      <c r="E101" s="393" t="e">
        <f>+E99/E94</f>
        <v>#DIV/0!</v>
      </c>
      <c r="F101" s="372"/>
      <c r="G101" s="30"/>
      <c r="I101" s="14" t="s">
        <v>551</v>
      </c>
      <c r="J101" s="393" t="e">
        <f>+J99/J94</f>
        <v>#DIV/0!</v>
      </c>
      <c r="P101" s="334"/>
    </row>
    <row r="102" spans="1:17 16382:16382" outlineLevel="1" x14ac:dyDescent="0.35">
      <c r="A102" s="333">
        <f t="shared" si="2"/>
        <v>102</v>
      </c>
      <c r="D102" s="372"/>
      <c r="G102" s="30"/>
      <c r="P102" s="334"/>
    </row>
    <row r="103" spans="1:17 16382:16382" outlineLevel="1" x14ac:dyDescent="0.35">
      <c r="A103" s="333">
        <f t="shared" si="2"/>
        <v>103</v>
      </c>
      <c r="G103" s="30"/>
      <c r="P103" s="334"/>
    </row>
    <row r="104" spans="1:17 16382:16382" outlineLevel="1" x14ac:dyDescent="0.35">
      <c r="A104" s="333">
        <f t="shared" si="2"/>
        <v>104</v>
      </c>
      <c r="D104" s="308" t="s">
        <v>563</v>
      </c>
      <c r="G104" s="30"/>
      <c r="P104" s="334"/>
    </row>
    <row r="105" spans="1:17 16382:16382" outlineLevel="1" x14ac:dyDescent="0.35">
      <c r="A105" s="333">
        <f t="shared" si="2"/>
        <v>105</v>
      </c>
      <c r="C105" s="309" t="s">
        <v>564</v>
      </c>
      <c r="D105" s="308"/>
      <c r="G105" s="30"/>
      <c r="I105" s="308" t="s">
        <v>568</v>
      </c>
      <c r="P105" s="334"/>
    </row>
    <row r="106" spans="1:17 16382:16382" outlineLevel="2" x14ac:dyDescent="0.35">
      <c r="A106" s="333">
        <f t="shared" si="2"/>
        <v>106</v>
      </c>
      <c r="B106" s="309"/>
      <c r="G106" s="30"/>
      <c r="H106" s="1" t="s">
        <v>564</v>
      </c>
      <c r="P106" s="334"/>
      <c r="Q106" s="334"/>
    </row>
    <row r="107" spans="1:17 16382:16382" outlineLevel="1" x14ac:dyDescent="0.35">
      <c r="A107" s="333">
        <f t="shared" si="2"/>
        <v>107</v>
      </c>
      <c r="D107" s="1" t="s">
        <v>522</v>
      </c>
      <c r="E107" s="375"/>
      <c r="G107" s="30"/>
      <c r="I107" s="1" t="s">
        <v>522</v>
      </c>
      <c r="J107" s="375"/>
      <c r="P107" s="334"/>
      <c r="XFB107" s="1"/>
    </row>
    <row r="108" spans="1:17 16382:16382" outlineLevel="1" x14ac:dyDescent="0.35">
      <c r="A108" s="333">
        <f t="shared" si="2"/>
        <v>108</v>
      </c>
      <c r="G108" s="30"/>
      <c r="I108" s="14" t="s">
        <v>566</v>
      </c>
      <c r="J108" s="28"/>
      <c r="P108" s="334"/>
      <c r="XFB108" s="1"/>
    </row>
    <row r="109" spans="1:17 16382:16382" outlineLevel="1" x14ac:dyDescent="0.35">
      <c r="A109" s="333">
        <f t="shared" si="2"/>
        <v>109</v>
      </c>
      <c r="D109" s="1" t="s">
        <v>520</v>
      </c>
      <c r="E109" s="28"/>
      <c r="F109" s="1" t="s">
        <v>59</v>
      </c>
      <c r="G109" s="30"/>
      <c r="I109" s="1" t="s">
        <v>520</v>
      </c>
      <c r="J109" s="28"/>
      <c r="K109" s="1" t="s">
        <v>59</v>
      </c>
      <c r="P109" s="334"/>
    </row>
    <row r="110" spans="1:17 16382:16382" outlineLevel="1" x14ac:dyDescent="0.35">
      <c r="A110" s="333">
        <f t="shared" si="2"/>
        <v>110</v>
      </c>
      <c r="D110" s="1" t="s">
        <v>521</v>
      </c>
      <c r="E110" s="28"/>
      <c r="F110" s="1" t="s">
        <v>59</v>
      </c>
      <c r="G110" s="30"/>
      <c r="I110" s="1" t="s">
        <v>521</v>
      </c>
      <c r="J110" s="28"/>
      <c r="K110" s="1" t="s">
        <v>59</v>
      </c>
      <c r="P110" s="334"/>
    </row>
    <row r="111" spans="1:17 16382:16382" ht="15" customHeight="1" outlineLevel="1" x14ac:dyDescent="0.35">
      <c r="A111" s="333">
        <f t="shared" si="2"/>
        <v>111</v>
      </c>
      <c r="G111" s="30"/>
      <c r="P111" s="334"/>
    </row>
    <row r="112" spans="1:17 16382:16382" ht="15" customHeight="1" outlineLevel="1" x14ac:dyDescent="0.35">
      <c r="A112" s="333">
        <f t="shared" si="2"/>
        <v>112</v>
      </c>
      <c r="C112" s="10"/>
      <c r="D112" s="384" t="s">
        <v>540</v>
      </c>
      <c r="E112" s="1" t="s">
        <v>67</v>
      </c>
      <c r="G112" s="30"/>
      <c r="I112" s="384" t="s">
        <v>540</v>
      </c>
      <c r="J112" s="1" t="s">
        <v>67</v>
      </c>
      <c r="P112" s="334"/>
    </row>
    <row r="113" spans="1:16" outlineLevel="1" x14ac:dyDescent="0.35">
      <c r="A113" s="333">
        <f t="shared" si="2"/>
        <v>113</v>
      </c>
      <c r="D113" s="372" t="s">
        <v>78</v>
      </c>
      <c r="E113" s="385"/>
      <c r="G113" s="30"/>
      <c r="I113" s="372" t="s">
        <v>78</v>
      </c>
      <c r="J113" s="385"/>
      <c r="P113" s="334"/>
    </row>
    <row r="114" spans="1:16" outlineLevel="1" x14ac:dyDescent="0.35">
      <c r="A114" s="333">
        <f t="shared" si="2"/>
        <v>114</v>
      </c>
      <c r="D114" s="14" t="s">
        <v>79</v>
      </c>
      <c r="E114" s="385"/>
      <c r="G114" s="30"/>
      <c r="I114" s="14" t="s">
        <v>79</v>
      </c>
      <c r="J114" s="385"/>
      <c r="P114" s="334"/>
    </row>
    <row r="115" spans="1:16" outlineLevel="1" x14ac:dyDescent="0.35">
      <c r="A115" s="333">
        <f t="shared" si="2"/>
        <v>115</v>
      </c>
      <c r="D115" s="14" t="s">
        <v>80</v>
      </c>
      <c r="E115" s="385"/>
      <c r="G115" s="30"/>
      <c r="I115" s="14" t="s">
        <v>80</v>
      </c>
      <c r="J115" s="385"/>
      <c r="P115" s="334"/>
    </row>
    <row r="116" spans="1:16" outlineLevel="1" x14ac:dyDescent="0.35">
      <c r="A116" s="333">
        <f t="shared" si="2"/>
        <v>116</v>
      </c>
      <c r="D116" s="14" t="s">
        <v>81</v>
      </c>
      <c r="E116" s="385"/>
      <c r="G116" s="30"/>
      <c r="I116" s="14" t="s">
        <v>81</v>
      </c>
      <c r="J116" s="385"/>
      <c r="P116" s="334"/>
    </row>
    <row r="117" spans="1:16" outlineLevel="1" x14ac:dyDescent="0.35">
      <c r="A117" s="333">
        <f t="shared" si="2"/>
        <v>117</v>
      </c>
      <c r="D117" s="14" t="s">
        <v>82</v>
      </c>
      <c r="E117" s="385"/>
      <c r="G117" s="30"/>
      <c r="I117" s="14" t="s">
        <v>82</v>
      </c>
      <c r="J117" s="385"/>
      <c r="P117" s="334"/>
    </row>
    <row r="118" spans="1:16" outlineLevel="1" x14ac:dyDescent="0.35">
      <c r="A118" s="333">
        <f t="shared" si="2"/>
        <v>118</v>
      </c>
      <c r="D118" s="14" t="s">
        <v>83</v>
      </c>
      <c r="E118" s="385"/>
      <c r="G118" s="30"/>
      <c r="H118" s="31"/>
      <c r="I118" s="14" t="s">
        <v>83</v>
      </c>
      <c r="J118" s="385"/>
      <c r="P118" s="334"/>
    </row>
    <row r="119" spans="1:16" outlineLevel="1" x14ac:dyDescent="0.35">
      <c r="A119" s="333">
        <f t="shared" si="2"/>
        <v>119</v>
      </c>
      <c r="G119" s="33"/>
      <c r="P119" s="334"/>
    </row>
    <row r="120" spans="1:16" outlineLevel="1" x14ac:dyDescent="0.35">
      <c r="A120" s="333">
        <f t="shared" si="2"/>
        <v>120</v>
      </c>
      <c r="C120" s="2"/>
      <c r="D120" s="386" t="s">
        <v>84</v>
      </c>
      <c r="E120" s="387" t="str">
        <f>IFERROR(E94/(E94+E68),"")</f>
        <v/>
      </c>
      <c r="G120" s="33"/>
      <c r="I120" s="386" t="s">
        <v>85</v>
      </c>
      <c r="J120" s="387" t="str">
        <f>IFERROR(J94/(J94+J68),"")</f>
        <v/>
      </c>
      <c r="M120" s="16"/>
      <c r="N120" s="1"/>
      <c r="P120" s="334"/>
    </row>
    <row r="121" spans="1:16" outlineLevel="1" x14ac:dyDescent="0.35">
      <c r="A121" s="333">
        <f t="shared" si="2"/>
        <v>121</v>
      </c>
      <c r="D121" s="386" t="s">
        <v>86</v>
      </c>
      <c r="E121" s="388" t="str">
        <f>IF(E120="","",1-E120)</f>
        <v/>
      </c>
      <c r="G121" s="33"/>
      <c r="I121" s="386" t="s">
        <v>87</v>
      </c>
      <c r="J121" s="388" t="str">
        <f>IF(J120="","",1-J120)</f>
        <v/>
      </c>
      <c r="M121" s="16"/>
      <c r="N121" s="1"/>
      <c r="P121" s="334"/>
    </row>
    <row r="122" spans="1:16" outlineLevel="1" x14ac:dyDescent="0.35">
      <c r="A122" s="333">
        <f t="shared" si="2"/>
        <v>122</v>
      </c>
      <c r="G122" s="33"/>
      <c r="M122" s="16"/>
      <c r="N122" s="1"/>
      <c r="P122" s="334"/>
    </row>
    <row r="123" spans="1:16" outlineLevel="1" x14ac:dyDescent="0.35">
      <c r="A123" s="333">
        <f t="shared" si="2"/>
        <v>123</v>
      </c>
      <c r="E123" s="378"/>
      <c r="F123" s="16"/>
      <c r="G123" s="16"/>
      <c r="J123" s="378"/>
      <c r="K123" s="16"/>
      <c r="L123" s="378"/>
      <c r="M123" s="16"/>
      <c r="N123" s="1"/>
      <c r="P123" s="334"/>
    </row>
    <row r="124" spans="1:16" x14ac:dyDescent="0.35">
      <c r="A124" s="333">
        <f t="shared" si="2"/>
        <v>124</v>
      </c>
      <c r="C124" s="403" t="s">
        <v>552</v>
      </c>
      <c r="D124" s="403"/>
      <c r="E124" s="403"/>
      <c r="F124" s="403"/>
      <c r="G124" s="403"/>
      <c r="H124" s="403"/>
      <c r="I124" s="403"/>
      <c r="J124" s="403"/>
      <c r="K124" s="403"/>
      <c r="L124" s="403"/>
      <c r="M124" s="403"/>
      <c r="N124" s="403"/>
      <c r="P124" s="334"/>
    </row>
    <row r="125" spans="1:16" x14ac:dyDescent="0.35">
      <c r="A125" s="333">
        <f t="shared" si="2"/>
        <v>125</v>
      </c>
      <c r="C125" s="401"/>
      <c r="D125" s="401"/>
      <c r="E125" s="401"/>
      <c r="F125" s="401"/>
      <c r="G125" s="401"/>
      <c r="H125" s="401"/>
      <c r="I125" s="401"/>
      <c r="J125" s="401"/>
      <c r="K125" s="401"/>
      <c r="L125" s="401"/>
      <c r="M125" s="401"/>
      <c r="N125" s="401"/>
      <c r="P125" s="334"/>
    </row>
    <row r="126" spans="1:16" x14ac:dyDescent="0.35">
      <c r="A126" s="333">
        <f t="shared" si="2"/>
        <v>126</v>
      </c>
      <c r="C126" s="402"/>
      <c r="D126" s="402"/>
      <c r="E126" s="402"/>
      <c r="F126" s="402"/>
      <c r="G126" s="402"/>
      <c r="H126" s="402"/>
      <c r="I126" s="402"/>
      <c r="J126" s="402"/>
      <c r="K126" s="402"/>
      <c r="L126" s="402"/>
      <c r="M126" s="402"/>
      <c r="N126" s="402"/>
      <c r="P126" s="334"/>
    </row>
    <row r="127" spans="1:16" x14ac:dyDescent="0.35">
      <c r="A127" s="333">
        <f t="shared" si="2"/>
        <v>127</v>
      </c>
      <c r="C127" s="402"/>
      <c r="D127" s="402"/>
      <c r="E127" s="402"/>
      <c r="F127" s="402"/>
      <c r="G127" s="402"/>
      <c r="H127" s="402"/>
      <c r="I127" s="402"/>
      <c r="J127" s="402"/>
      <c r="K127" s="402"/>
      <c r="L127" s="402"/>
      <c r="M127" s="402"/>
      <c r="N127" s="402"/>
      <c r="P127" s="334"/>
    </row>
    <row r="128" spans="1:16" x14ac:dyDescent="0.35">
      <c r="A128" s="333">
        <f t="shared" si="2"/>
        <v>128</v>
      </c>
      <c r="C128" s="402"/>
      <c r="D128" s="402"/>
      <c r="E128" s="402"/>
      <c r="F128" s="402"/>
      <c r="G128" s="402"/>
      <c r="H128" s="402"/>
      <c r="I128" s="402"/>
      <c r="J128" s="402"/>
      <c r="K128" s="402"/>
      <c r="L128" s="402"/>
      <c r="M128" s="402"/>
      <c r="N128" s="402"/>
      <c r="P128" s="334"/>
    </row>
    <row r="129" spans="1:16" x14ac:dyDescent="0.35">
      <c r="A129" s="333">
        <f t="shared" si="2"/>
        <v>129</v>
      </c>
      <c r="C129" s="402"/>
      <c r="D129" s="402"/>
      <c r="E129" s="402"/>
      <c r="F129" s="402"/>
      <c r="G129" s="402"/>
      <c r="H129" s="402"/>
      <c r="I129" s="402"/>
      <c r="J129" s="402"/>
      <c r="K129" s="402"/>
      <c r="L129" s="402"/>
      <c r="M129" s="402"/>
      <c r="N129" s="402"/>
      <c r="P129" s="334"/>
    </row>
    <row r="130" spans="1:16" x14ac:dyDescent="0.35">
      <c r="A130" s="333">
        <f t="shared" si="2"/>
        <v>130</v>
      </c>
      <c r="C130" s="402"/>
      <c r="D130" s="402"/>
      <c r="E130" s="402"/>
      <c r="F130" s="402"/>
      <c r="G130" s="402"/>
      <c r="H130" s="402"/>
      <c r="I130" s="402"/>
      <c r="J130" s="402"/>
      <c r="K130" s="402"/>
      <c r="L130" s="402"/>
      <c r="M130" s="402"/>
      <c r="N130" s="402"/>
      <c r="P130" s="334"/>
    </row>
    <row r="131" spans="1:16" x14ac:dyDescent="0.35">
      <c r="A131" s="333">
        <f t="shared" ref="A131:O135" si="3">+A130+1</f>
        <v>131</v>
      </c>
      <c r="C131" s="402"/>
      <c r="D131" s="402"/>
      <c r="E131" s="402"/>
      <c r="F131" s="402"/>
      <c r="G131" s="402"/>
      <c r="H131" s="402"/>
      <c r="I131" s="402"/>
      <c r="J131" s="402"/>
      <c r="K131" s="402"/>
      <c r="L131" s="402"/>
      <c r="M131" s="402"/>
      <c r="N131" s="402"/>
      <c r="P131" s="334"/>
    </row>
    <row r="132" spans="1:16" x14ac:dyDescent="0.35">
      <c r="A132" s="333">
        <f t="shared" si="3"/>
        <v>132</v>
      </c>
      <c r="C132" s="402"/>
      <c r="D132" s="402"/>
      <c r="E132" s="402"/>
      <c r="F132" s="402"/>
      <c r="G132" s="402"/>
      <c r="H132" s="402"/>
      <c r="I132" s="402"/>
      <c r="J132" s="402"/>
      <c r="K132" s="402"/>
      <c r="L132" s="402"/>
      <c r="M132" s="402"/>
      <c r="N132" s="402"/>
      <c r="P132" s="334"/>
    </row>
    <row r="133" spans="1:16" x14ac:dyDescent="0.35">
      <c r="A133" s="333">
        <f t="shared" si="3"/>
        <v>133</v>
      </c>
      <c r="P133" s="334"/>
    </row>
    <row r="134" spans="1:16" ht="14.5" x14ac:dyDescent="0.35">
      <c r="A134" s="333">
        <f t="shared" si="3"/>
        <v>134</v>
      </c>
      <c r="B134" s="333">
        <f t="shared" si="3"/>
        <v>1</v>
      </c>
      <c r="C134" s="333">
        <f t="shared" si="3"/>
        <v>1</v>
      </c>
      <c r="D134" s="333">
        <f t="shared" si="3"/>
        <v>1</v>
      </c>
      <c r="E134" s="333">
        <f t="shared" si="3"/>
        <v>1</v>
      </c>
      <c r="F134" s="333">
        <f t="shared" si="3"/>
        <v>1</v>
      </c>
      <c r="G134" s="333">
        <f t="shared" si="3"/>
        <v>1</v>
      </c>
      <c r="H134" s="333">
        <f t="shared" si="3"/>
        <v>1</v>
      </c>
      <c r="I134" s="333">
        <f t="shared" si="3"/>
        <v>1</v>
      </c>
      <c r="J134" s="333">
        <f t="shared" si="3"/>
        <v>1</v>
      </c>
      <c r="K134" s="333">
        <f t="shared" si="3"/>
        <v>1</v>
      </c>
      <c r="L134" s="333">
        <f t="shared" si="3"/>
        <v>1</v>
      </c>
      <c r="M134" s="333">
        <f t="shared" si="3"/>
        <v>1</v>
      </c>
      <c r="N134" s="333">
        <f t="shared" si="3"/>
        <v>1</v>
      </c>
      <c r="O134" s="333">
        <f t="shared" si="3"/>
        <v>1</v>
      </c>
      <c r="P134" s="334"/>
    </row>
    <row r="135" spans="1:16" ht="14.5" x14ac:dyDescent="0.35">
      <c r="A135" s="333">
        <f t="shared" si="3"/>
        <v>135</v>
      </c>
      <c r="B135" s="333">
        <f t="shared" si="3"/>
        <v>2</v>
      </c>
      <c r="C135" s="333">
        <f t="shared" si="3"/>
        <v>2</v>
      </c>
      <c r="D135" s="333">
        <f t="shared" si="3"/>
        <v>2</v>
      </c>
      <c r="E135" s="333">
        <f t="shared" si="3"/>
        <v>2</v>
      </c>
      <c r="F135" s="333">
        <f t="shared" si="3"/>
        <v>2</v>
      </c>
      <c r="G135" s="333">
        <f t="shared" si="3"/>
        <v>2</v>
      </c>
      <c r="H135" s="333">
        <f t="shared" si="3"/>
        <v>2</v>
      </c>
      <c r="I135" s="333">
        <f t="shared" si="3"/>
        <v>2</v>
      </c>
      <c r="J135" s="333">
        <f t="shared" si="3"/>
        <v>2</v>
      </c>
      <c r="K135" s="333">
        <f t="shared" si="3"/>
        <v>2</v>
      </c>
      <c r="L135" s="333">
        <f t="shared" si="3"/>
        <v>2</v>
      </c>
      <c r="M135" s="333">
        <f t="shared" si="3"/>
        <v>2</v>
      </c>
      <c r="N135" s="333">
        <f t="shared" si="3"/>
        <v>2</v>
      </c>
      <c r="O135" s="333">
        <f t="shared" si="3"/>
        <v>2</v>
      </c>
      <c r="P135" s="334"/>
    </row>
  </sheetData>
  <sheetProtection sheet="1" objects="1" scenarios="1" selectLockedCells="1"/>
  <protectedRanges>
    <protectedRange sqref="G37" name="Rango1"/>
  </protectedRanges>
  <dataConsolidate/>
  <mergeCells count="6">
    <mergeCell ref="C125:N132"/>
    <mergeCell ref="I5:J5"/>
    <mergeCell ref="M11:O12"/>
    <mergeCell ref="M13:O14"/>
    <mergeCell ref="M15:O16"/>
    <mergeCell ref="C124:N124"/>
  </mergeCells>
  <conditionalFormatting sqref="J12">
    <cfRule type="expression" dxfId="8" priority="3">
      <formula>$J$11&gt;1</formula>
    </cfRule>
  </conditionalFormatting>
  <conditionalFormatting sqref="J14">
    <cfRule type="expression" dxfId="7" priority="2">
      <formula>$J$13&gt;1</formula>
    </cfRule>
  </conditionalFormatting>
  <conditionalFormatting sqref="J16">
    <cfRule type="expression" dxfId="6" priority="1">
      <formula>$J$15&gt;1</formula>
    </cfRule>
  </conditionalFormatting>
  <dataValidations count="62">
    <dataValidation type="list" allowBlank="1" showInputMessage="1" showErrorMessage="1" prompt="Servicio '15" sqref="J57:J58">
      <formula1>duracion</formula1>
    </dataValidation>
    <dataValidation type="list" allowBlank="1" showInputMessage="1" showErrorMessage="1" prompt="Servicio '15" sqref="I58">
      <formula1>fechaservicio</formula1>
    </dataValidation>
    <dataValidation allowBlank="1" showInputMessage="1" showErrorMessage="1" prompt="Tiempo desde la primer labor del verdeo/diferido hasta cambio de uso del lote (no sólo tiempo que fue pastoreado)." sqref="J14"/>
    <dataValidation allowBlank="1" showInputMessage="1" showErrorMessage="1" prompt="Tiempo desde la primer labor del verdeo hasta cambio de uso del lote (no sólo tiempo que fue pastoreado)." sqref="J12"/>
    <dataValidation type="list" allowBlank="1" showInputMessage="1" showErrorMessage="1" sqref="J83 E83">
      <formula1>RRFF</formula1>
    </dataValidation>
    <dataValidation allowBlank="1" showInputMessage="1" showErrorMessage="1" prompt="Vaquillonas de 1° servicio preñadas 17´/ vaquillonas de 1° s. entoradas en 16´" sqref="E45"/>
    <dataValidation allowBlank="1" showInputMessage="1" showErrorMessage="1" prompt="Vacas y vaquillonas preñadas sobre vientres entoradas en servicio 15´" sqref="E53"/>
    <dataValidation allowBlank="1" showInputMessage="1" showErrorMessage="1" prompt="Terneros destetados 17´sobre vientres entorados en servicio´15" sqref="E52"/>
    <dataValidation allowBlank="1" showErrorMessage="1" prompt="Superficie de monte productivos del establecimiento" sqref="J16"/>
    <dataValidation allowBlank="1" showErrorMessage="1" sqref="J19"/>
    <dataValidation allowBlank="1" showInputMessage="1" showErrorMessage="1" prompt="Superfice de rastrojos pastoreados. En la celda contigua se calculará las has asignadas a dicho recurso según las Normas CREA." sqref="J15"/>
    <dataValidation allowBlank="1" showInputMessage="1" showErrorMessage="1" prompt="Superfice sembrada (tal cual) con verdeos de verano para consumo fresco o diferido. En la celda contigua se calculará las has asignadas a dicho recurso según las Normas CREA." sqref="J13"/>
    <dataValidation allowBlank="1" showInputMessage="1" showErrorMessage="1" prompt="Superficie del establecimiento en producción." sqref="E11"/>
    <dataValidation allowBlank="1" showInputMessage="1" showErrorMessage="1" prompt="Superficie de suelo de la unidad de producción en agricultura, propias y alquiladas." sqref="E12"/>
    <dataValidation type="list" allowBlank="1" showInputMessage="1" showErrorMessage="1" sqref="G6">
      <formula1>MP</formula1>
    </dataValidation>
    <dataValidation allowBlank="1" showInputMessage="1" showErrorMessage="1" prompt="Praderas implantadas en la campaña en análisis." sqref="E18"/>
    <dataValidation allowBlank="1" showInputMessage="1" showErrorMessage="1" prompt="Stock bovino al 30 de junio 2017 (todo lo que está en el establecimiento)" sqref="E27"/>
    <dataValidation allowBlank="1" showInputMessage="1" showErrorMessage="1" prompt="Producción de carne (kg totales) = SALIDAS (kg vendidos,  traslados, consumo del eto.) - ENTRADAS (kg por compra o traslados de otras procedencias) + DIF. INVENTARIO (en Kg)" sqref="E28 J68 E68 E94 J94"/>
    <dataValidation allowBlank="1" showInputMessage="1" showErrorMessage="1" prompt="Cantidad de Vaquillonas de 1 en servicio en 2016" sqref="E46"/>
    <dataValidation allowBlank="1" showInputMessage="1" showErrorMessage="1" prompt="Nro de cabezas muertas/cabezas ingresadas" sqref="E30"/>
    <dataValidation allowBlank="1" showInputMessage="1" showErrorMessage="1" prompt="Superficie de campo natural de la unidad de producción" sqref="E15"/>
    <dataValidation allowBlank="1" showInputMessage="1" showErrorMessage="1" prompt="Superficie de praderas perennes ya implantadas" sqref="E17"/>
    <dataValidation allowBlank="1" showInputMessage="1" showErrorMessage="1" prompt="Superfice sembrada con verdeos de invierno tal cual. En la celda contigua se calculará las has asignadas a dicho recurso según las Normas CREA." sqref="J11"/>
    <dataValidation allowBlank="1" showInputMessage="1" showErrorMessage="1" prompt="Superficie de monte productivos de la unidad de producción" sqref="E16"/>
    <dataValidation allowBlank="1" showInputMessage="1" showErrorMessage="1" prompt="Stock bovino al 1 de julio 2016 (todo lo que está en el establecimiento)" sqref="E26"/>
    <dataValidation allowBlank="1" showInputMessage="1" showErrorMessage="1" prompt="Ponderar en función de la cantidad de tiempo que se le dedica a la ganadería. Se tiene en cuenta el personal de maquinaria que le presta un servicio a la ganadería." sqref="E33 H90"/>
    <dataValidation allowBlank="1" showInputMessage="1" showErrorMessage="1" prompt="Incluye vacas y vaquillonas" sqref="E54:E55"/>
    <dataValidation allowBlank="1" showInputMessage="1" showErrorMessage="1" prompt="Este indicador no debe ser tenido en cuenta en producciones a corral" sqref="J27 J29"/>
    <dataValidation allowBlank="1" showInputMessage="1" showErrorMessage="1" prompt="Vacas preñadas 17´sobre vacas entoradas servicio 16´" sqref="E41"/>
    <dataValidation type="list" allowBlank="1" showErrorMessage="1" sqref="E61:I61">
      <formula1>cruz</formula1>
    </dataValidation>
    <dataValidation type="list" allowBlank="1" showInputMessage="1" showErrorMessage="1" prompt="Región donde se encuentra el establecimiento, independientemente del CREA al que pertenezca el establecimiento." sqref="F6">
      <formula1>Crea</formula1>
    </dataValidation>
    <dataValidation type="list" allowBlank="1" showInputMessage="1" showErrorMessage="1" sqref="J53">
      <formula1>edadservicio</formula1>
    </dataValidation>
    <dataValidation allowBlank="1" showInputMessage="1" showErrorMessage="1" prompt="% de vaquillonas inseminadas en la campaña (Vaquillona Inseminadas/Vaquillonas en Servicio)" sqref="J54"/>
    <dataValidation allowBlank="1" showInputMessage="1" showErrorMessage="1" prompt="% de vacas inseminadas en la campaña vacas Inseminadas/Vacas en Servicio)" sqref="J52"/>
    <dataValidation allowBlank="1" showInputMessage="1" showErrorMessage="1" prompt="Peso medio de destete '17" sqref="E57"/>
    <dataValidation type="list" allowBlank="1" showInputMessage="1" showErrorMessage="1" prompt="Servicio '15_x000a_" sqref="I57">
      <formula1>fechaservicio</formula1>
    </dataValidation>
    <dataValidation allowBlank="1" showInputMessage="1" showErrorMessage="1" prompt="Capacidad máxima instantanea" sqref="H89"/>
    <dataValidation allowBlank="1" showInputMessage="1" showErrorMessage="1" prompt="Ingrese un valor estimativo promedio de venta de la hectárea donde está realizando la ganadería." sqref="J21"/>
    <dataValidation type="list" allowBlank="1" showInputMessage="1" showErrorMessage="1" sqref="E79 J79 J107 E107">
      <formula1>MH</formula1>
    </dataValidation>
    <dataValidation type="list" allowBlank="1" showInputMessage="1" showErrorMessage="1" sqref="J81 J109">
      <formula1>PET</formula1>
    </dataValidation>
    <dataValidation type="list" allowBlank="1" showInputMessage="1" showErrorMessage="1" sqref="J82 J110">
      <formula1>PST</formula1>
    </dataValidation>
    <dataValidation type="list" allowBlank="1" showInputMessage="1" showErrorMessage="1" sqref="E81 E109">
      <formula1>PER</formula1>
    </dataValidation>
    <dataValidation type="list" allowBlank="1" showInputMessage="1" showErrorMessage="1" sqref="E82 E110">
      <formula1>PSR</formula1>
    </dataValidation>
    <dataValidation allowBlank="1" showInputMessage="1" showErrorMessage="1" prompt="Stock medio en recría: promedio de los valores de stock mensual en cabezas para el ejercicio." sqref="E70"/>
    <dataValidation type="list" allowBlank="1" showInputMessage="1" showErrorMessage="1" sqref="E114 J114">
      <formula1>CC</formula1>
    </dataValidation>
    <dataValidation type="list" allowBlank="1" showInputMessage="1" showErrorMessage="1" sqref="E115:E118 E113 J115:J118 J113">
      <formula1>Dieta</formula1>
    </dataValidation>
    <dataValidation type="list" allowBlank="1" showInputMessage="1" showErrorMessage="1" sqref="J80 J108">
      <formula1>sino</formula1>
    </dataValidation>
    <dataValidation allowBlank="1" showInputMessage="1" showErrorMessage="1" prompt="Superficie en en ganadería con aptitud agrícola (clase I a IV) propias y alquiladas." sqref="J20"/>
    <dataValidation allowBlank="1" showInputMessage="1" showErrorMessage="1" prompt="Si la empresa tiene más de un establecimiento, llenar una planilla por cada campo." sqref="D6"/>
    <dataValidation allowBlank="1" showInputMessage="1" showErrorMessage="1" prompt="Tiempo promedio de la recría. Si hay distintos lotes/rodeos, poner la duración ponderada." sqref="E72 E98"/>
    <dataValidation allowBlank="1" showInputMessage="1" showErrorMessage="1" prompt="Tiempo promedio de la terminación. Si hay distintos lotes/rodeos, poner la duración ponderada." sqref="J72 J98"/>
    <dataValidation type="list" allowBlank="1" showInputMessage="1" showErrorMessage="1" prompt="% de la dieta en MS suplementada" sqref="E84 J84">
      <formula1>supl</formula1>
    </dataValidation>
    <dataValidation type="list" allowBlank="1" showInputMessage="1" showErrorMessage="1" prompt="Edad promedio al destete '17. Si hubo diferentes destetes, poner una edad promedio. Si merece aclaraciones, anotarlas en observaciones. " sqref="E58">
      <formula1>Destete</formula1>
    </dataValidation>
    <dataValidation allowBlank="1" showInputMessage="1" showErrorMessage="1" prompt="Kilos de materia seca ofrecidos en los corrales de recría" sqref="E99"/>
    <dataValidation allowBlank="1" showInputMessage="1" showErrorMessage="1" prompt="Kilos de materia seca ofrecidos en los corrales de terminación." sqref="J99"/>
    <dataValidation allowBlank="1" showInputMessage="1" showErrorMessage="1" prompt="Promedio de los valores de stock mensual en kg para el ejercicio (incluye corrales). Los terneros al pie de la madre se deben contabilizar como stock para el cálculo de carga." sqref="E32"/>
    <dataValidation allowBlank="1" showInputMessage="1" showErrorMessage="1" prompt="Promedio de los valores de stock mensual en cabezas para el ejercicio (incluye corrales). Los terneros al pie de la madre se deben contabilizar para el cálculo de carga." sqref="E31"/>
    <dataValidation allowBlank="1" showInputMessage="1" showErrorMessage="1" prompt="Stock medio en recría: promedio de los valores de stock mensual en kilos totales para el ejercicio." sqref="E71"/>
    <dataValidation allowBlank="1" showInputMessage="1" showErrorMessage="1" prompt="Stock medio en terminación: promedio de los valores de stock mensual en cabezas para el ejercicio." sqref="J70"/>
    <dataValidation allowBlank="1" showInputMessage="1" showErrorMessage="1" prompt="Stock medio en terminación: promedio de los valores de stock mensual en kilos totales para el ejercicio." sqref="J71"/>
    <dataValidation allowBlank="1" showErrorMessage="1" prompt="Kilos de materia seca ofrecidos en total" sqref="E96 J96"/>
    <dataValidation allowBlank="1" showInputMessage="1" showErrorMessage="1" prompt="Aumento diario de peso vivo promedio" sqref="J97 E97"/>
  </dataValidations>
  <hyperlinks>
    <hyperlink ref="G95" location="'1 (prop.sup)'!F115" display="Ir a cálculo desbaste"/>
    <hyperlink ref="G95:G96" location="'1'!D118" display="Ir a cálculo desbaste"/>
    <hyperlink ref="L95:L96" location="'1'!D118" display="Ir a cálculo desbaste"/>
    <hyperlink ref="L95" location="'1 (prop.sup)'!F115" display="Ir a cálculo desbaste"/>
  </hyperlinks>
  <pageMargins left="0.25" right="0.25" top="0.75" bottom="0.75" header="0.3" footer="0.3"/>
  <pageSetup paperSize="9" scale="48" fitToHeight="0" orientation="portrait" verticalDpi="599" r:id="rId1"/>
  <rowBreaks count="1" manualBreakCount="1">
    <brk id="60" min="1" max="12"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B135"/>
  <sheetViews>
    <sheetView showGridLines="0" zoomScale="90" zoomScaleNormal="90" workbookViewId="0">
      <pane xSplit="1" ySplit="1" topLeftCell="B2" activePane="bottomRight" state="frozen"/>
      <selection activeCell="G25" sqref="G25"/>
      <selection pane="topRight" activeCell="G25" sqref="G25"/>
      <selection pane="bottomLeft" activeCell="G25" sqref="G25"/>
      <selection pane="bottomRight" activeCell="C6" sqref="C6"/>
    </sheetView>
  </sheetViews>
  <sheetFormatPr baseColWidth="10" defaultColWidth="0" defaultRowHeight="15.5" customHeight="1" zeroHeight="1" outlineLevelRow="2" x14ac:dyDescent="0.35"/>
  <cols>
    <col min="1" max="1" width="5" style="330" customWidth="1"/>
    <col min="2" max="2" width="11.81640625" style="1" customWidth="1"/>
    <col min="3" max="3" width="16" style="1" customWidth="1"/>
    <col min="4" max="4" width="18.54296875" style="1" customWidth="1"/>
    <col min="5" max="6" width="14.54296875" style="1" customWidth="1"/>
    <col min="7" max="7" width="12.1796875" style="1" customWidth="1"/>
    <col min="8" max="8" width="16.26953125" style="1" customWidth="1"/>
    <col min="9" max="10" width="14.54296875" style="1" customWidth="1"/>
    <col min="11" max="12" width="13.453125" style="1" customWidth="1"/>
    <col min="13" max="13" width="14.54296875" style="1" customWidth="1"/>
    <col min="14" max="15" width="11.453125" style="69" customWidth="1"/>
    <col min="16" max="16" width="5.54296875" style="69" customWidth="1"/>
    <col min="17" max="17" width="11.453125" style="69" hidden="1"/>
    <col min="18" max="16382" width="0" style="69" hidden="1"/>
    <col min="16383" max="16384" width="11.453125" style="69" hidden="1"/>
  </cols>
  <sheetData>
    <row r="1" spans="1:17" s="333" customFormat="1" ht="14.5" x14ac:dyDescent="0.35">
      <c r="A1" s="333">
        <v>1</v>
      </c>
      <c r="B1" s="333">
        <f t="shared" ref="B1:P1" si="0">+A1+1</f>
        <v>2</v>
      </c>
      <c r="C1" s="333">
        <f t="shared" si="0"/>
        <v>3</v>
      </c>
      <c r="D1" s="333">
        <f t="shared" si="0"/>
        <v>4</v>
      </c>
      <c r="E1" s="333">
        <f t="shared" si="0"/>
        <v>5</v>
      </c>
      <c r="F1" s="333">
        <f t="shared" si="0"/>
        <v>6</v>
      </c>
      <c r="G1" s="333">
        <f t="shared" si="0"/>
        <v>7</v>
      </c>
      <c r="H1" s="333">
        <f t="shared" si="0"/>
        <v>8</v>
      </c>
      <c r="I1" s="333">
        <f t="shared" si="0"/>
        <v>9</v>
      </c>
      <c r="J1" s="333">
        <f t="shared" si="0"/>
        <v>10</v>
      </c>
      <c r="K1" s="333">
        <f t="shared" si="0"/>
        <v>11</v>
      </c>
      <c r="L1" s="333">
        <f t="shared" si="0"/>
        <v>12</v>
      </c>
      <c r="M1" s="333">
        <f t="shared" si="0"/>
        <v>13</v>
      </c>
      <c r="N1" s="333">
        <f t="shared" si="0"/>
        <v>14</v>
      </c>
      <c r="O1" s="333">
        <f t="shared" si="0"/>
        <v>15</v>
      </c>
      <c r="P1" s="333">
        <f t="shared" si="0"/>
        <v>16</v>
      </c>
    </row>
    <row r="2" spans="1:17" x14ac:dyDescent="0.35">
      <c r="A2" s="333">
        <f>+A1+1</f>
        <v>2</v>
      </c>
      <c r="P2" s="334"/>
      <c r="Q2" s="334"/>
    </row>
    <row r="3" spans="1:17" x14ac:dyDescent="0.35">
      <c r="A3" s="333">
        <f t="shared" ref="A3:A66" si="1">+A2+1</f>
        <v>3</v>
      </c>
      <c r="B3" s="335" t="s">
        <v>0</v>
      </c>
      <c r="C3" s="336"/>
      <c r="D3" s="58"/>
      <c r="E3" s="302"/>
      <c r="F3" s="337" t="s">
        <v>1</v>
      </c>
      <c r="G3" s="58"/>
      <c r="H3" s="303"/>
      <c r="I3" s="337" t="s">
        <v>2</v>
      </c>
      <c r="J3" s="58"/>
      <c r="K3" s="58"/>
      <c r="L3" s="336"/>
      <c r="M3" s="336"/>
      <c r="N3" s="338"/>
      <c r="O3" s="339"/>
      <c r="P3" s="334"/>
      <c r="Q3" s="334"/>
    </row>
    <row r="4" spans="1:17" x14ac:dyDescent="0.35">
      <c r="A4" s="333">
        <f t="shared" si="1"/>
        <v>4</v>
      </c>
      <c r="B4" s="340"/>
      <c r="C4" s="340"/>
      <c r="E4" s="336"/>
      <c r="F4" s="336"/>
      <c r="G4" s="336"/>
      <c r="H4" s="336"/>
      <c r="I4" s="336"/>
      <c r="J4" s="336"/>
      <c r="K4" s="336"/>
      <c r="L4" s="336"/>
      <c r="M4" s="336"/>
      <c r="N4" s="338"/>
      <c r="O4" s="338"/>
      <c r="P4" s="334"/>
      <c r="Q4" s="334"/>
    </row>
    <row r="5" spans="1:17" ht="29" x14ac:dyDescent="0.35">
      <c r="A5" s="333">
        <f t="shared" si="1"/>
        <v>5</v>
      </c>
      <c r="B5" s="341" t="s">
        <v>3</v>
      </c>
      <c r="C5" s="342" t="s">
        <v>4</v>
      </c>
      <c r="D5" s="341" t="s">
        <v>5</v>
      </c>
      <c r="E5" s="342" t="s">
        <v>6</v>
      </c>
      <c r="F5" s="342" t="s">
        <v>7</v>
      </c>
      <c r="G5" s="343" t="s">
        <v>8</v>
      </c>
      <c r="H5" s="344" t="s">
        <v>9</v>
      </c>
      <c r="I5" s="404" t="s">
        <v>10</v>
      </c>
      <c r="J5" s="405"/>
      <c r="N5" s="345"/>
      <c r="P5" s="334"/>
      <c r="Q5" s="334"/>
    </row>
    <row r="6" spans="1:17" x14ac:dyDescent="0.35">
      <c r="A6" s="333">
        <f t="shared" si="1"/>
        <v>6</v>
      </c>
      <c r="B6" s="310" t="s">
        <v>649</v>
      </c>
      <c r="C6" s="346"/>
      <c r="D6" s="346"/>
      <c r="E6" s="347"/>
      <c r="F6" s="346"/>
      <c r="G6" s="347"/>
      <c r="H6" s="347"/>
      <c r="I6" s="347"/>
      <c r="J6" s="347"/>
      <c r="N6" s="338"/>
      <c r="O6" s="338"/>
      <c r="P6" s="334"/>
      <c r="Q6" s="334"/>
    </row>
    <row r="7" spans="1:17" x14ac:dyDescent="0.35">
      <c r="A7" s="333">
        <f t="shared" si="1"/>
        <v>7</v>
      </c>
      <c r="P7" s="334"/>
      <c r="Q7" s="334"/>
    </row>
    <row r="8" spans="1:17" x14ac:dyDescent="0.35">
      <c r="A8" s="333">
        <f t="shared" si="1"/>
        <v>8</v>
      </c>
      <c r="B8" s="348" t="s">
        <v>13</v>
      </c>
      <c r="C8" s="348"/>
      <c r="D8" s="348"/>
      <c r="E8" s="348"/>
      <c r="F8" s="348"/>
      <c r="G8" s="348"/>
      <c r="H8" s="349"/>
      <c r="I8" s="349"/>
      <c r="J8" s="349"/>
      <c r="K8" s="349"/>
      <c r="L8" s="349"/>
      <c r="M8" s="349"/>
      <c r="N8" s="350"/>
      <c r="O8" s="350"/>
      <c r="P8" s="334"/>
      <c r="Q8" s="334"/>
    </row>
    <row r="9" spans="1:17" x14ac:dyDescent="0.35">
      <c r="A9" s="333">
        <f t="shared" si="1"/>
        <v>9</v>
      </c>
      <c r="P9" s="334"/>
      <c r="Q9" s="334"/>
    </row>
    <row r="10" spans="1:17" x14ac:dyDescent="0.35">
      <c r="A10" s="333">
        <f t="shared" si="1"/>
        <v>10</v>
      </c>
      <c r="C10" s="2"/>
      <c r="D10" s="2" t="s">
        <v>14</v>
      </c>
      <c r="G10" s="2"/>
      <c r="I10" s="56" t="s">
        <v>17</v>
      </c>
      <c r="J10" s="69"/>
      <c r="K10" s="69"/>
      <c r="L10" s="2" t="s">
        <v>18</v>
      </c>
      <c r="M10" s="4"/>
      <c r="P10" s="334"/>
      <c r="Q10" s="334"/>
    </row>
    <row r="11" spans="1:17" ht="18" customHeight="1" x14ac:dyDescent="0.35">
      <c r="A11" s="333">
        <f t="shared" si="1"/>
        <v>11</v>
      </c>
      <c r="D11" s="3" t="s">
        <v>15</v>
      </c>
      <c r="E11" s="28"/>
      <c r="F11" s="1" t="s">
        <v>16</v>
      </c>
      <c r="I11" s="3" t="s">
        <v>19</v>
      </c>
      <c r="J11" s="28"/>
      <c r="K11" s="1" t="s">
        <v>16</v>
      </c>
      <c r="L11" s="5" t="str">
        <f>IF(J11*J12/12=0,"",J11*J12/12)</f>
        <v/>
      </c>
      <c r="M11" s="406" t="s">
        <v>656</v>
      </c>
      <c r="N11" s="406"/>
      <c r="O11" s="406"/>
      <c r="P11" s="334"/>
      <c r="Q11" s="334"/>
    </row>
    <row r="12" spans="1:17" x14ac:dyDescent="0.35">
      <c r="A12" s="333">
        <f t="shared" si="1"/>
        <v>12</v>
      </c>
      <c r="D12" s="3" t="s">
        <v>514</v>
      </c>
      <c r="E12" s="28"/>
      <c r="F12" s="1" t="s">
        <v>16</v>
      </c>
      <c r="I12" s="3" t="str">
        <f>+IF(J11&gt;1,"Tiempo ocupado por verdeo de invierno","")</f>
        <v/>
      </c>
      <c r="J12" s="351"/>
      <c r="K12" s="6" t="str">
        <f>+IF($J$11&gt;1,"meses","")</f>
        <v/>
      </c>
      <c r="L12" s="69"/>
      <c r="M12" s="406"/>
      <c r="N12" s="406"/>
      <c r="O12" s="406"/>
      <c r="P12" s="334"/>
      <c r="Q12" s="334"/>
    </row>
    <row r="13" spans="1:17" ht="18" customHeight="1" x14ac:dyDescent="0.35">
      <c r="A13" s="333">
        <f t="shared" si="1"/>
        <v>13</v>
      </c>
      <c r="I13" s="3" t="s">
        <v>22</v>
      </c>
      <c r="J13" s="28"/>
      <c r="K13" s="1" t="s">
        <v>16</v>
      </c>
      <c r="L13" s="5" t="str">
        <f>IF(J13*J14/12=0,"",J13*J14/12)</f>
        <v/>
      </c>
      <c r="M13" s="406" t="s">
        <v>657</v>
      </c>
      <c r="N13" s="406"/>
      <c r="O13" s="406"/>
      <c r="P13" s="334"/>
      <c r="Q13" s="334"/>
    </row>
    <row r="14" spans="1:17" x14ac:dyDescent="0.35">
      <c r="A14" s="333">
        <f t="shared" si="1"/>
        <v>14</v>
      </c>
      <c r="C14" s="2"/>
      <c r="D14" s="2" t="s">
        <v>21</v>
      </c>
      <c r="I14" s="3" t="str">
        <f>+IF(J13&gt;1,"Tiempo ocupado por verdeo de verano y diferido","")</f>
        <v/>
      </c>
      <c r="J14" s="351"/>
      <c r="K14" s="6" t="str">
        <f>+IF($J$13&gt;1,"meses","")</f>
        <v/>
      </c>
      <c r="L14" s="69"/>
      <c r="M14" s="406"/>
      <c r="N14" s="406"/>
      <c r="O14" s="406"/>
      <c r="P14" s="334"/>
      <c r="Q14" s="334"/>
    </row>
    <row r="15" spans="1:17" ht="18" customHeight="1" x14ac:dyDescent="0.35">
      <c r="A15" s="333">
        <f t="shared" si="1"/>
        <v>15</v>
      </c>
      <c r="D15" s="3" t="s">
        <v>24</v>
      </c>
      <c r="E15" s="28"/>
      <c r="F15" s="1" t="s">
        <v>16</v>
      </c>
      <c r="I15" s="3" t="s">
        <v>26</v>
      </c>
      <c r="J15" s="28"/>
      <c r="K15" s="1" t="s">
        <v>16</v>
      </c>
      <c r="L15" s="5" t="str">
        <f>IF(J15*J16/12=0,"",J15*J16/12)</f>
        <v/>
      </c>
      <c r="M15" s="406" t="s">
        <v>658</v>
      </c>
      <c r="N15" s="406"/>
      <c r="O15" s="406"/>
      <c r="P15" s="334"/>
      <c r="Q15" s="334"/>
    </row>
    <row r="16" spans="1:17" x14ac:dyDescent="0.35">
      <c r="A16" s="333">
        <f t="shared" si="1"/>
        <v>16</v>
      </c>
      <c r="B16" s="8"/>
      <c r="D16" s="7" t="s">
        <v>25</v>
      </c>
      <c r="E16" s="28"/>
      <c r="F16" s="1" t="s">
        <v>16</v>
      </c>
      <c r="I16" s="3" t="str">
        <f>+IF(J15&gt;1,"Tiempo de ocupación de rastrojos y otros  ","")</f>
        <v/>
      </c>
      <c r="J16" s="351"/>
      <c r="K16" s="6" t="str">
        <f>+IF($J$15&gt;1,"meses","")</f>
        <v/>
      </c>
      <c r="L16" s="69"/>
      <c r="M16" s="406"/>
      <c r="N16" s="406"/>
      <c r="O16" s="406"/>
      <c r="P16" s="334"/>
      <c r="Q16" s="334"/>
    </row>
    <row r="17" spans="1:17" x14ac:dyDescent="0.35">
      <c r="A17" s="333">
        <f t="shared" si="1"/>
        <v>17</v>
      </c>
      <c r="D17" s="3" t="s">
        <v>28</v>
      </c>
      <c r="E17" s="28"/>
      <c r="F17" s="1" t="s">
        <v>16</v>
      </c>
      <c r="M17" s="396"/>
      <c r="N17" s="352"/>
      <c r="O17" s="352"/>
      <c r="P17" s="334"/>
      <c r="Q17" s="334"/>
    </row>
    <row r="18" spans="1:17" x14ac:dyDescent="0.35">
      <c r="A18" s="333">
        <f t="shared" si="1"/>
        <v>18</v>
      </c>
      <c r="D18" s="3" t="s">
        <v>29</v>
      </c>
      <c r="E18" s="28"/>
      <c r="F18" s="1" t="s">
        <v>16</v>
      </c>
      <c r="G18" s="10"/>
      <c r="H18" s="11"/>
      <c r="I18" s="57" t="s">
        <v>30</v>
      </c>
      <c r="J18" s="10"/>
      <c r="K18" s="10"/>
      <c r="P18" s="334"/>
      <c r="Q18" s="334"/>
    </row>
    <row r="19" spans="1:17" x14ac:dyDescent="0.35">
      <c r="A19" s="333">
        <f t="shared" si="1"/>
        <v>19</v>
      </c>
      <c r="C19" s="1" t="s">
        <v>9</v>
      </c>
      <c r="D19" s="329"/>
      <c r="E19" s="329"/>
      <c r="F19" s="1" t="s">
        <v>16</v>
      </c>
      <c r="G19" s="10"/>
      <c r="H19" s="10"/>
      <c r="I19" s="7" t="s">
        <v>31</v>
      </c>
      <c r="J19" s="12">
        <f>+SUM(E15:E20,L11,L13,L15)</f>
        <v>0</v>
      </c>
      <c r="K19" s="10" t="s">
        <v>16</v>
      </c>
      <c r="P19" s="334"/>
      <c r="Q19" s="334"/>
    </row>
    <row r="20" spans="1:17" x14ac:dyDescent="0.35">
      <c r="A20" s="333">
        <f t="shared" si="1"/>
        <v>20</v>
      </c>
      <c r="C20" s="1" t="s">
        <v>9</v>
      </c>
      <c r="D20" s="329"/>
      <c r="E20" s="329"/>
      <c r="F20" s="1" t="s">
        <v>16</v>
      </c>
      <c r="G20" s="10"/>
      <c r="H20" s="10"/>
      <c r="I20" s="3" t="s">
        <v>575</v>
      </c>
      <c r="J20" s="353"/>
      <c r="K20" s="3"/>
      <c r="L20" s="8"/>
      <c r="P20" s="334"/>
      <c r="Q20" s="334"/>
    </row>
    <row r="21" spans="1:17" x14ac:dyDescent="0.35">
      <c r="A21" s="333">
        <f t="shared" si="1"/>
        <v>21</v>
      </c>
      <c r="H21" s="311"/>
      <c r="I21" s="7" t="s">
        <v>517</v>
      </c>
      <c r="J21" s="28"/>
      <c r="K21" s="331" t="s">
        <v>515</v>
      </c>
      <c r="L21" s="8"/>
      <c r="P21" s="334"/>
      <c r="Q21" s="334"/>
    </row>
    <row r="22" spans="1:17" x14ac:dyDescent="0.35">
      <c r="A22" s="333">
        <f t="shared" si="1"/>
        <v>22</v>
      </c>
      <c r="G22" s="10"/>
      <c r="H22" s="10"/>
      <c r="I22" s="3"/>
      <c r="J22" s="3"/>
      <c r="K22" s="3"/>
      <c r="L22" s="8"/>
      <c r="P22" s="334"/>
      <c r="Q22" s="334"/>
    </row>
    <row r="23" spans="1:17" x14ac:dyDescent="0.35">
      <c r="A23" s="333">
        <f t="shared" si="1"/>
        <v>23</v>
      </c>
      <c r="G23" s="10"/>
      <c r="H23" s="10"/>
      <c r="I23" s="3"/>
      <c r="J23" s="3"/>
      <c r="K23" s="3"/>
      <c r="L23" s="8"/>
      <c r="P23" s="334"/>
      <c r="Q23" s="334"/>
    </row>
    <row r="24" spans="1:17" x14ac:dyDescent="0.35">
      <c r="A24" s="333">
        <f t="shared" si="1"/>
        <v>24</v>
      </c>
      <c r="B24" s="348" t="s">
        <v>32</v>
      </c>
      <c r="C24" s="348"/>
      <c r="D24" s="348"/>
      <c r="E24" s="348"/>
      <c r="F24" s="348"/>
      <c r="G24" s="348"/>
      <c r="H24" s="349"/>
      <c r="I24" s="349"/>
      <c r="J24" s="349"/>
      <c r="K24" s="349"/>
      <c r="L24" s="349"/>
      <c r="M24" s="349"/>
      <c r="N24" s="350"/>
      <c r="O24" s="350"/>
      <c r="P24" s="334"/>
      <c r="Q24" s="334"/>
    </row>
    <row r="25" spans="1:17" x14ac:dyDescent="0.35">
      <c r="A25" s="333">
        <f t="shared" si="1"/>
        <v>25</v>
      </c>
      <c r="O25" s="13"/>
      <c r="P25" s="334"/>
      <c r="Q25" s="334"/>
    </row>
    <row r="26" spans="1:17" x14ac:dyDescent="0.35">
      <c r="A26" s="333">
        <f t="shared" si="1"/>
        <v>26</v>
      </c>
      <c r="D26" s="3" t="s">
        <v>33</v>
      </c>
      <c r="E26" s="28"/>
      <c r="F26" s="1" t="s">
        <v>34</v>
      </c>
      <c r="J26" s="354" t="s">
        <v>35</v>
      </c>
      <c r="K26" s="69"/>
      <c r="P26" s="334"/>
      <c r="Q26" s="334"/>
    </row>
    <row r="27" spans="1:17" x14ac:dyDescent="0.35">
      <c r="A27" s="333">
        <f t="shared" si="1"/>
        <v>27</v>
      </c>
      <c r="D27" s="3" t="s">
        <v>36</v>
      </c>
      <c r="E27" s="28"/>
      <c r="F27" s="1" t="s">
        <v>34</v>
      </c>
      <c r="J27" s="67" t="str">
        <f>+IFERROR(E28/J19,"")</f>
        <v/>
      </c>
      <c r="K27" s="1" t="s">
        <v>187</v>
      </c>
      <c r="P27" s="334"/>
      <c r="Q27" s="334"/>
    </row>
    <row r="28" spans="1:17" x14ac:dyDescent="0.35">
      <c r="A28" s="333">
        <f t="shared" si="1"/>
        <v>28</v>
      </c>
      <c r="D28" s="3" t="s">
        <v>40</v>
      </c>
      <c r="E28" s="28"/>
      <c r="F28" s="1" t="s">
        <v>41</v>
      </c>
      <c r="J28" s="68" t="str">
        <f>+IFERROR(E28/(E31),"")</f>
        <v/>
      </c>
      <c r="K28" s="1" t="s">
        <v>516</v>
      </c>
      <c r="P28" s="334"/>
      <c r="Q28" s="334"/>
    </row>
    <row r="29" spans="1:17" x14ac:dyDescent="0.35">
      <c r="A29" s="333">
        <f t="shared" si="1"/>
        <v>29</v>
      </c>
      <c r="J29" s="68" t="str">
        <f>+IFERROR(E32/J19,"")</f>
        <v/>
      </c>
      <c r="K29" s="15" t="s">
        <v>186</v>
      </c>
      <c r="P29" s="334"/>
      <c r="Q29" s="334"/>
    </row>
    <row r="30" spans="1:17" x14ac:dyDescent="0.35">
      <c r="A30" s="333">
        <f t="shared" si="1"/>
        <v>30</v>
      </c>
      <c r="D30" s="3" t="s">
        <v>37</v>
      </c>
      <c r="E30" s="353"/>
      <c r="F30" s="1" t="s">
        <v>38</v>
      </c>
      <c r="J30" s="355" t="str">
        <f>+IFERROR(E28/E32,"")</f>
        <v/>
      </c>
      <c r="K30" s="6" t="s">
        <v>39</v>
      </c>
      <c r="P30" s="334"/>
      <c r="Q30" s="334"/>
    </row>
    <row r="31" spans="1:17" x14ac:dyDescent="0.35">
      <c r="A31" s="333">
        <f t="shared" si="1"/>
        <v>31</v>
      </c>
      <c r="D31" s="7" t="s">
        <v>43</v>
      </c>
      <c r="E31" s="28"/>
      <c r="F31" s="16" t="s">
        <v>518</v>
      </c>
      <c r="J31" s="356" t="str">
        <f>+IFERROR(E28/E33,"")</f>
        <v/>
      </c>
      <c r="K31" s="15" t="s">
        <v>42</v>
      </c>
      <c r="P31" s="334"/>
      <c r="Q31" s="334"/>
    </row>
    <row r="32" spans="1:17" x14ac:dyDescent="0.35">
      <c r="A32" s="333">
        <f t="shared" si="1"/>
        <v>32</v>
      </c>
      <c r="D32" s="3" t="s">
        <v>43</v>
      </c>
      <c r="E32" s="28"/>
      <c r="F32" s="1" t="s">
        <v>41</v>
      </c>
      <c r="M32" s="69"/>
      <c r="P32" s="334"/>
      <c r="Q32" s="334"/>
    </row>
    <row r="33" spans="1:17" ht="17.25" customHeight="1" x14ac:dyDescent="0.35">
      <c r="A33" s="333">
        <f t="shared" si="1"/>
        <v>33</v>
      </c>
      <c r="D33" s="14" t="s">
        <v>44</v>
      </c>
      <c r="E33" s="390"/>
      <c r="M33" s="69"/>
      <c r="P33" s="334"/>
      <c r="Q33" s="334"/>
    </row>
    <row r="34" spans="1:17" x14ac:dyDescent="0.35">
      <c r="A34" s="333">
        <f t="shared" si="1"/>
        <v>34</v>
      </c>
      <c r="P34" s="334"/>
      <c r="Q34" s="334"/>
    </row>
    <row r="35" spans="1:17" x14ac:dyDescent="0.35">
      <c r="A35" s="333">
        <f t="shared" si="1"/>
        <v>35</v>
      </c>
      <c r="B35" s="348" t="s">
        <v>45</v>
      </c>
      <c r="C35" s="348"/>
      <c r="D35" s="348"/>
      <c r="E35" s="348"/>
      <c r="F35" s="348"/>
      <c r="G35" s="348"/>
      <c r="H35" s="349"/>
      <c r="I35" s="349"/>
      <c r="J35" s="349"/>
      <c r="K35" s="349"/>
      <c r="L35" s="349"/>
      <c r="M35" s="349"/>
      <c r="N35" s="350"/>
      <c r="O35" s="350"/>
      <c r="P35" s="334"/>
      <c r="Q35" s="334"/>
    </row>
    <row r="36" spans="1:17" outlineLevel="1" x14ac:dyDescent="0.35">
      <c r="A36" s="333">
        <f t="shared" si="1"/>
        <v>36</v>
      </c>
      <c r="B36" s="8"/>
      <c r="C36" s="8"/>
      <c r="D36" s="17"/>
      <c r="E36" s="8"/>
      <c r="P36" s="334"/>
      <c r="Q36" s="334"/>
    </row>
    <row r="37" spans="1:17" outlineLevel="1" x14ac:dyDescent="0.35">
      <c r="A37" s="333">
        <f t="shared" si="1"/>
        <v>37</v>
      </c>
      <c r="G37" s="358">
        <v>2015</v>
      </c>
      <c r="H37" s="358">
        <f>+G37+1</f>
        <v>2016</v>
      </c>
      <c r="I37" s="358">
        <f>+H37+1</f>
        <v>2017</v>
      </c>
      <c r="P37" s="334"/>
      <c r="Q37" s="334"/>
    </row>
    <row r="38" spans="1:17" outlineLevel="1" x14ac:dyDescent="0.35">
      <c r="A38" s="333">
        <f t="shared" si="1"/>
        <v>38</v>
      </c>
      <c r="G38" s="359" t="s">
        <v>46</v>
      </c>
      <c r="H38" s="360" t="s">
        <v>47</v>
      </c>
      <c r="I38" s="361" t="s">
        <v>48</v>
      </c>
      <c r="P38" s="334"/>
      <c r="Q38" s="334"/>
    </row>
    <row r="39" spans="1:17" outlineLevel="1" x14ac:dyDescent="0.35">
      <c r="A39" s="333">
        <f t="shared" si="1"/>
        <v>39</v>
      </c>
      <c r="G39" s="362"/>
      <c r="H39" s="363" t="s">
        <v>46</v>
      </c>
      <c r="I39" s="364" t="s">
        <v>47</v>
      </c>
      <c r="M39" s="18"/>
      <c r="N39" s="79"/>
      <c r="P39" s="334"/>
      <c r="Q39" s="334"/>
    </row>
    <row r="40" spans="1:17" outlineLevel="1" x14ac:dyDescent="0.35">
      <c r="A40" s="333">
        <f t="shared" si="1"/>
        <v>40</v>
      </c>
      <c r="C40" s="19" t="s">
        <v>49</v>
      </c>
      <c r="D40" s="16"/>
      <c r="P40" s="334"/>
      <c r="Q40" s="334"/>
    </row>
    <row r="41" spans="1:17" outlineLevel="1" x14ac:dyDescent="0.35">
      <c r="A41" s="333">
        <f t="shared" si="1"/>
        <v>41</v>
      </c>
      <c r="C41" s="16"/>
      <c r="D41" s="7" t="s">
        <v>632</v>
      </c>
      <c r="E41" s="391"/>
      <c r="F41" s="1" t="s">
        <v>38</v>
      </c>
      <c r="N41" s="1"/>
      <c r="O41" s="1"/>
      <c r="P41" s="334"/>
      <c r="Q41" s="334"/>
    </row>
    <row r="42" spans="1:17" outlineLevel="1" x14ac:dyDescent="0.35">
      <c r="A42" s="333">
        <f t="shared" si="1"/>
        <v>42</v>
      </c>
      <c r="C42" s="16"/>
      <c r="D42" s="7" t="s">
        <v>633</v>
      </c>
      <c r="E42" s="28"/>
      <c r="F42" s="1" t="s">
        <v>34</v>
      </c>
      <c r="N42" s="1"/>
      <c r="O42" s="1"/>
      <c r="P42" s="334"/>
      <c r="Q42" s="334"/>
    </row>
    <row r="43" spans="1:17" outlineLevel="1" x14ac:dyDescent="0.35">
      <c r="A43" s="333">
        <f t="shared" si="1"/>
        <v>43</v>
      </c>
      <c r="C43" s="20"/>
      <c r="D43" s="20"/>
      <c r="E43" s="21"/>
      <c r="F43" s="21"/>
      <c r="G43" s="21"/>
      <c r="H43" s="21"/>
      <c r="I43" s="21"/>
      <c r="J43" s="21"/>
      <c r="K43" s="21"/>
      <c r="L43" s="21"/>
      <c r="M43" s="21"/>
      <c r="N43" s="21"/>
      <c r="O43" s="1"/>
      <c r="P43" s="334"/>
      <c r="Q43" s="334"/>
    </row>
    <row r="44" spans="1:17" outlineLevel="1" x14ac:dyDescent="0.35">
      <c r="A44" s="333">
        <f t="shared" si="1"/>
        <v>44</v>
      </c>
      <c r="C44" s="19" t="s">
        <v>50</v>
      </c>
      <c r="K44" s="22"/>
      <c r="N44" s="1"/>
      <c r="O44" s="1"/>
      <c r="P44" s="334"/>
      <c r="Q44" s="334"/>
    </row>
    <row r="45" spans="1:17" outlineLevel="1" x14ac:dyDescent="0.35">
      <c r="A45" s="333">
        <f t="shared" si="1"/>
        <v>45</v>
      </c>
      <c r="C45" s="19"/>
      <c r="D45" s="3" t="s">
        <v>634</v>
      </c>
      <c r="E45" s="391"/>
      <c r="F45" s="1" t="s">
        <v>38</v>
      </c>
      <c r="N45" s="1"/>
      <c r="O45" s="1"/>
      <c r="P45" s="334"/>
      <c r="Q45" s="334"/>
    </row>
    <row r="46" spans="1:17" outlineLevel="1" x14ac:dyDescent="0.35">
      <c r="A46" s="333">
        <f t="shared" si="1"/>
        <v>46</v>
      </c>
      <c r="D46" s="3" t="s">
        <v>635</v>
      </c>
      <c r="E46" s="28"/>
      <c r="F46" s="1" t="s">
        <v>34</v>
      </c>
      <c r="N46" s="1"/>
      <c r="O46" s="1"/>
      <c r="P46" s="334"/>
      <c r="Q46" s="334"/>
    </row>
    <row r="47" spans="1:17" outlineLevel="1" x14ac:dyDescent="0.35">
      <c r="A47" s="333">
        <f t="shared" si="1"/>
        <v>47</v>
      </c>
      <c r="C47" s="21"/>
      <c r="D47" s="23"/>
      <c r="E47" s="23"/>
      <c r="F47" s="23"/>
      <c r="G47" s="23"/>
      <c r="H47" s="23"/>
      <c r="I47" s="23"/>
      <c r="J47" s="21"/>
      <c r="K47" s="21"/>
      <c r="L47" s="21"/>
      <c r="M47" s="21"/>
      <c r="N47" s="21"/>
      <c r="O47" s="1"/>
      <c r="P47" s="334"/>
      <c r="Q47" s="334"/>
    </row>
    <row r="48" spans="1:17" outlineLevel="1" x14ac:dyDescent="0.35">
      <c r="A48" s="333">
        <f t="shared" si="1"/>
        <v>48</v>
      </c>
      <c r="C48" s="2" t="s">
        <v>636</v>
      </c>
      <c r="D48" s="3"/>
      <c r="E48" s="3"/>
      <c r="F48" s="3"/>
      <c r="G48" s="3"/>
      <c r="H48" s="3"/>
      <c r="I48" s="3"/>
      <c r="J48" s="3"/>
      <c r="K48" s="3"/>
      <c r="N48" s="1"/>
      <c r="O48" s="1"/>
      <c r="P48" s="334"/>
      <c r="Q48" s="334"/>
    </row>
    <row r="49" spans="1:17" outlineLevel="1" x14ac:dyDescent="0.35">
      <c r="A49" s="333">
        <f t="shared" si="1"/>
        <v>49</v>
      </c>
      <c r="C49" s="2"/>
      <c r="D49" s="7" t="s">
        <v>637</v>
      </c>
      <c r="E49" s="392" t="str">
        <f>IF(E41*E42=0,"",IF(E45*E46=0,"",(E41*(E42/(E42+E46)))+(E45*(E46/(E46+E42)))))</f>
        <v/>
      </c>
      <c r="F49" s="6"/>
      <c r="G49" s="3"/>
      <c r="H49" s="3"/>
      <c r="I49" s="3"/>
      <c r="J49" s="3"/>
      <c r="K49" s="3"/>
      <c r="P49" s="334"/>
      <c r="Q49" s="334"/>
    </row>
    <row r="50" spans="1:17" outlineLevel="1" x14ac:dyDescent="0.35">
      <c r="A50" s="333">
        <f t="shared" si="1"/>
        <v>50</v>
      </c>
      <c r="C50" s="2"/>
      <c r="D50" s="7"/>
      <c r="E50" s="7"/>
      <c r="F50" s="3"/>
      <c r="G50" s="3"/>
      <c r="H50" s="3"/>
      <c r="I50" s="3"/>
      <c r="J50" s="21"/>
      <c r="K50" s="21"/>
      <c r="L50" s="21"/>
      <c r="M50" s="21"/>
      <c r="N50" s="21"/>
      <c r="O50" s="3"/>
      <c r="P50" s="334"/>
      <c r="Q50" s="334"/>
    </row>
    <row r="51" spans="1:17" outlineLevel="1" x14ac:dyDescent="0.35">
      <c r="A51" s="333">
        <f t="shared" si="1"/>
        <v>51</v>
      </c>
      <c r="C51" s="24" t="s">
        <v>512</v>
      </c>
      <c r="D51" s="25"/>
      <c r="E51" s="25"/>
      <c r="F51" s="26"/>
      <c r="G51" s="26"/>
      <c r="H51" s="26"/>
      <c r="I51" s="26"/>
      <c r="J51" s="26"/>
      <c r="K51" s="26"/>
      <c r="P51" s="334"/>
      <c r="Q51" s="334"/>
    </row>
    <row r="52" spans="1:17" outlineLevel="1" x14ac:dyDescent="0.35">
      <c r="A52" s="333">
        <f t="shared" si="1"/>
        <v>52</v>
      </c>
      <c r="C52" s="2"/>
      <c r="D52" s="7" t="s">
        <v>639</v>
      </c>
      <c r="E52" s="391"/>
      <c r="F52" s="1" t="s">
        <v>38</v>
      </c>
      <c r="G52" s="3"/>
      <c r="I52" s="3" t="s">
        <v>638</v>
      </c>
      <c r="J52" s="353"/>
      <c r="K52" s="1" t="s">
        <v>38</v>
      </c>
      <c r="P52" s="334"/>
      <c r="Q52" s="334"/>
    </row>
    <row r="53" spans="1:17" outlineLevel="1" x14ac:dyDescent="0.35">
      <c r="A53" s="333">
        <f t="shared" si="1"/>
        <v>53</v>
      </c>
      <c r="C53" s="16"/>
      <c r="D53" s="7" t="s">
        <v>640</v>
      </c>
      <c r="E53" s="391"/>
      <c r="F53" s="1" t="s">
        <v>38</v>
      </c>
      <c r="G53" s="8" t="str">
        <f>+IF(E53="","",IF(E52&gt;E53,"ERROR! No puede ser el destete mayor a la preñez",""))</f>
        <v/>
      </c>
      <c r="I53" s="14" t="s">
        <v>51</v>
      </c>
      <c r="J53" s="365"/>
      <c r="K53" s="1" t="s">
        <v>52</v>
      </c>
      <c r="P53" s="334"/>
      <c r="Q53" s="334"/>
    </row>
    <row r="54" spans="1:17" outlineLevel="1" x14ac:dyDescent="0.35">
      <c r="A54" s="333">
        <f t="shared" si="1"/>
        <v>54</v>
      </c>
      <c r="C54" s="16"/>
      <c r="D54" s="7" t="s">
        <v>643</v>
      </c>
      <c r="E54" s="367"/>
      <c r="H54" s="3"/>
      <c r="I54" s="3" t="s">
        <v>642</v>
      </c>
      <c r="J54" s="353"/>
      <c r="K54" s="1" t="s">
        <v>38</v>
      </c>
      <c r="P54" s="334"/>
      <c r="Q54" s="334"/>
    </row>
    <row r="55" spans="1:17" outlineLevel="1" x14ac:dyDescent="0.35">
      <c r="A55" s="333">
        <f t="shared" si="1"/>
        <v>55</v>
      </c>
      <c r="C55" s="16"/>
      <c r="D55" s="7" t="s">
        <v>641</v>
      </c>
      <c r="E55" s="367"/>
      <c r="F55" s="1" t="s">
        <v>34</v>
      </c>
      <c r="H55" s="3"/>
      <c r="P55" s="334"/>
      <c r="Q55" s="334"/>
    </row>
    <row r="56" spans="1:17" outlineLevel="1" x14ac:dyDescent="0.35">
      <c r="A56" s="333">
        <f t="shared" si="1"/>
        <v>56</v>
      </c>
      <c r="I56" s="2" t="s">
        <v>645</v>
      </c>
      <c r="J56" s="2" t="s">
        <v>646</v>
      </c>
      <c r="P56" s="334"/>
      <c r="Q56" s="334"/>
    </row>
    <row r="57" spans="1:17" outlineLevel="1" x14ac:dyDescent="0.35">
      <c r="A57" s="333">
        <f t="shared" si="1"/>
        <v>57</v>
      </c>
      <c r="D57" s="3" t="s">
        <v>58</v>
      </c>
      <c r="E57" s="28"/>
      <c r="F57" s="1" t="s">
        <v>59</v>
      </c>
      <c r="H57" s="3" t="s">
        <v>647</v>
      </c>
      <c r="I57" s="389"/>
      <c r="J57" s="366"/>
      <c r="P57" s="334"/>
      <c r="Q57" s="334"/>
    </row>
    <row r="58" spans="1:17" outlineLevel="1" x14ac:dyDescent="0.35">
      <c r="A58" s="333">
        <f t="shared" si="1"/>
        <v>58</v>
      </c>
      <c r="D58" s="3" t="s">
        <v>644</v>
      </c>
      <c r="E58" s="28"/>
      <c r="H58" s="3" t="s">
        <v>648</v>
      </c>
      <c r="I58" s="389"/>
      <c r="J58" s="366"/>
      <c r="P58" s="334"/>
      <c r="Q58" s="334"/>
    </row>
    <row r="59" spans="1:17" outlineLevel="1" x14ac:dyDescent="0.35">
      <c r="A59" s="333">
        <f t="shared" si="1"/>
        <v>59</v>
      </c>
      <c r="F59" s="27"/>
      <c r="G59" s="27"/>
      <c r="P59" s="334"/>
      <c r="Q59" s="334"/>
    </row>
    <row r="60" spans="1:17" outlineLevel="1" x14ac:dyDescent="0.35">
      <c r="A60" s="333">
        <f t="shared" si="1"/>
        <v>60</v>
      </c>
      <c r="C60" s="59" t="s">
        <v>192</v>
      </c>
      <c r="D60" s="27"/>
      <c r="E60" s="18" t="s">
        <v>189</v>
      </c>
      <c r="F60" s="18" t="s">
        <v>190</v>
      </c>
      <c r="G60" s="18" t="s">
        <v>191</v>
      </c>
      <c r="H60" s="18" t="s">
        <v>113</v>
      </c>
      <c r="I60" s="18" t="s">
        <v>193</v>
      </c>
      <c r="P60" s="334"/>
      <c r="Q60" s="334"/>
    </row>
    <row r="61" spans="1:17" outlineLevel="1" x14ac:dyDescent="0.35">
      <c r="A61" s="333">
        <f t="shared" si="1"/>
        <v>61</v>
      </c>
      <c r="D61" s="3" t="s">
        <v>188</v>
      </c>
      <c r="E61" s="28"/>
      <c r="F61" s="28"/>
      <c r="G61" s="28"/>
      <c r="H61" s="28"/>
      <c r="I61" s="28"/>
      <c r="P61" s="334"/>
      <c r="Q61" s="334"/>
    </row>
    <row r="62" spans="1:17" x14ac:dyDescent="0.35">
      <c r="A62" s="333">
        <f t="shared" si="1"/>
        <v>62</v>
      </c>
      <c r="P62" s="334"/>
      <c r="Q62" s="334"/>
    </row>
    <row r="63" spans="1:17" x14ac:dyDescent="0.35">
      <c r="A63" s="333">
        <f t="shared" si="1"/>
        <v>63</v>
      </c>
      <c r="B63" s="348" t="s">
        <v>60</v>
      </c>
      <c r="C63" s="348"/>
      <c r="D63" s="348"/>
      <c r="E63" s="348"/>
      <c r="F63" s="348"/>
      <c r="G63" s="348"/>
      <c r="H63" s="349"/>
      <c r="I63" s="349"/>
      <c r="J63" s="349"/>
      <c r="K63" s="349"/>
      <c r="L63" s="349"/>
      <c r="M63" s="349"/>
      <c r="N63" s="350"/>
      <c r="O63" s="350"/>
      <c r="P63" s="334"/>
      <c r="Q63" s="334"/>
    </row>
    <row r="64" spans="1:17" outlineLevel="2" x14ac:dyDescent="0.35">
      <c r="A64" s="333">
        <f t="shared" si="1"/>
        <v>64</v>
      </c>
      <c r="B64" s="8"/>
      <c r="C64" s="354" t="s">
        <v>513</v>
      </c>
      <c r="D64" s="17"/>
      <c r="E64" s="8"/>
      <c r="L64" s="368"/>
      <c r="M64" s="368"/>
      <c r="N64" s="369"/>
      <c r="O64" s="369"/>
      <c r="P64" s="334"/>
      <c r="Q64" s="334"/>
    </row>
    <row r="65" spans="1:17" outlineLevel="2" x14ac:dyDescent="0.35">
      <c r="A65" s="333">
        <f t="shared" si="1"/>
        <v>65</v>
      </c>
      <c r="C65" s="370" t="s">
        <v>574</v>
      </c>
      <c r="N65" s="1"/>
      <c r="P65" s="334"/>
      <c r="Q65" s="334"/>
    </row>
    <row r="66" spans="1:17" outlineLevel="2" x14ac:dyDescent="0.35">
      <c r="A66" s="333">
        <f t="shared" si="1"/>
        <v>66</v>
      </c>
      <c r="N66" s="1"/>
      <c r="O66" s="1"/>
      <c r="P66" s="334"/>
      <c r="Q66" s="334"/>
    </row>
    <row r="67" spans="1:17" outlineLevel="2" x14ac:dyDescent="0.35">
      <c r="A67" s="333">
        <f t="shared" ref="A67:A130" si="2">+A66+1</f>
        <v>67</v>
      </c>
      <c r="C67" s="60"/>
      <c r="D67" s="60" t="s">
        <v>61</v>
      </c>
      <c r="H67" s="29" t="s">
        <v>567</v>
      </c>
      <c r="I67" s="29"/>
      <c r="N67" s="1"/>
      <c r="O67" s="1"/>
      <c r="P67" s="334"/>
      <c r="Q67" s="334"/>
    </row>
    <row r="68" spans="1:17" outlineLevel="2" x14ac:dyDescent="0.35">
      <c r="A68" s="333">
        <f t="shared" si="2"/>
        <v>68</v>
      </c>
      <c r="D68" s="3" t="s">
        <v>40</v>
      </c>
      <c r="E68" s="28"/>
      <c r="F68" s="1" t="s">
        <v>41</v>
      </c>
      <c r="I68" s="3" t="s">
        <v>40</v>
      </c>
      <c r="J68" s="28"/>
      <c r="K68" s="1" t="s">
        <v>41</v>
      </c>
      <c r="O68" s="1"/>
      <c r="P68" s="334"/>
      <c r="Q68" s="334"/>
    </row>
    <row r="69" spans="1:17" outlineLevel="2" x14ac:dyDescent="0.35">
      <c r="A69" s="333">
        <f t="shared" si="2"/>
        <v>69</v>
      </c>
      <c r="D69" s="3"/>
      <c r="I69" s="3"/>
      <c r="P69" s="334"/>
      <c r="Q69" s="334"/>
    </row>
    <row r="70" spans="1:17" outlineLevel="2" x14ac:dyDescent="0.35">
      <c r="A70" s="333">
        <f t="shared" si="2"/>
        <v>70</v>
      </c>
      <c r="D70" s="7" t="s">
        <v>43</v>
      </c>
      <c r="E70" s="28"/>
      <c r="F70" s="16" t="s">
        <v>518</v>
      </c>
      <c r="I70" s="7" t="s">
        <v>43</v>
      </c>
      <c r="J70" s="28"/>
      <c r="K70" s="16" t="s">
        <v>518</v>
      </c>
      <c r="P70" s="334"/>
      <c r="Q70" s="334"/>
    </row>
    <row r="71" spans="1:17" outlineLevel="2" x14ac:dyDescent="0.35">
      <c r="A71" s="333">
        <f t="shared" si="2"/>
        <v>71</v>
      </c>
      <c r="D71" s="3" t="s">
        <v>43</v>
      </c>
      <c r="E71" s="28"/>
      <c r="F71" s="1" t="s">
        <v>41</v>
      </c>
      <c r="I71" s="3" t="s">
        <v>43</v>
      </c>
      <c r="J71" s="28"/>
      <c r="K71" s="1" t="s">
        <v>41</v>
      </c>
      <c r="P71" s="334"/>
      <c r="Q71" s="334"/>
    </row>
    <row r="72" spans="1:17" outlineLevel="2" x14ac:dyDescent="0.35">
      <c r="A72" s="333">
        <f t="shared" si="2"/>
        <v>72</v>
      </c>
      <c r="D72" s="371" t="s">
        <v>194</v>
      </c>
      <c r="E72" s="357"/>
      <c r="F72" s="1" t="s">
        <v>62</v>
      </c>
      <c r="I72" s="371" t="s">
        <v>194</v>
      </c>
      <c r="J72" s="357"/>
      <c r="K72" s="1" t="s">
        <v>62</v>
      </c>
      <c r="P72" s="334"/>
      <c r="Q72" s="334"/>
    </row>
    <row r="73" spans="1:17" outlineLevel="2" x14ac:dyDescent="0.35">
      <c r="A73" s="333">
        <f t="shared" si="2"/>
        <v>73</v>
      </c>
      <c r="D73" s="372" t="s">
        <v>68</v>
      </c>
      <c r="E73" s="373" t="e">
        <f>+E68/E70/365</f>
        <v>#DIV/0!</v>
      </c>
      <c r="F73" s="1" t="s">
        <v>69</v>
      </c>
      <c r="I73" s="372" t="s">
        <v>68</v>
      </c>
      <c r="J73" s="373" t="e">
        <f>+J68/J70/365</f>
        <v>#DIV/0!</v>
      </c>
      <c r="K73" s="1" t="s">
        <v>69</v>
      </c>
      <c r="P73" s="334"/>
      <c r="Q73" s="334"/>
    </row>
    <row r="74" spans="1:17" outlineLevel="2" x14ac:dyDescent="0.35">
      <c r="A74" s="333">
        <f t="shared" si="2"/>
        <v>74</v>
      </c>
      <c r="D74" s="372" t="s">
        <v>39</v>
      </c>
      <c r="E74" s="373" t="e">
        <f>E68/E71</f>
        <v>#DIV/0!</v>
      </c>
      <c r="I74" s="372" t="s">
        <v>39</v>
      </c>
      <c r="J74" s="373" t="e">
        <f>+J68/J71</f>
        <v>#DIV/0!</v>
      </c>
      <c r="P74" s="334"/>
      <c r="Q74" s="334"/>
    </row>
    <row r="75" spans="1:17" outlineLevel="2" x14ac:dyDescent="0.35">
      <c r="A75" s="333">
        <f t="shared" si="2"/>
        <v>75</v>
      </c>
      <c r="D75" s="14" t="s">
        <v>519</v>
      </c>
      <c r="E75" s="374" t="e">
        <f>+E68/E70</f>
        <v>#DIV/0!</v>
      </c>
      <c r="I75" s="14" t="s">
        <v>519</v>
      </c>
      <c r="J75" s="374" t="e">
        <f>+J68/J70</f>
        <v>#DIV/0!</v>
      </c>
      <c r="P75" s="334"/>
      <c r="Q75" s="334"/>
    </row>
    <row r="76" spans="1:17" outlineLevel="2" x14ac:dyDescent="0.35">
      <c r="A76" s="333">
        <f t="shared" si="2"/>
        <v>76</v>
      </c>
      <c r="P76" s="334"/>
      <c r="Q76" s="334"/>
    </row>
    <row r="77" spans="1:17" outlineLevel="2" x14ac:dyDescent="0.35">
      <c r="A77" s="333">
        <f t="shared" si="2"/>
        <v>77</v>
      </c>
      <c r="C77" s="308" t="s">
        <v>573</v>
      </c>
      <c r="H77" s="308" t="s">
        <v>572</v>
      </c>
      <c r="P77" s="334"/>
      <c r="Q77" s="334"/>
    </row>
    <row r="78" spans="1:17" outlineLevel="2" x14ac:dyDescent="0.35">
      <c r="A78" s="333">
        <f t="shared" si="2"/>
        <v>78</v>
      </c>
      <c r="C78" s="309" t="s">
        <v>565</v>
      </c>
      <c r="H78" s="309" t="s">
        <v>565</v>
      </c>
      <c r="P78" s="334"/>
      <c r="Q78" s="334"/>
    </row>
    <row r="79" spans="1:17" outlineLevel="2" x14ac:dyDescent="0.35">
      <c r="A79" s="333">
        <f t="shared" si="2"/>
        <v>79</v>
      </c>
      <c r="D79" s="1" t="s">
        <v>522</v>
      </c>
      <c r="E79" s="375"/>
      <c r="I79" s="1" t="s">
        <v>522</v>
      </c>
      <c r="J79" s="375"/>
      <c r="P79" s="334"/>
      <c r="Q79" s="334"/>
    </row>
    <row r="80" spans="1:17" outlineLevel="2" x14ac:dyDescent="0.35">
      <c r="A80" s="333">
        <f t="shared" si="2"/>
        <v>80</v>
      </c>
      <c r="I80" s="14" t="s">
        <v>566</v>
      </c>
      <c r="J80" s="28"/>
      <c r="P80" s="334"/>
      <c r="Q80" s="334"/>
    </row>
    <row r="81" spans="1:17" outlineLevel="2" x14ac:dyDescent="0.35">
      <c r="A81" s="333">
        <f t="shared" si="2"/>
        <v>81</v>
      </c>
      <c r="D81" s="1" t="s">
        <v>520</v>
      </c>
      <c r="E81" s="28"/>
      <c r="F81" s="1" t="s">
        <v>59</v>
      </c>
      <c r="I81" s="1" t="s">
        <v>520</v>
      </c>
      <c r="J81" s="28"/>
      <c r="K81" s="1" t="s">
        <v>59</v>
      </c>
      <c r="P81" s="334"/>
      <c r="Q81" s="334"/>
    </row>
    <row r="82" spans="1:17" outlineLevel="2" x14ac:dyDescent="0.35">
      <c r="A82" s="333">
        <f t="shared" si="2"/>
        <v>82</v>
      </c>
      <c r="D82" s="1" t="s">
        <v>521</v>
      </c>
      <c r="E82" s="28"/>
      <c r="F82" s="1" t="s">
        <v>59</v>
      </c>
      <c r="I82" s="1" t="s">
        <v>521</v>
      </c>
      <c r="J82" s="28"/>
      <c r="K82" s="1" t="s">
        <v>59</v>
      </c>
      <c r="P82" s="334"/>
      <c r="Q82" s="334"/>
    </row>
    <row r="83" spans="1:17" outlineLevel="2" x14ac:dyDescent="0.35">
      <c r="A83" s="333">
        <f t="shared" si="2"/>
        <v>83</v>
      </c>
      <c r="D83" s="372" t="s">
        <v>523</v>
      </c>
      <c r="E83" s="376"/>
      <c r="I83" s="372" t="s">
        <v>523</v>
      </c>
      <c r="J83" s="376"/>
      <c r="P83" s="334"/>
      <c r="Q83" s="334"/>
    </row>
    <row r="84" spans="1:17" outlineLevel="2" x14ac:dyDescent="0.35">
      <c r="A84" s="333">
        <f t="shared" si="2"/>
        <v>84</v>
      </c>
      <c r="D84" s="372" t="s">
        <v>66</v>
      </c>
      <c r="E84" s="377"/>
      <c r="F84" s="1" t="s">
        <v>67</v>
      </c>
      <c r="I84" s="372" t="s">
        <v>66</v>
      </c>
      <c r="J84" s="377"/>
      <c r="K84" s="1" t="s">
        <v>67</v>
      </c>
      <c r="P84" s="334"/>
      <c r="Q84" s="334"/>
    </row>
    <row r="85" spans="1:17" outlineLevel="2" x14ac:dyDescent="0.35">
      <c r="A85" s="333">
        <f t="shared" si="2"/>
        <v>85</v>
      </c>
      <c r="D85" s="378"/>
      <c r="E85" s="3"/>
      <c r="F85" s="379"/>
      <c r="G85" s="16"/>
      <c r="H85" s="16"/>
      <c r="I85" s="16"/>
      <c r="J85" s="7"/>
      <c r="K85" s="379"/>
      <c r="P85" s="334"/>
      <c r="Q85" s="334"/>
    </row>
    <row r="86" spans="1:17" x14ac:dyDescent="0.35">
      <c r="A86" s="333">
        <f t="shared" si="2"/>
        <v>86</v>
      </c>
      <c r="B86" s="348" t="s">
        <v>70</v>
      </c>
      <c r="C86" s="348"/>
      <c r="D86" s="348"/>
      <c r="E86" s="348"/>
      <c r="F86" s="348"/>
      <c r="G86" s="348"/>
      <c r="H86" s="349"/>
      <c r="I86" s="349"/>
      <c r="J86" s="349"/>
      <c r="K86" s="349"/>
      <c r="L86" s="349"/>
      <c r="M86" s="349"/>
      <c r="N86" s="350"/>
      <c r="O86" s="350"/>
      <c r="P86" s="334"/>
      <c r="Q86" s="334"/>
    </row>
    <row r="87" spans="1:17" outlineLevel="1" x14ac:dyDescent="0.35">
      <c r="A87" s="333">
        <f t="shared" si="2"/>
        <v>87</v>
      </c>
      <c r="B87" s="8"/>
      <c r="C87" s="354" t="s">
        <v>71</v>
      </c>
      <c r="D87" s="17"/>
      <c r="E87" s="8"/>
      <c r="F87" s="380"/>
      <c r="G87" s="380"/>
      <c r="H87" s="368"/>
      <c r="I87" s="368"/>
      <c r="J87" s="368"/>
      <c r="K87" s="368"/>
      <c r="L87" s="368"/>
      <c r="M87" s="368"/>
      <c r="N87" s="369"/>
      <c r="O87" s="369"/>
      <c r="P87" s="334"/>
      <c r="Q87" s="334"/>
    </row>
    <row r="88" spans="1:17" outlineLevel="1" x14ac:dyDescent="0.35">
      <c r="A88" s="333">
        <f t="shared" si="2"/>
        <v>88</v>
      </c>
      <c r="B88" s="380"/>
      <c r="D88" s="380"/>
      <c r="E88" s="380"/>
      <c r="F88" s="380"/>
      <c r="G88" s="380"/>
      <c r="H88" s="368"/>
      <c r="I88" s="368"/>
      <c r="J88" s="368"/>
      <c r="K88" s="368"/>
      <c r="L88" s="368"/>
      <c r="M88" s="368"/>
      <c r="N88" s="369"/>
      <c r="O88" s="369"/>
      <c r="P88" s="334"/>
      <c r="Q88" s="334"/>
    </row>
    <row r="89" spans="1:17" outlineLevel="1" x14ac:dyDescent="0.35">
      <c r="A89" s="333">
        <f t="shared" si="2"/>
        <v>89</v>
      </c>
      <c r="B89" s="380"/>
      <c r="C89" s="354"/>
      <c r="D89" s="380"/>
      <c r="E89" s="380"/>
      <c r="F89" s="380"/>
      <c r="G89" s="381" t="s">
        <v>72</v>
      </c>
      <c r="H89" s="382"/>
      <c r="I89" s="368"/>
      <c r="J89" s="368"/>
      <c r="K89" s="368"/>
      <c r="L89" s="368"/>
      <c r="M89" s="368"/>
      <c r="N89" s="369"/>
      <c r="O89" s="369"/>
      <c r="P89" s="334"/>
    </row>
    <row r="90" spans="1:17" outlineLevel="1" x14ac:dyDescent="0.35">
      <c r="A90" s="333">
        <f t="shared" si="2"/>
        <v>90</v>
      </c>
      <c r="B90" s="380"/>
      <c r="C90" s="354" t="s">
        <v>661</v>
      </c>
      <c r="D90" s="380"/>
      <c r="E90" s="380"/>
      <c r="F90" s="380"/>
      <c r="G90" s="381" t="s">
        <v>73</v>
      </c>
      <c r="H90" s="383"/>
      <c r="I90" s="368"/>
      <c r="J90" s="368"/>
      <c r="K90" s="368"/>
      <c r="L90" s="368"/>
      <c r="M90" s="368"/>
      <c r="N90" s="369"/>
      <c r="O90" s="369"/>
      <c r="P90" s="334"/>
    </row>
    <row r="91" spans="1:17" outlineLevel="1" x14ac:dyDescent="0.35">
      <c r="A91" s="333">
        <f t="shared" si="2"/>
        <v>91</v>
      </c>
      <c r="P91" s="334"/>
    </row>
    <row r="92" spans="1:17" outlineLevel="1" x14ac:dyDescent="0.35">
      <c r="A92" s="333">
        <f t="shared" si="2"/>
        <v>92</v>
      </c>
      <c r="D92" s="29" t="s">
        <v>74</v>
      </c>
      <c r="G92" s="30"/>
      <c r="H92" s="31"/>
      <c r="I92" s="29" t="s">
        <v>75</v>
      </c>
      <c r="P92" s="334"/>
    </row>
    <row r="93" spans="1:17" outlineLevel="1" x14ac:dyDescent="0.35">
      <c r="A93" s="333">
        <f t="shared" si="2"/>
        <v>93</v>
      </c>
      <c r="D93" s="371"/>
      <c r="G93" s="30"/>
      <c r="H93" s="31"/>
      <c r="P93" s="334"/>
    </row>
    <row r="94" spans="1:17" outlineLevel="1" x14ac:dyDescent="0.35">
      <c r="A94" s="333">
        <f t="shared" si="2"/>
        <v>94</v>
      </c>
      <c r="D94" s="372" t="s">
        <v>63</v>
      </c>
      <c r="E94" s="28"/>
      <c r="F94" s="1" t="s">
        <v>64</v>
      </c>
      <c r="G94" s="30"/>
      <c r="I94" s="3" t="s">
        <v>40</v>
      </c>
      <c r="J94" s="28"/>
      <c r="K94" s="1" t="s">
        <v>41</v>
      </c>
      <c r="M94" s="10"/>
      <c r="P94" s="334"/>
    </row>
    <row r="95" spans="1:17" ht="18" customHeight="1" outlineLevel="1" x14ac:dyDescent="0.35">
      <c r="A95" s="333">
        <f t="shared" si="2"/>
        <v>95</v>
      </c>
      <c r="D95" s="3"/>
      <c r="E95" s="3"/>
      <c r="G95" s="30"/>
      <c r="I95" s="3"/>
      <c r="M95" s="10"/>
      <c r="P95" s="334"/>
    </row>
    <row r="96" spans="1:17" outlineLevel="1" x14ac:dyDescent="0.35">
      <c r="A96" s="333">
        <f t="shared" si="2"/>
        <v>96</v>
      </c>
      <c r="D96" s="14" t="s">
        <v>519</v>
      </c>
      <c r="E96" s="28"/>
      <c r="F96" s="1" t="s">
        <v>655</v>
      </c>
      <c r="G96" s="30"/>
      <c r="I96" s="14" t="s">
        <v>519</v>
      </c>
      <c r="J96" s="28"/>
      <c r="K96" s="16" t="s">
        <v>518</v>
      </c>
      <c r="M96" s="10"/>
      <c r="P96" s="334"/>
    </row>
    <row r="97" spans="1:17 16382:16382" outlineLevel="1" x14ac:dyDescent="0.35">
      <c r="A97" s="333">
        <f t="shared" si="2"/>
        <v>97</v>
      </c>
      <c r="D97" s="372" t="s">
        <v>660</v>
      </c>
      <c r="E97" s="397"/>
      <c r="F97" s="1" t="s">
        <v>69</v>
      </c>
      <c r="G97" s="30"/>
      <c r="I97" s="372" t="s">
        <v>660</v>
      </c>
      <c r="J97" s="397"/>
      <c r="K97" s="1" t="s">
        <v>41</v>
      </c>
      <c r="P97" s="334"/>
    </row>
    <row r="98" spans="1:17 16382:16382" outlineLevel="1" x14ac:dyDescent="0.35">
      <c r="A98" s="333">
        <f t="shared" si="2"/>
        <v>98</v>
      </c>
      <c r="D98" s="371" t="s">
        <v>194</v>
      </c>
      <c r="E98" s="357"/>
      <c r="F98" s="1" t="s">
        <v>62</v>
      </c>
      <c r="G98" s="30"/>
      <c r="I98" s="371" t="s">
        <v>194</v>
      </c>
      <c r="J98" s="357"/>
      <c r="K98" s="1" t="s">
        <v>62</v>
      </c>
      <c r="P98" s="334"/>
    </row>
    <row r="99" spans="1:17 16382:16382" outlineLevel="1" x14ac:dyDescent="0.35">
      <c r="A99" s="333">
        <f t="shared" si="2"/>
        <v>99</v>
      </c>
      <c r="D99" s="372" t="s">
        <v>76</v>
      </c>
      <c r="E99" s="357"/>
      <c r="F99" s="1" t="s">
        <v>77</v>
      </c>
      <c r="G99" s="30"/>
      <c r="I99" s="372" t="s">
        <v>76</v>
      </c>
      <c r="J99" s="357"/>
      <c r="K99" s="1" t="s">
        <v>77</v>
      </c>
      <c r="P99" s="334"/>
    </row>
    <row r="100" spans="1:17 16382:16382" outlineLevel="1" x14ac:dyDescent="0.35">
      <c r="A100" s="333">
        <f t="shared" si="2"/>
        <v>100</v>
      </c>
      <c r="D100" s="372"/>
      <c r="E100" s="372"/>
      <c r="F100" s="372"/>
      <c r="G100" s="30"/>
      <c r="P100" s="334"/>
    </row>
    <row r="101" spans="1:17 16382:16382" outlineLevel="1" x14ac:dyDescent="0.35">
      <c r="A101" s="333">
        <f t="shared" si="2"/>
        <v>101</v>
      </c>
      <c r="C101" s="10"/>
      <c r="D101" s="14" t="s">
        <v>551</v>
      </c>
      <c r="E101" s="393" t="e">
        <f>+E99/E94</f>
        <v>#DIV/0!</v>
      </c>
      <c r="F101" s="372"/>
      <c r="G101" s="30"/>
      <c r="I101" s="14" t="s">
        <v>551</v>
      </c>
      <c r="J101" s="393" t="e">
        <f>+J99/J94</f>
        <v>#DIV/0!</v>
      </c>
      <c r="P101" s="334"/>
    </row>
    <row r="102" spans="1:17 16382:16382" outlineLevel="1" x14ac:dyDescent="0.35">
      <c r="A102" s="333">
        <f t="shared" si="2"/>
        <v>102</v>
      </c>
      <c r="D102" s="372"/>
      <c r="G102" s="30"/>
      <c r="P102" s="334"/>
    </row>
    <row r="103" spans="1:17 16382:16382" outlineLevel="1" x14ac:dyDescent="0.35">
      <c r="A103" s="333">
        <f t="shared" si="2"/>
        <v>103</v>
      </c>
      <c r="G103" s="30"/>
      <c r="P103" s="334"/>
    </row>
    <row r="104" spans="1:17 16382:16382" outlineLevel="1" x14ac:dyDescent="0.35">
      <c r="A104" s="333">
        <f t="shared" si="2"/>
        <v>104</v>
      </c>
      <c r="D104" s="308" t="s">
        <v>563</v>
      </c>
      <c r="G104" s="30"/>
      <c r="P104" s="334"/>
    </row>
    <row r="105" spans="1:17 16382:16382" outlineLevel="1" x14ac:dyDescent="0.35">
      <c r="A105" s="333">
        <f t="shared" si="2"/>
        <v>105</v>
      </c>
      <c r="C105" s="309" t="s">
        <v>564</v>
      </c>
      <c r="D105" s="308"/>
      <c r="G105" s="30"/>
      <c r="I105" s="308" t="s">
        <v>568</v>
      </c>
      <c r="P105" s="334"/>
    </row>
    <row r="106" spans="1:17 16382:16382" outlineLevel="2" x14ac:dyDescent="0.35">
      <c r="A106" s="333">
        <f t="shared" si="2"/>
        <v>106</v>
      </c>
      <c r="B106" s="309"/>
      <c r="G106" s="30"/>
      <c r="H106" s="1" t="s">
        <v>564</v>
      </c>
      <c r="P106" s="334"/>
      <c r="Q106" s="334"/>
    </row>
    <row r="107" spans="1:17 16382:16382" outlineLevel="1" x14ac:dyDescent="0.35">
      <c r="A107" s="333">
        <f t="shared" si="2"/>
        <v>107</v>
      </c>
      <c r="D107" s="1" t="s">
        <v>522</v>
      </c>
      <c r="E107" s="375"/>
      <c r="G107" s="30"/>
      <c r="I107" s="1" t="s">
        <v>522</v>
      </c>
      <c r="J107" s="375"/>
      <c r="P107" s="334"/>
      <c r="XFB107" s="1"/>
    </row>
    <row r="108" spans="1:17 16382:16382" outlineLevel="1" x14ac:dyDescent="0.35">
      <c r="A108" s="333">
        <f t="shared" si="2"/>
        <v>108</v>
      </c>
      <c r="G108" s="30"/>
      <c r="I108" s="14" t="s">
        <v>566</v>
      </c>
      <c r="J108" s="28"/>
      <c r="P108" s="334"/>
      <c r="XFB108" s="1"/>
    </row>
    <row r="109" spans="1:17 16382:16382" outlineLevel="1" x14ac:dyDescent="0.35">
      <c r="A109" s="333">
        <f t="shared" si="2"/>
        <v>109</v>
      </c>
      <c r="D109" s="1" t="s">
        <v>520</v>
      </c>
      <c r="E109" s="28"/>
      <c r="F109" s="1" t="s">
        <v>59</v>
      </c>
      <c r="G109" s="30"/>
      <c r="I109" s="1" t="s">
        <v>520</v>
      </c>
      <c r="J109" s="28"/>
      <c r="K109" s="1" t="s">
        <v>59</v>
      </c>
      <c r="P109" s="334"/>
    </row>
    <row r="110" spans="1:17 16382:16382" outlineLevel="1" x14ac:dyDescent="0.35">
      <c r="A110" s="333">
        <f t="shared" si="2"/>
        <v>110</v>
      </c>
      <c r="D110" s="1" t="s">
        <v>521</v>
      </c>
      <c r="E110" s="28"/>
      <c r="F110" s="1" t="s">
        <v>59</v>
      </c>
      <c r="G110" s="30"/>
      <c r="I110" s="1" t="s">
        <v>521</v>
      </c>
      <c r="J110" s="28"/>
      <c r="K110" s="1" t="s">
        <v>59</v>
      </c>
      <c r="P110" s="334"/>
    </row>
    <row r="111" spans="1:17 16382:16382" ht="15" customHeight="1" outlineLevel="1" x14ac:dyDescent="0.35">
      <c r="A111" s="333">
        <f t="shared" si="2"/>
        <v>111</v>
      </c>
      <c r="G111" s="30"/>
      <c r="P111" s="334"/>
    </row>
    <row r="112" spans="1:17 16382:16382" ht="15" customHeight="1" outlineLevel="1" x14ac:dyDescent="0.35">
      <c r="A112" s="333">
        <f t="shared" si="2"/>
        <v>112</v>
      </c>
      <c r="C112" s="10"/>
      <c r="D112" s="384" t="s">
        <v>540</v>
      </c>
      <c r="E112" s="1" t="s">
        <v>67</v>
      </c>
      <c r="G112" s="30"/>
      <c r="I112" s="384" t="s">
        <v>540</v>
      </c>
      <c r="J112" s="1" t="s">
        <v>67</v>
      </c>
      <c r="P112" s="334"/>
    </row>
    <row r="113" spans="1:16" outlineLevel="1" x14ac:dyDescent="0.35">
      <c r="A113" s="333">
        <f t="shared" si="2"/>
        <v>113</v>
      </c>
      <c r="D113" s="372" t="s">
        <v>78</v>
      </c>
      <c r="E113" s="385"/>
      <c r="G113" s="30"/>
      <c r="I113" s="372" t="s">
        <v>78</v>
      </c>
      <c r="J113" s="385"/>
      <c r="P113" s="334"/>
    </row>
    <row r="114" spans="1:16" outlineLevel="1" x14ac:dyDescent="0.35">
      <c r="A114" s="333">
        <f t="shared" si="2"/>
        <v>114</v>
      </c>
      <c r="D114" s="14" t="s">
        <v>79</v>
      </c>
      <c r="E114" s="385"/>
      <c r="G114" s="30"/>
      <c r="I114" s="14" t="s">
        <v>79</v>
      </c>
      <c r="J114" s="385"/>
      <c r="P114" s="334"/>
    </row>
    <row r="115" spans="1:16" outlineLevel="1" x14ac:dyDescent="0.35">
      <c r="A115" s="333">
        <f t="shared" si="2"/>
        <v>115</v>
      </c>
      <c r="D115" s="14" t="s">
        <v>80</v>
      </c>
      <c r="E115" s="385"/>
      <c r="G115" s="30"/>
      <c r="I115" s="14" t="s">
        <v>80</v>
      </c>
      <c r="J115" s="385"/>
      <c r="P115" s="334"/>
    </row>
    <row r="116" spans="1:16" outlineLevel="1" x14ac:dyDescent="0.35">
      <c r="A116" s="333">
        <f t="shared" si="2"/>
        <v>116</v>
      </c>
      <c r="D116" s="14" t="s">
        <v>81</v>
      </c>
      <c r="E116" s="385"/>
      <c r="G116" s="30"/>
      <c r="I116" s="14" t="s">
        <v>81</v>
      </c>
      <c r="J116" s="385"/>
      <c r="P116" s="334"/>
    </row>
    <row r="117" spans="1:16" outlineLevel="1" x14ac:dyDescent="0.35">
      <c r="A117" s="333">
        <f t="shared" si="2"/>
        <v>117</v>
      </c>
      <c r="D117" s="14" t="s">
        <v>82</v>
      </c>
      <c r="E117" s="385"/>
      <c r="G117" s="30"/>
      <c r="I117" s="14" t="s">
        <v>82</v>
      </c>
      <c r="J117" s="385"/>
      <c r="P117" s="334"/>
    </row>
    <row r="118" spans="1:16" outlineLevel="1" x14ac:dyDescent="0.35">
      <c r="A118" s="333">
        <f t="shared" si="2"/>
        <v>118</v>
      </c>
      <c r="D118" s="14" t="s">
        <v>83</v>
      </c>
      <c r="E118" s="385"/>
      <c r="G118" s="30"/>
      <c r="H118" s="31"/>
      <c r="I118" s="14" t="s">
        <v>83</v>
      </c>
      <c r="J118" s="385"/>
      <c r="P118" s="334"/>
    </row>
    <row r="119" spans="1:16" outlineLevel="1" x14ac:dyDescent="0.35">
      <c r="A119" s="333">
        <f t="shared" si="2"/>
        <v>119</v>
      </c>
      <c r="G119" s="33"/>
      <c r="P119" s="334"/>
    </row>
    <row r="120" spans="1:16" outlineLevel="1" x14ac:dyDescent="0.35">
      <c r="A120" s="333">
        <f t="shared" si="2"/>
        <v>120</v>
      </c>
      <c r="C120" s="2"/>
      <c r="D120" s="386" t="s">
        <v>84</v>
      </c>
      <c r="E120" s="387" t="str">
        <f>IFERROR(E94/(E94+E68),"")</f>
        <v/>
      </c>
      <c r="G120" s="33"/>
      <c r="I120" s="386" t="s">
        <v>85</v>
      </c>
      <c r="J120" s="387" t="str">
        <f>IFERROR(J94/(J94+J68),"")</f>
        <v/>
      </c>
      <c r="M120" s="16"/>
      <c r="N120" s="1"/>
      <c r="P120" s="334"/>
    </row>
    <row r="121" spans="1:16" outlineLevel="1" x14ac:dyDescent="0.35">
      <c r="A121" s="333">
        <f t="shared" si="2"/>
        <v>121</v>
      </c>
      <c r="D121" s="386" t="s">
        <v>86</v>
      </c>
      <c r="E121" s="388" t="str">
        <f>IF(E120="","",1-E120)</f>
        <v/>
      </c>
      <c r="G121" s="33"/>
      <c r="I121" s="386" t="s">
        <v>87</v>
      </c>
      <c r="J121" s="388" t="str">
        <f>IF(J120="","",1-J120)</f>
        <v/>
      </c>
      <c r="M121" s="16"/>
      <c r="N121" s="1"/>
      <c r="P121" s="334"/>
    </row>
    <row r="122" spans="1:16" outlineLevel="1" x14ac:dyDescent="0.35">
      <c r="A122" s="333">
        <f t="shared" si="2"/>
        <v>122</v>
      </c>
      <c r="G122" s="33"/>
      <c r="M122" s="16"/>
      <c r="N122" s="1"/>
      <c r="P122" s="334"/>
    </row>
    <row r="123" spans="1:16" outlineLevel="1" x14ac:dyDescent="0.35">
      <c r="A123" s="333">
        <f t="shared" si="2"/>
        <v>123</v>
      </c>
      <c r="E123" s="378"/>
      <c r="F123" s="16"/>
      <c r="G123" s="16"/>
      <c r="J123" s="378"/>
      <c r="K123" s="16"/>
      <c r="L123" s="378"/>
      <c r="M123" s="16"/>
      <c r="N123" s="1"/>
      <c r="P123" s="334"/>
    </row>
    <row r="124" spans="1:16" x14ac:dyDescent="0.35">
      <c r="A124" s="333">
        <f t="shared" si="2"/>
        <v>124</v>
      </c>
      <c r="C124" s="403" t="s">
        <v>552</v>
      </c>
      <c r="D124" s="403"/>
      <c r="E124" s="403"/>
      <c r="F124" s="403"/>
      <c r="G124" s="403"/>
      <c r="H124" s="403"/>
      <c r="I124" s="403"/>
      <c r="J124" s="403"/>
      <c r="K124" s="403"/>
      <c r="L124" s="403"/>
      <c r="M124" s="403"/>
      <c r="N124" s="403"/>
      <c r="P124" s="334"/>
    </row>
    <row r="125" spans="1:16" x14ac:dyDescent="0.35">
      <c r="A125" s="333">
        <f t="shared" si="2"/>
        <v>125</v>
      </c>
      <c r="C125" s="401"/>
      <c r="D125" s="401"/>
      <c r="E125" s="401"/>
      <c r="F125" s="401"/>
      <c r="G125" s="401"/>
      <c r="H125" s="401"/>
      <c r="I125" s="401"/>
      <c r="J125" s="401"/>
      <c r="K125" s="401"/>
      <c r="L125" s="401"/>
      <c r="M125" s="401"/>
      <c r="N125" s="401"/>
      <c r="P125" s="334"/>
    </row>
    <row r="126" spans="1:16" x14ac:dyDescent="0.35">
      <c r="A126" s="333">
        <f t="shared" si="2"/>
        <v>126</v>
      </c>
      <c r="C126" s="402"/>
      <c r="D126" s="402"/>
      <c r="E126" s="402"/>
      <c r="F126" s="402"/>
      <c r="G126" s="402"/>
      <c r="H126" s="402"/>
      <c r="I126" s="402"/>
      <c r="J126" s="402"/>
      <c r="K126" s="402"/>
      <c r="L126" s="402"/>
      <c r="M126" s="402"/>
      <c r="N126" s="402"/>
      <c r="P126" s="334"/>
    </row>
    <row r="127" spans="1:16" x14ac:dyDescent="0.35">
      <c r="A127" s="333">
        <f t="shared" si="2"/>
        <v>127</v>
      </c>
      <c r="C127" s="402"/>
      <c r="D127" s="402"/>
      <c r="E127" s="402"/>
      <c r="F127" s="402"/>
      <c r="G127" s="402"/>
      <c r="H127" s="402"/>
      <c r="I127" s="402"/>
      <c r="J127" s="402"/>
      <c r="K127" s="402"/>
      <c r="L127" s="402"/>
      <c r="M127" s="402"/>
      <c r="N127" s="402"/>
      <c r="P127" s="334"/>
    </row>
    <row r="128" spans="1:16" x14ac:dyDescent="0.35">
      <c r="A128" s="333">
        <f t="shared" si="2"/>
        <v>128</v>
      </c>
      <c r="C128" s="402"/>
      <c r="D128" s="402"/>
      <c r="E128" s="402"/>
      <c r="F128" s="402"/>
      <c r="G128" s="402"/>
      <c r="H128" s="402"/>
      <c r="I128" s="402"/>
      <c r="J128" s="402"/>
      <c r="K128" s="402"/>
      <c r="L128" s="402"/>
      <c r="M128" s="402"/>
      <c r="N128" s="402"/>
      <c r="P128" s="334"/>
    </row>
    <row r="129" spans="1:16" x14ac:dyDescent="0.35">
      <c r="A129" s="333">
        <f t="shared" si="2"/>
        <v>129</v>
      </c>
      <c r="C129" s="402"/>
      <c r="D129" s="402"/>
      <c r="E129" s="402"/>
      <c r="F129" s="402"/>
      <c r="G129" s="402"/>
      <c r="H129" s="402"/>
      <c r="I129" s="402"/>
      <c r="J129" s="402"/>
      <c r="K129" s="402"/>
      <c r="L129" s="402"/>
      <c r="M129" s="402"/>
      <c r="N129" s="402"/>
      <c r="P129" s="334"/>
    </row>
    <row r="130" spans="1:16" x14ac:dyDescent="0.35">
      <c r="A130" s="333">
        <f t="shared" si="2"/>
        <v>130</v>
      </c>
      <c r="C130" s="402"/>
      <c r="D130" s="402"/>
      <c r="E130" s="402"/>
      <c r="F130" s="402"/>
      <c r="G130" s="402"/>
      <c r="H130" s="402"/>
      <c r="I130" s="402"/>
      <c r="J130" s="402"/>
      <c r="K130" s="402"/>
      <c r="L130" s="402"/>
      <c r="M130" s="402"/>
      <c r="N130" s="402"/>
      <c r="P130" s="334"/>
    </row>
    <row r="131" spans="1:16" x14ac:dyDescent="0.35">
      <c r="A131" s="333">
        <f t="shared" ref="A131:O135" si="3">+A130+1</f>
        <v>131</v>
      </c>
      <c r="C131" s="402"/>
      <c r="D131" s="402"/>
      <c r="E131" s="402"/>
      <c r="F131" s="402"/>
      <c r="G131" s="402"/>
      <c r="H131" s="402"/>
      <c r="I131" s="402"/>
      <c r="J131" s="402"/>
      <c r="K131" s="402"/>
      <c r="L131" s="402"/>
      <c r="M131" s="402"/>
      <c r="N131" s="402"/>
      <c r="P131" s="334"/>
    </row>
    <row r="132" spans="1:16" x14ac:dyDescent="0.35">
      <c r="A132" s="333">
        <f t="shared" si="3"/>
        <v>132</v>
      </c>
      <c r="C132" s="402"/>
      <c r="D132" s="402"/>
      <c r="E132" s="402"/>
      <c r="F132" s="402"/>
      <c r="G132" s="402"/>
      <c r="H132" s="402"/>
      <c r="I132" s="402"/>
      <c r="J132" s="402"/>
      <c r="K132" s="402"/>
      <c r="L132" s="402"/>
      <c r="M132" s="402"/>
      <c r="N132" s="402"/>
      <c r="P132" s="334"/>
    </row>
    <row r="133" spans="1:16" x14ac:dyDescent="0.35">
      <c r="A133" s="333">
        <f t="shared" si="3"/>
        <v>133</v>
      </c>
      <c r="P133" s="334"/>
    </row>
    <row r="134" spans="1:16" ht="14.5" x14ac:dyDescent="0.35">
      <c r="A134" s="333">
        <f t="shared" si="3"/>
        <v>134</v>
      </c>
      <c r="B134" s="333">
        <f t="shared" si="3"/>
        <v>1</v>
      </c>
      <c r="C134" s="333">
        <f t="shared" si="3"/>
        <v>1</v>
      </c>
      <c r="D134" s="333">
        <f t="shared" si="3"/>
        <v>1</v>
      </c>
      <c r="E134" s="333">
        <f t="shared" si="3"/>
        <v>1</v>
      </c>
      <c r="F134" s="333">
        <f t="shared" si="3"/>
        <v>1</v>
      </c>
      <c r="G134" s="333">
        <f t="shared" si="3"/>
        <v>1</v>
      </c>
      <c r="H134" s="333">
        <f t="shared" si="3"/>
        <v>1</v>
      </c>
      <c r="I134" s="333">
        <f t="shared" si="3"/>
        <v>1</v>
      </c>
      <c r="J134" s="333">
        <f t="shared" si="3"/>
        <v>1</v>
      </c>
      <c r="K134" s="333">
        <f t="shared" si="3"/>
        <v>1</v>
      </c>
      <c r="L134" s="333">
        <f t="shared" si="3"/>
        <v>1</v>
      </c>
      <c r="M134" s="333">
        <f t="shared" si="3"/>
        <v>1</v>
      </c>
      <c r="N134" s="333">
        <f t="shared" si="3"/>
        <v>1</v>
      </c>
      <c r="O134" s="333">
        <f t="shared" si="3"/>
        <v>1</v>
      </c>
      <c r="P134" s="334"/>
    </row>
    <row r="135" spans="1:16" ht="14.5" x14ac:dyDescent="0.35">
      <c r="A135" s="333">
        <f t="shared" si="3"/>
        <v>135</v>
      </c>
      <c r="B135" s="333">
        <f t="shared" si="3"/>
        <v>2</v>
      </c>
      <c r="C135" s="333">
        <f t="shared" si="3"/>
        <v>2</v>
      </c>
      <c r="D135" s="333">
        <f t="shared" si="3"/>
        <v>2</v>
      </c>
      <c r="E135" s="333">
        <f t="shared" si="3"/>
        <v>2</v>
      </c>
      <c r="F135" s="333">
        <f t="shared" si="3"/>
        <v>2</v>
      </c>
      <c r="G135" s="333">
        <f t="shared" si="3"/>
        <v>2</v>
      </c>
      <c r="H135" s="333">
        <f t="shared" si="3"/>
        <v>2</v>
      </c>
      <c r="I135" s="333">
        <f t="shared" si="3"/>
        <v>2</v>
      </c>
      <c r="J135" s="333">
        <f t="shared" si="3"/>
        <v>2</v>
      </c>
      <c r="K135" s="333">
        <f t="shared" si="3"/>
        <v>2</v>
      </c>
      <c r="L135" s="333">
        <f t="shared" si="3"/>
        <v>2</v>
      </c>
      <c r="M135" s="333">
        <f t="shared" si="3"/>
        <v>2</v>
      </c>
      <c r="N135" s="333">
        <f t="shared" si="3"/>
        <v>2</v>
      </c>
      <c r="O135" s="333">
        <f t="shared" si="3"/>
        <v>2</v>
      </c>
      <c r="P135" s="334"/>
    </row>
  </sheetData>
  <sheetProtection sheet="1" objects="1" scenarios="1" selectLockedCells="1"/>
  <protectedRanges>
    <protectedRange sqref="G37" name="Rango1"/>
  </protectedRanges>
  <dataConsolidate/>
  <mergeCells count="6">
    <mergeCell ref="C125:N132"/>
    <mergeCell ref="I5:J5"/>
    <mergeCell ref="M11:O12"/>
    <mergeCell ref="M13:O14"/>
    <mergeCell ref="M15:O16"/>
    <mergeCell ref="C124:N124"/>
  </mergeCells>
  <conditionalFormatting sqref="J12">
    <cfRule type="expression" dxfId="5" priority="3">
      <formula>$J$11&gt;1</formula>
    </cfRule>
  </conditionalFormatting>
  <conditionalFormatting sqref="J14">
    <cfRule type="expression" dxfId="4" priority="2">
      <formula>$J$13&gt;1</formula>
    </cfRule>
  </conditionalFormatting>
  <conditionalFormatting sqref="J16">
    <cfRule type="expression" dxfId="3" priority="1">
      <formula>$J$15&gt;1</formula>
    </cfRule>
  </conditionalFormatting>
  <dataValidations count="62">
    <dataValidation type="list" allowBlank="1" showInputMessage="1" showErrorMessage="1" prompt="Servicio '15" sqref="J57:J58">
      <formula1>duracion</formula1>
    </dataValidation>
    <dataValidation type="list" allowBlank="1" showInputMessage="1" showErrorMessage="1" prompt="Servicio '15" sqref="I58">
      <formula1>fechaservicio</formula1>
    </dataValidation>
    <dataValidation allowBlank="1" showInputMessage="1" showErrorMessage="1" prompt="Tiempo desde la primer labor del verdeo/diferido hasta cambio de uso del lote (no sólo tiempo que fue pastoreado)." sqref="J14"/>
    <dataValidation allowBlank="1" showInputMessage="1" showErrorMessage="1" prompt="Tiempo desde la primer labor del verdeo hasta cambio de uso del lote (no sólo tiempo que fue pastoreado)." sqref="J12"/>
    <dataValidation type="list" allowBlank="1" showInputMessage="1" showErrorMessage="1" sqref="J83 E83">
      <formula1>RRFF</formula1>
    </dataValidation>
    <dataValidation allowBlank="1" showInputMessage="1" showErrorMessage="1" prompt="Vaquillonas de 1° servicio preñadas 17´/ vaquillonas de 1° s. entoradas en 16´" sqref="E45"/>
    <dataValidation allowBlank="1" showInputMessage="1" showErrorMessage="1" prompt="Vacas y vaquillonas preñadas sobre vientres entoradas en servicio 15´" sqref="E53"/>
    <dataValidation allowBlank="1" showInputMessage="1" showErrorMessage="1" prompt="Terneros destetados 17´sobre vientres entorados en servicio´15" sqref="E52"/>
    <dataValidation allowBlank="1" showErrorMessage="1" prompt="Superficie de monte productivos del establecimiento" sqref="J16"/>
    <dataValidation allowBlank="1" showErrorMessage="1" sqref="J19"/>
    <dataValidation allowBlank="1" showInputMessage="1" showErrorMessage="1" prompt="Superfice de rastrojos pastoreados. En la celda contigua se calculará las has asignadas a dicho recurso según las Normas CREA." sqref="J15"/>
    <dataValidation allowBlank="1" showInputMessage="1" showErrorMessage="1" prompt="Superfice sembrada (tal cual) con verdeos de verano para consumo fresco o diferido. En la celda contigua se calculará las has asignadas a dicho recurso según las Normas CREA." sqref="J13"/>
    <dataValidation allowBlank="1" showInputMessage="1" showErrorMessage="1" prompt="Superficie del establecimiento en producción." sqref="E11"/>
    <dataValidation allowBlank="1" showInputMessage="1" showErrorMessage="1" prompt="Superficie de suelo de la unidad de producción en agricultura, propias y alquiladas." sqref="E12"/>
    <dataValidation type="list" allowBlank="1" showInputMessage="1" showErrorMessage="1" sqref="G6">
      <formula1>MP</formula1>
    </dataValidation>
    <dataValidation allowBlank="1" showInputMessage="1" showErrorMessage="1" prompt="Praderas implantadas en la campaña en análisis." sqref="E18"/>
    <dataValidation allowBlank="1" showInputMessage="1" showErrorMessage="1" prompt="Stock bovino al 30 de junio 2017 (todo lo que está en el establecimiento)" sqref="E27"/>
    <dataValidation allowBlank="1" showInputMessage="1" showErrorMessage="1" prompt="Producción de carne (kg totales) = SALIDAS (kg vendidos,  traslados, consumo del eto.) - ENTRADAS (kg por compra o traslados de otras procedencias) + DIF. INVENTARIO (en Kg)" sqref="E28 J68 E68 E94 J94"/>
    <dataValidation allowBlank="1" showInputMessage="1" showErrorMessage="1" prompt="Cantidad de Vaquillonas de 1 en servicio en 2016" sqref="E46"/>
    <dataValidation allowBlank="1" showInputMessage="1" showErrorMessage="1" prompt="Nro de cabezas muertas/cabezas ingresadas" sqref="E30"/>
    <dataValidation allowBlank="1" showInputMessage="1" showErrorMessage="1" prompt="Superficie de campo natural de la unidad de producción" sqref="E15"/>
    <dataValidation allowBlank="1" showInputMessage="1" showErrorMessage="1" prompt="Superficie de praderas perennes ya implantadas" sqref="E17"/>
    <dataValidation allowBlank="1" showInputMessage="1" showErrorMessage="1" prompt="Superfice sembrada con verdeos de invierno tal cual. En la celda contigua se calculará las has asignadas a dicho recurso según las Normas CREA." sqref="J11"/>
    <dataValidation allowBlank="1" showInputMessage="1" showErrorMessage="1" prompt="Superficie de monte productivos de la unidad de producción" sqref="E16"/>
    <dataValidation allowBlank="1" showInputMessage="1" showErrorMessage="1" prompt="Stock bovino al 1 de julio 2016 (todo lo que está en el establecimiento)" sqref="E26"/>
    <dataValidation allowBlank="1" showInputMessage="1" showErrorMessage="1" prompt="Ponderar en función de la cantidad de tiempo que se le dedica a la ganadería. Se tiene en cuenta el personal de maquinaria que le presta un servicio a la ganadería." sqref="E33 H90"/>
    <dataValidation allowBlank="1" showInputMessage="1" showErrorMessage="1" prompt="Incluye vacas y vaquillonas" sqref="E54:E55"/>
    <dataValidation allowBlank="1" showInputMessage="1" showErrorMessage="1" prompt="Este indicador no debe ser tenido en cuenta en producciones a corral" sqref="J27 J29"/>
    <dataValidation allowBlank="1" showInputMessage="1" showErrorMessage="1" prompt="Vacas preñadas 17´sobre vacas entoradas servicio 16´" sqref="E41"/>
    <dataValidation type="list" allowBlank="1" showErrorMessage="1" sqref="E61:I61">
      <formula1>cruz</formula1>
    </dataValidation>
    <dataValidation type="list" allowBlank="1" showInputMessage="1" showErrorMessage="1" prompt="Región donde se encuentra el establecimiento, independientemente del CREA al que pertenezca el establecimiento." sqref="F6">
      <formula1>Crea</formula1>
    </dataValidation>
    <dataValidation type="list" allowBlank="1" showInputMessage="1" showErrorMessage="1" sqref="J53">
      <formula1>edadservicio</formula1>
    </dataValidation>
    <dataValidation allowBlank="1" showInputMessage="1" showErrorMessage="1" prompt="% de vaquillonas inseminadas en la campaña (Vaquillona Inseminadas/Vaquillonas en Servicio)" sqref="J54"/>
    <dataValidation allowBlank="1" showInputMessage="1" showErrorMessage="1" prompt="% de vacas inseminadas en la campaña vacas Inseminadas/Vacas en Servicio)" sqref="J52"/>
    <dataValidation allowBlank="1" showInputMessage="1" showErrorMessage="1" prompt="Peso medio de destete '17" sqref="E57"/>
    <dataValidation type="list" allowBlank="1" showInputMessage="1" showErrorMessage="1" prompt="Servicio '15_x000a_" sqref="I57">
      <formula1>fechaservicio</formula1>
    </dataValidation>
    <dataValidation allowBlank="1" showInputMessage="1" showErrorMessage="1" prompt="Capacidad máxima instantanea" sqref="H89"/>
    <dataValidation allowBlank="1" showInputMessage="1" showErrorMessage="1" prompt="Ingrese un valor estimativo promedio de venta de la hectárea donde está realizando la ganadería." sqref="J21"/>
    <dataValidation type="list" allowBlank="1" showInputMessage="1" showErrorMessage="1" sqref="E79 J79 J107 E107">
      <formula1>MH</formula1>
    </dataValidation>
    <dataValidation type="list" allowBlank="1" showInputMessage="1" showErrorMessage="1" sqref="J81 J109">
      <formula1>PET</formula1>
    </dataValidation>
    <dataValidation type="list" allowBlank="1" showInputMessage="1" showErrorMessage="1" sqref="J82 J110">
      <formula1>PST</formula1>
    </dataValidation>
    <dataValidation type="list" allowBlank="1" showInputMessage="1" showErrorMessage="1" sqref="E81 E109">
      <formula1>PER</formula1>
    </dataValidation>
    <dataValidation type="list" allowBlank="1" showInputMessage="1" showErrorMessage="1" sqref="E82 E110">
      <formula1>PSR</formula1>
    </dataValidation>
    <dataValidation allowBlank="1" showInputMessage="1" showErrorMessage="1" prompt="Stock medio en recría: promedio de los valores de stock mensual en cabezas para el ejercicio." sqref="E70"/>
    <dataValidation type="list" allowBlank="1" showInputMessage="1" showErrorMessage="1" sqref="E114 J114">
      <formula1>CC</formula1>
    </dataValidation>
    <dataValidation type="list" allowBlank="1" showInputMessage="1" showErrorMessage="1" sqref="E115:E118 E113 J115:J118 J113">
      <formula1>Dieta</formula1>
    </dataValidation>
    <dataValidation type="list" allowBlank="1" showInputMessage="1" showErrorMessage="1" sqref="J80 J108">
      <formula1>sino</formula1>
    </dataValidation>
    <dataValidation allowBlank="1" showInputMessage="1" showErrorMessage="1" prompt="Superficie en en ganadería con aptitud agrícola (clase I a IV) propias y alquiladas." sqref="J20"/>
    <dataValidation allowBlank="1" showInputMessage="1" showErrorMessage="1" prompt="Si la empresa tiene más de un establecimiento, llenar una planilla por cada campo." sqref="D6"/>
    <dataValidation allowBlank="1" showInputMessage="1" showErrorMessage="1" prompt="Tiempo promedio de la recría. Si hay distintos lotes/rodeos, poner la duración ponderada." sqref="E72 E98"/>
    <dataValidation allowBlank="1" showInputMessage="1" showErrorMessage="1" prompt="Tiempo promedio de la terminación. Si hay distintos lotes/rodeos, poner la duración ponderada." sqref="J72 J98"/>
    <dataValidation type="list" allowBlank="1" showInputMessage="1" showErrorMessage="1" prompt="% de la dieta en MS suplementada" sqref="E84 J84">
      <formula1>supl</formula1>
    </dataValidation>
    <dataValidation type="list" allowBlank="1" showInputMessage="1" showErrorMessage="1" prompt="Edad promedio al destete '17. Si hubo diferentes destetes, poner una edad promedio. Si merece aclaraciones, anotarlas en observaciones. " sqref="E58">
      <formula1>Destete</formula1>
    </dataValidation>
    <dataValidation allowBlank="1" showInputMessage="1" showErrorMessage="1" prompt="Kilos de materia seca ofrecidos en los corrales de recría" sqref="E99"/>
    <dataValidation allowBlank="1" showInputMessage="1" showErrorMessage="1" prompt="Kilos de materia seca ofrecidos en los corrales de terminación." sqref="J99"/>
    <dataValidation allowBlank="1" showInputMessage="1" showErrorMessage="1" prompt="Promedio de los valores de stock mensual en kg para el ejercicio (incluye corrales). Los terneros al pie de la madre se deben contabilizar como stock para el cálculo de carga." sqref="E32"/>
    <dataValidation allowBlank="1" showInputMessage="1" showErrorMessage="1" prompt="Promedio de los valores de stock mensual en cabezas para el ejercicio (incluye corrales). Los terneros al pie de la madre se deben contabilizar para el cálculo de carga." sqref="E31"/>
    <dataValidation allowBlank="1" showInputMessage="1" showErrorMessage="1" prompt="Stock medio en recría: promedio de los valores de stock mensual en kilos totales para el ejercicio." sqref="E71"/>
    <dataValidation allowBlank="1" showInputMessage="1" showErrorMessage="1" prompt="Stock medio en terminación: promedio de los valores de stock mensual en cabezas para el ejercicio." sqref="J70"/>
    <dataValidation allowBlank="1" showInputMessage="1" showErrorMessage="1" prompt="Stock medio en terminación: promedio de los valores de stock mensual en kilos totales para el ejercicio." sqref="J71"/>
    <dataValidation allowBlank="1" showErrorMessage="1" prompt="Kilos de materia seca ofrecidos en total" sqref="E96 J96"/>
    <dataValidation allowBlank="1" showInputMessage="1" showErrorMessage="1" prompt="Aumento diario de peso vivo promedio" sqref="J97 E97"/>
  </dataValidations>
  <hyperlinks>
    <hyperlink ref="G95" location="'1 (prop.sup)'!F115" display="Ir a cálculo desbaste"/>
    <hyperlink ref="G95:G96" location="'1'!D118" display="Ir a cálculo desbaste"/>
    <hyperlink ref="L95:L96" location="'1'!D118" display="Ir a cálculo desbaste"/>
    <hyperlink ref="L95" location="'1 (prop.sup)'!F115" display="Ir a cálculo desbaste"/>
  </hyperlinks>
  <pageMargins left="0.25" right="0.25" top="0.75" bottom="0.75" header="0.3" footer="0.3"/>
  <pageSetup paperSize="9" scale="48" fitToHeight="0" orientation="portrait" verticalDpi="599" r:id="rId1"/>
  <rowBreaks count="1" manualBreakCount="1">
    <brk id="60" min="1" max="12"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B135"/>
  <sheetViews>
    <sheetView showGridLines="0" zoomScale="90" zoomScaleNormal="90" workbookViewId="0">
      <pane xSplit="1" ySplit="1" topLeftCell="B2" activePane="bottomRight" state="frozen"/>
      <selection activeCell="G25" sqref="G25"/>
      <selection pane="topRight" activeCell="G25" sqref="G25"/>
      <selection pane="bottomLeft" activeCell="G25" sqref="G25"/>
      <selection pane="bottomRight" activeCell="C6" sqref="C6"/>
    </sheetView>
  </sheetViews>
  <sheetFormatPr baseColWidth="10" defaultColWidth="0" defaultRowHeight="15.5" customHeight="1" zeroHeight="1" outlineLevelRow="2" x14ac:dyDescent="0.35"/>
  <cols>
    <col min="1" max="1" width="5" style="330" customWidth="1"/>
    <col min="2" max="2" width="11.81640625" style="1" customWidth="1"/>
    <col min="3" max="3" width="16" style="1" customWidth="1"/>
    <col min="4" max="4" width="18.54296875" style="1" customWidth="1"/>
    <col min="5" max="6" width="14.54296875" style="1" customWidth="1"/>
    <col min="7" max="7" width="12.1796875" style="1" customWidth="1"/>
    <col min="8" max="8" width="16.26953125" style="1" customWidth="1"/>
    <col min="9" max="10" width="14.54296875" style="1" customWidth="1"/>
    <col min="11" max="12" width="13.453125" style="1" customWidth="1"/>
    <col min="13" max="13" width="14.54296875" style="1" customWidth="1"/>
    <col min="14" max="15" width="11.453125" style="69" customWidth="1"/>
    <col min="16" max="16" width="5.54296875" style="69" customWidth="1"/>
    <col min="17" max="17" width="11.453125" style="69" hidden="1"/>
    <col min="18" max="16382" width="0" style="69" hidden="1"/>
    <col min="16383" max="16384" width="11.453125" style="69" hidden="1"/>
  </cols>
  <sheetData>
    <row r="1" spans="1:17" s="333" customFormat="1" ht="14.5" x14ac:dyDescent="0.35">
      <c r="A1" s="333">
        <v>1</v>
      </c>
      <c r="B1" s="333">
        <f t="shared" ref="B1:P1" si="0">+A1+1</f>
        <v>2</v>
      </c>
      <c r="C1" s="333">
        <f t="shared" si="0"/>
        <v>3</v>
      </c>
      <c r="D1" s="333">
        <f t="shared" si="0"/>
        <v>4</v>
      </c>
      <c r="E1" s="333">
        <f t="shared" si="0"/>
        <v>5</v>
      </c>
      <c r="F1" s="333">
        <f t="shared" si="0"/>
        <v>6</v>
      </c>
      <c r="G1" s="333">
        <f t="shared" si="0"/>
        <v>7</v>
      </c>
      <c r="H1" s="333">
        <f t="shared" si="0"/>
        <v>8</v>
      </c>
      <c r="I1" s="333">
        <f t="shared" si="0"/>
        <v>9</v>
      </c>
      <c r="J1" s="333">
        <f t="shared" si="0"/>
        <v>10</v>
      </c>
      <c r="K1" s="333">
        <f t="shared" si="0"/>
        <v>11</v>
      </c>
      <c r="L1" s="333">
        <f t="shared" si="0"/>
        <v>12</v>
      </c>
      <c r="M1" s="333">
        <f t="shared" si="0"/>
        <v>13</v>
      </c>
      <c r="N1" s="333">
        <f t="shared" si="0"/>
        <v>14</v>
      </c>
      <c r="O1" s="333">
        <f t="shared" si="0"/>
        <v>15</v>
      </c>
      <c r="P1" s="333">
        <f t="shared" si="0"/>
        <v>16</v>
      </c>
    </row>
    <row r="2" spans="1:17" x14ac:dyDescent="0.35">
      <c r="A2" s="333">
        <f>+A1+1</f>
        <v>2</v>
      </c>
      <c r="P2" s="334"/>
      <c r="Q2" s="334"/>
    </row>
    <row r="3" spans="1:17" x14ac:dyDescent="0.35">
      <c r="A3" s="333">
        <f t="shared" ref="A3:A66" si="1">+A2+1</f>
        <v>3</v>
      </c>
      <c r="B3" s="335" t="s">
        <v>0</v>
      </c>
      <c r="C3" s="336"/>
      <c r="D3" s="58"/>
      <c r="E3" s="302"/>
      <c r="F3" s="337" t="s">
        <v>1</v>
      </c>
      <c r="G3" s="58"/>
      <c r="H3" s="303"/>
      <c r="I3" s="337" t="s">
        <v>2</v>
      </c>
      <c r="J3" s="58"/>
      <c r="K3" s="58"/>
      <c r="L3" s="336"/>
      <c r="M3" s="336"/>
      <c r="N3" s="338"/>
      <c r="O3" s="339"/>
      <c r="P3" s="334"/>
      <c r="Q3" s="334"/>
    </row>
    <row r="4" spans="1:17" x14ac:dyDescent="0.35">
      <c r="A4" s="333">
        <f t="shared" si="1"/>
        <v>4</v>
      </c>
      <c r="B4" s="340"/>
      <c r="C4" s="340"/>
      <c r="E4" s="336"/>
      <c r="F4" s="336"/>
      <c r="G4" s="336"/>
      <c r="H4" s="336"/>
      <c r="I4" s="336"/>
      <c r="J4" s="336"/>
      <c r="K4" s="336"/>
      <c r="L4" s="336"/>
      <c r="M4" s="336"/>
      <c r="N4" s="338"/>
      <c r="O4" s="338"/>
      <c r="P4" s="334"/>
      <c r="Q4" s="334"/>
    </row>
    <row r="5" spans="1:17" ht="29" x14ac:dyDescent="0.35">
      <c r="A5" s="333">
        <f t="shared" si="1"/>
        <v>5</v>
      </c>
      <c r="B5" s="341" t="s">
        <v>3</v>
      </c>
      <c r="C5" s="342" t="s">
        <v>4</v>
      </c>
      <c r="D5" s="341" t="s">
        <v>5</v>
      </c>
      <c r="E5" s="342" t="s">
        <v>6</v>
      </c>
      <c r="F5" s="342" t="s">
        <v>7</v>
      </c>
      <c r="G5" s="343" t="s">
        <v>8</v>
      </c>
      <c r="H5" s="344" t="s">
        <v>9</v>
      </c>
      <c r="I5" s="404" t="s">
        <v>10</v>
      </c>
      <c r="J5" s="405"/>
      <c r="N5" s="345"/>
      <c r="P5" s="334"/>
      <c r="Q5" s="334"/>
    </row>
    <row r="6" spans="1:17" x14ac:dyDescent="0.35">
      <c r="A6" s="333">
        <f t="shared" si="1"/>
        <v>6</v>
      </c>
      <c r="B6" s="310" t="s">
        <v>649</v>
      </c>
      <c r="C6" s="346"/>
      <c r="D6" s="346"/>
      <c r="E6" s="347"/>
      <c r="F6" s="346"/>
      <c r="G6" s="347"/>
      <c r="H6" s="347"/>
      <c r="I6" s="347"/>
      <c r="J6" s="347"/>
      <c r="N6" s="338"/>
      <c r="O6" s="338"/>
      <c r="P6" s="334"/>
      <c r="Q6" s="334"/>
    </row>
    <row r="7" spans="1:17" x14ac:dyDescent="0.35">
      <c r="A7" s="333">
        <f t="shared" si="1"/>
        <v>7</v>
      </c>
      <c r="P7" s="334"/>
      <c r="Q7" s="334"/>
    </row>
    <row r="8" spans="1:17" x14ac:dyDescent="0.35">
      <c r="A8" s="333">
        <f t="shared" si="1"/>
        <v>8</v>
      </c>
      <c r="B8" s="348" t="s">
        <v>13</v>
      </c>
      <c r="C8" s="348"/>
      <c r="D8" s="348"/>
      <c r="E8" s="348"/>
      <c r="F8" s="348"/>
      <c r="G8" s="348"/>
      <c r="H8" s="349"/>
      <c r="I8" s="349"/>
      <c r="J8" s="349"/>
      <c r="K8" s="349"/>
      <c r="L8" s="349"/>
      <c r="M8" s="349"/>
      <c r="N8" s="350"/>
      <c r="O8" s="350"/>
      <c r="P8" s="334"/>
      <c r="Q8" s="334"/>
    </row>
    <row r="9" spans="1:17" x14ac:dyDescent="0.35">
      <c r="A9" s="333">
        <f t="shared" si="1"/>
        <v>9</v>
      </c>
      <c r="P9" s="334"/>
      <c r="Q9" s="334"/>
    </row>
    <row r="10" spans="1:17" x14ac:dyDescent="0.35">
      <c r="A10" s="333">
        <f t="shared" si="1"/>
        <v>10</v>
      </c>
      <c r="C10" s="2"/>
      <c r="D10" s="2" t="s">
        <v>14</v>
      </c>
      <c r="G10" s="2"/>
      <c r="I10" s="56" t="s">
        <v>17</v>
      </c>
      <c r="J10" s="69"/>
      <c r="K10" s="69"/>
      <c r="L10" s="2" t="s">
        <v>18</v>
      </c>
      <c r="M10" s="4"/>
      <c r="P10" s="334"/>
      <c r="Q10" s="334"/>
    </row>
    <row r="11" spans="1:17" ht="18" customHeight="1" x14ac:dyDescent="0.35">
      <c r="A11" s="333">
        <f t="shared" si="1"/>
        <v>11</v>
      </c>
      <c r="D11" s="3" t="s">
        <v>15</v>
      </c>
      <c r="E11" s="28"/>
      <c r="F11" s="1" t="s">
        <v>16</v>
      </c>
      <c r="I11" s="3" t="s">
        <v>19</v>
      </c>
      <c r="J11" s="28"/>
      <c r="K11" s="1" t="s">
        <v>16</v>
      </c>
      <c r="L11" s="5" t="str">
        <f>IF(J11*J12/12=0,"",J11*J12/12)</f>
        <v/>
      </c>
      <c r="M11" s="406" t="s">
        <v>656</v>
      </c>
      <c r="N11" s="406"/>
      <c r="O11" s="406"/>
      <c r="P11" s="334"/>
      <c r="Q11" s="334"/>
    </row>
    <row r="12" spans="1:17" x14ac:dyDescent="0.35">
      <c r="A12" s="333">
        <f t="shared" si="1"/>
        <v>12</v>
      </c>
      <c r="D12" s="3" t="s">
        <v>514</v>
      </c>
      <c r="E12" s="28"/>
      <c r="F12" s="1" t="s">
        <v>16</v>
      </c>
      <c r="I12" s="3" t="str">
        <f>+IF(J11&gt;1,"Tiempo ocupado por verdeo de invierno","")</f>
        <v/>
      </c>
      <c r="J12" s="351"/>
      <c r="K12" s="6" t="str">
        <f>+IF($J$11&gt;1,"meses","")</f>
        <v/>
      </c>
      <c r="L12" s="69"/>
      <c r="M12" s="406"/>
      <c r="N12" s="406"/>
      <c r="O12" s="406"/>
      <c r="P12" s="334"/>
      <c r="Q12" s="334"/>
    </row>
    <row r="13" spans="1:17" ht="18" customHeight="1" x14ac:dyDescent="0.35">
      <c r="A13" s="333">
        <f t="shared" si="1"/>
        <v>13</v>
      </c>
      <c r="I13" s="3" t="s">
        <v>22</v>
      </c>
      <c r="J13" s="28"/>
      <c r="K13" s="1" t="s">
        <v>16</v>
      </c>
      <c r="L13" s="5" t="str">
        <f>IF(J13*J14/12=0,"",J13*J14/12)</f>
        <v/>
      </c>
      <c r="M13" s="406" t="s">
        <v>657</v>
      </c>
      <c r="N13" s="406"/>
      <c r="O13" s="406"/>
      <c r="P13" s="334"/>
      <c r="Q13" s="334"/>
    </row>
    <row r="14" spans="1:17" x14ac:dyDescent="0.35">
      <c r="A14" s="333">
        <f t="shared" si="1"/>
        <v>14</v>
      </c>
      <c r="C14" s="2"/>
      <c r="D14" s="2" t="s">
        <v>21</v>
      </c>
      <c r="I14" s="3" t="str">
        <f>+IF(J13&gt;1,"Tiempo ocupado por verdeo de verano y diferido","")</f>
        <v/>
      </c>
      <c r="J14" s="351"/>
      <c r="K14" s="6" t="str">
        <f>+IF($J$13&gt;1,"meses","")</f>
        <v/>
      </c>
      <c r="L14" s="69"/>
      <c r="M14" s="406"/>
      <c r="N14" s="406"/>
      <c r="O14" s="406"/>
      <c r="P14" s="334"/>
      <c r="Q14" s="334"/>
    </row>
    <row r="15" spans="1:17" ht="18" customHeight="1" x14ac:dyDescent="0.35">
      <c r="A15" s="333">
        <f t="shared" si="1"/>
        <v>15</v>
      </c>
      <c r="D15" s="3" t="s">
        <v>24</v>
      </c>
      <c r="E15" s="28"/>
      <c r="F15" s="1" t="s">
        <v>16</v>
      </c>
      <c r="I15" s="3" t="s">
        <v>26</v>
      </c>
      <c r="J15" s="28"/>
      <c r="K15" s="1" t="s">
        <v>16</v>
      </c>
      <c r="L15" s="5" t="str">
        <f>IF(J15*J16/12=0,"",J15*J16/12)</f>
        <v/>
      </c>
      <c r="M15" s="406" t="s">
        <v>658</v>
      </c>
      <c r="N15" s="406"/>
      <c r="O15" s="406"/>
      <c r="P15" s="334"/>
      <c r="Q15" s="334"/>
    </row>
    <row r="16" spans="1:17" x14ac:dyDescent="0.35">
      <c r="A16" s="333">
        <f t="shared" si="1"/>
        <v>16</v>
      </c>
      <c r="B16" s="8"/>
      <c r="D16" s="7" t="s">
        <v>25</v>
      </c>
      <c r="E16" s="28"/>
      <c r="F16" s="1" t="s">
        <v>16</v>
      </c>
      <c r="I16" s="3" t="str">
        <f>+IF(J15&gt;1,"Tiempo de ocupación de rastrojos y otros  ","")</f>
        <v/>
      </c>
      <c r="J16" s="351"/>
      <c r="K16" s="6" t="str">
        <f>+IF($J$15&gt;1,"meses","")</f>
        <v/>
      </c>
      <c r="L16" s="69"/>
      <c r="M16" s="406"/>
      <c r="N16" s="406"/>
      <c r="O16" s="406"/>
      <c r="P16" s="334"/>
      <c r="Q16" s="334"/>
    </row>
    <row r="17" spans="1:17" x14ac:dyDescent="0.35">
      <c r="A17" s="333">
        <f t="shared" si="1"/>
        <v>17</v>
      </c>
      <c r="D17" s="3" t="s">
        <v>28</v>
      </c>
      <c r="E17" s="28"/>
      <c r="F17" s="1" t="s">
        <v>16</v>
      </c>
      <c r="M17" s="396"/>
      <c r="N17" s="352"/>
      <c r="O17" s="352"/>
      <c r="P17" s="334"/>
      <c r="Q17" s="334"/>
    </row>
    <row r="18" spans="1:17" x14ac:dyDescent="0.35">
      <c r="A18" s="333">
        <f t="shared" si="1"/>
        <v>18</v>
      </c>
      <c r="D18" s="3" t="s">
        <v>29</v>
      </c>
      <c r="E18" s="28"/>
      <c r="F18" s="1" t="s">
        <v>16</v>
      </c>
      <c r="G18" s="10"/>
      <c r="H18" s="11"/>
      <c r="I18" s="57" t="s">
        <v>30</v>
      </c>
      <c r="J18" s="10"/>
      <c r="K18" s="10"/>
      <c r="P18" s="334"/>
      <c r="Q18" s="334"/>
    </row>
    <row r="19" spans="1:17" x14ac:dyDescent="0.35">
      <c r="A19" s="333">
        <f t="shared" si="1"/>
        <v>19</v>
      </c>
      <c r="C19" s="1" t="s">
        <v>9</v>
      </c>
      <c r="D19" s="329"/>
      <c r="E19" s="329"/>
      <c r="F19" s="1" t="s">
        <v>16</v>
      </c>
      <c r="G19" s="10"/>
      <c r="H19" s="10"/>
      <c r="I19" s="7" t="s">
        <v>31</v>
      </c>
      <c r="J19" s="12">
        <f>+SUM(E15:E20,L11,L13,L15)</f>
        <v>0</v>
      </c>
      <c r="K19" s="10" t="s">
        <v>16</v>
      </c>
      <c r="P19" s="334"/>
      <c r="Q19" s="334"/>
    </row>
    <row r="20" spans="1:17" x14ac:dyDescent="0.35">
      <c r="A20" s="333">
        <f t="shared" si="1"/>
        <v>20</v>
      </c>
      <c r="C20" s="1" t="s">
        <v>9</v>
      </c>
      <c r="D20" s="329"/>
      <c r="E20" s="329"/>
      <c r="F20" s="1" t="s">
        <v>16</v>
      </c>
      <c r="G20" s="10"/>
      <c r="H20" s="10"/>
      <c r="I20" s="3" t="s">
        <v>575</v>
      </c>
      <c r="J20" s="353"/>
      <c r="K20" s="3"/>
      <c r="L20" s="8"/>
      <c r="P20" s="334"/>
      <c r="Q20" s="334"/>
    </row>
    <row r="21" spans="1:17" x14ac:dyDescent="0.35">
      <c r="A21" s="333">
        <f t="shared" si="1"/>
        <v>21</v>
      </c>
      <c r="H21" s="311"/>
      <c r="I21" s="7" t="s">
        <v>517</v>
      </c>
      <c r="J21" s="28"/>
      <c r="K21" s="331" t="s">
        <v>515</v>
      </c>
      <c r="L21" s="8"/>
      <c r="P21" s="334"/>
      <c r="Q21" s="334"/>
    </row>
    <row r="22" spans="1:17" x14ac:dyDescent="0.35">
      <c r="A22" s="333">
        <f t="shared" si="1"/>
        <v>22</v>
      </c>
      <c r="G22" s="10"/>
      <c r="H22" s="10"/>
      <c r="I22" s="3"/>
      <c r="J22" s="3"/>
      <c r="K22" s="3"/>
      <c r="L22" s="8"/>
      <c r="P22" s="334"/>
      <c r="Q22" s="334"/>
    </row>
    <row r="23" spans="1:17" x14ac:dyDescent="0.35">
      <c r="A23" s="333">
        <f t="shared" si="1"/>
        <v>23</v>
      </c>
      <c r="G23" s="10"/>
      <c r="H23" s="10"/>
      <c r="I23" s="3"/>
      <c r="J23" s="3"/>
      <c r="K23" s="3"/>
      <c r="L23" s="8"/>
      <c r="P23" s="334"/>
      <c r="Q23" s="334"/>
    </row>
    <row r="24" spans="1:17" x14ac:dyDescent="0.35">
      <c r="A24" s="333">
        <f t="shared" si="1"/>
        <v>24</v>
      </c>
      <c r="B24" s="348" t="s">
        <v>32</v>
      </c>
      <c r="C24" s="348"/>
      <c r="D24" s="348"/>
      <c r="E24" s="348"/>
      <c r="F24" s="348"/>
      <c r="G24" s="348"/>
      <c r="H24" s="349"/>
      <c r="I24" s="349"/>
      <c r="J24" s="349"/>
      <c r="K24" s="349"/>
      <c r="L24" s="349"/>
      <c r="M24" s="349"/>
      <c r="N24" s="350"/>
      <c r="O24" s="350"/>
      <c r="P24" s="334"/>
      <c r="Q24" s="334"/>
    </row>
    <row r="25" spans="1:17" x14ac:dyDescent="0.35">
      <c r="A25" s="333">
        <f t="shared" si="1"/>
        <v>25</v>
      </c>
      <c r="O25" s="13"/>
      <c r="P25" s="334"/>
      <c r="Q25" s="334"/>
    </row>
    <row r="26" spans="1:17" x14ac:dyDescent="0.35">
      <c r="A26" s="333">
        <f t="shared" si="1"/>
        <v>26</v>
      </c>
      <c r="D26" s="3" t="s">
        <v>33</v>
      </c>
      <c r="E26" s="28"/>
      <c r="F26" s="1" t="s">
        <v>34</v>
      </c>
      <c r="J26" s="354" t="s">
        <v>35</v>
      </c>
      <c r="K26" s="69"/>
      <c r="P26" s="334"/>
      <c r="Q26" s="334"/>
    </row>
    <row r="27" spans="1:17" x14ac:dyDescent="0.35">
      <c r="A27" s="333">
        <f t="shared" si="1"/>
        <v>27</v>
      </c>
      <c r="D27" s="3" t="s">
        <v>36</v>
      </c>
      <c r="E27" s="28"/>
      <c r="F27" s="1" t="s">
        <v>34</v>
      </c>
      <c r="J27" s="67" t="str">
        <f>+IFERROR(E28/J19,"")</f>
        <v/>
      </c>
      <c r="K27" s="1" t="s">
        <v>187</v>
      </c>
      <c r="P27" s="334"/>
      <c r="Q27" s="334"/>
    </row>
    <row r="28" spans="1:17" x14ac:dyDescent="0.35">
      <c r="A28" s="333">
        <f t="shared" si="1"/>
        <v>28</v>
      </c>
      <c r="D28" s="3" t="s">
        <v>40</v>
      </c>
      <c r="E28" s="28"/>
      <c r="F28" s="1" t="s">
        <v>41</v>
      </c>
      <c r="J28" s="68" t="str">
        <f>+IFERROR(E28/(E31),"")</f>
        <v/>
      </c>
      <c r="K28" s="1" t="s">
        <v>516</v>
      </c>
      <c r="P28" s="334"/>
      <c r="Q28" s="334"/>
    </row>
    <row r="29" spans="1:17" x14ac:dyDescent="0.35">
      <c r="A29" s="333">
        <f t="shared" si="1"/>
        <v>29</v>
      </c>
      <c r="J29" s="68" t="str">
        <f>+IFERROR(E32/J19,"")</f>
        <v/>
      </c>
      <c r="K29" s="15" t="s">
        <v>186</v>
      </c>
      <c r="P29" s="334"/>
      <c r="Q29" s="334"/>
    </row>
    <row r="30" spans="1:17" x14ac:dyDescent="0.35">
      <c r="A30" s="333">
        <f t="shared" si="1"/>
        <v>30</v>
      </c>
      <c r="D30" s="3" t="s">
        <v>37</v>
      </c>
      <c r="E30" s="353"/>
      <c r="F30" s="1" t="s">
        <v>38</v>
      </c>
      <c r="J30" s="355" t="str">
        <f>+IFERROR(E28/E32,"")</f>
        <v/>
      </c>
      <c r="K30" s="6" t="s">
        <v>39</v>
      </c>
      <c r="P30" s="334"/>
      <c r="Q30" s="334"/>
    </row>
    <row r="31" spans="1:17" x14ac:dyDescent="0.35">
      <c r="A31" s="333">
        <f t="shared" si="1"/>
        <v>31</v>
      </c>
      <c r="D31" s="7" t="s">
        <v>43</v>
      </c>
      <c r="E31" s="28"/>
      <c r="F31" s="16" t="s">
        <v>518</v>
      </c>
      <c r="J31" s="356" t="str">
        <f>+IFERROR(E28/E33,"")</f>
        <v/>
      </c>
      <c r="K31" s="15" t="s">
        <v>42</v>
      </c>
      <c r="P31" s="334"/>
      <c r="Q31" s="334"/>
    </row>
    <row r="32" spans="1:17" x14ac:dyDescent="0.35">
      <c r="A32" s="333">
        <f t="shared" si="1"/>
        <v>32</v>
      </c>
      <c r="D32" s="3" t="s">
        <v>43</v>
      </c>
      <c r="E32" s="28"/>
      <c r="F32" s="1" t="s">
        <v>41</v>
      </c>
      <c r="M32" s="69"/>
      <c r="P32" s="334"/>
      <c r="Q32" s="334"/>
    </row>
    <row r="33" spans="1:17" ht="17.25" customHeight="1" x14ac:dyDescent="0.35">
      <c r="A33" s="333">
        <f t="shared" si="1"/>
        <v>33</v>
      </c>
      <c r="D33" s="14" t="s">
        <v>44</v>
      </c>
      <c r="E33" s="390"/>
      <c r="M33" s="69"/>
      <c r="P33" s="334"/>
      <c r="Q33" s="334"/>
    </row>
    <row r="34" spans="1:17" x14ac:dyDescent="0.35">
      <c r="A34" s="333">
        <f t="shared" si="1"/>
        <v>34</v>
      </c>
      <c r="P34" s="334"/>
      <c r="Q34" s="334"/>
    </row>
    <row r="35" spans="1:17" x14ac:dyDescent="0.35">
      <c r="A35" s="333">
        <f t="shared" si="1"/>
        <v>35</v>
      </c>
      <c r="B35" s="348" t="s">
        <v>45</v>
      </c>
      <c r="C35" s="348"/>
      <c r="D35" s="348"/>
      <c r="E35" s="348"/>
      <c r="F35" s="348"/>
      <c r="G35" s="348"/>
      <c r="H35" s="349"/>
      <c r="I35" s="349"/>
      <c r="J35" s="349"/>
      <c r="K35" s="349"/>
      <c r="L35" s="349"/>
      <c r="M35" s="349"/>
      <c r="N35" s="350"/>
      <c r="O35" s="350"/>
      <c r="P35" s="334"/>
      <c r="Q35" s="334"/>
    </row>
    <row r="36" spans="1:17" outlineLevel="1" x14ac:dyDescent="0.35">
      <c r="A36" s="333">
        <f t="shared" si="1"/>
        <v>36</v>
      </c>
      <c r="B36" s="8"/>
      <c r="C36" s="8"/>
      <c r="D36" s="17"/>
      <c r="E36" s="8"/>
      <c r="P36" s="334"/>
      <c r="Q36" s="334"/>
    </row>
    <row r="37" spans="1:17" outlineLevel="1" x14ac:dyDescent="0.35">
      <c r="A37" s="333">
        <f t="shared" si="1"/>
        <v>37</v>
      </c>
      <c r="G37" s="358">
        <v>2015</v>
      </c>
      <c r="H37" s="358">
        <f>+G37+1</f>
        <v>2016</v>
      </c>
      <c r="I37" s="358">
        <f>+H37+1</f>
        <v>2017</v>
      </c>
      <c r="P37" s="334"/>
      <c r="Q37" s="334"/>
    </row>
    <row r="38" spans="1:17" outlineLevel="1" x14ac:dyDescent="0.35">
      <c r="A38" s="333">
        <f t="shared" si="1"/>
        <v>38</v>
      </c>
      <c r="G38" s="359" t="s">
        <v>46</v>
      </c>
      <c r="H38" s="360" t="s">
        <v>47</v>
      </c>
      <c r="I38" s="361" t="s">
        <v>48</v>
      </c>
      <c r="P38" s="334"/>
      <c r="Q38" s="334"/>
    </row>
    <row r="39" spans="1:17" outlineLevel="1" x14ac:dyDescent="0.35">
      <c r="A39" s="333">
        <f t="shared" si="1"/>
        <v>39</v>
      </c>
      <c r="G39" s="362"/>
      <c r="H39" s="363" t="s">
        <v>46</v>
      </c>
      <c r="I39" s="364" t="s">
        <v>47</v>
      </c>
      <c r="M39" s="18"/>
      <c r="N39" s="79"/>
      <c r="P39" s="334"/>
      <c r="Q39" s="334"/>
    </row>
    <row r="40" spans="1:17" outlineLevel="1" x14ac:dyDescent="0.35">
      <c r="A40" s="333">
        <f t="shared" si="1"/>
        <v>40</v>
      </c>
      <c r="C40" s="19" t="s">
        <v>49</v>
      </c>
      <c r="D40" s="16"/>
      <c r="P40" s="334"/>
      <c r="Q40" s="334"/>
    </row>
    <row r="41" spans="1:17" outlineLevel="1" x14ac:dyDescent="0.35">
      <c r="A41" s="333">
        <f t="shared" si="1"/>
        <v>41</v>
      </c>
      <c r="C41" s="16"/>
      <c r="D41" s="7" t="s">
        <v>632</v>
      </c>
      <c r="E41" s="391"/>
      <c r="F41" s="1" t="s">
        <v>38</v>
      </c>
      <c r="N41" s="1"/>
      <c r="O41" s="1"/>
      <c r="P41" s="334"/>
      <c r="Q41" s="334"/>
    </row>
    <row r="42" spans="1:17" outlineLevel="1" x14ac:dyDescent="0.35">
      <c r="A42" s="333">
        <f t="shared" si="1"/>
        <v>42</v>
      </c>
      <c r="C42" s="16"/>
      <c r="D42" s="7" t="s">
        <v>633</v>
      </c>
      <c r="E42" s="28"/>
      <c r="F42" s="1" t="s">
        <v>34</v>
      </c>
      <c r="N42" s="1"/>
      <c r="O42" s="1"/>
      <c r="P42" s="334"/>
      <c r="Q42" s="334"/>
    </row>
    <row r="43" spans="1:17" outlineLevel="1" x14ac:dyDescent="0.35">
      <c r="A43" s="333">
        <f t="shared" si="1"/>
        <v>43</v>
      </c>
      <c r="C43" s="20"/>
      <c r="D43" s="20"/>
      <c r="E43" s="21"/>
      <c r="F43" s="21"/>
      <c r="G43" s="21"/>
      <c r="H43" s="21"/>
      <c r="I43" s="21"/>
      <c r="J43" s="21"/>
      <c r="K43" s="21"/>
      <c r="L43" s="21"/>
      <c r="M43" s="21"/>
      <c r="N43" s="21"/>
      <c r="O43" s="1"/>
      <c r="P43" s="334"/>
      <c r="Q43" s="334"/>
    </row>
    <row r="44" spans="1:17" outlineLevel="1" x14ac:dyDescent="0.35">
      <c r="A44" s="333">
        <f t="shared" si="1"/>
        <v>44</v>
      </c>
      <c r="C44" s="19" t="s">
        <v>50</v>
      </c>
      <c r="K44" s="22"/>
      <c r="N44" s="1"/>
      <c r="O44" s="1"/>
      <c r="P44" s="334"/>
      <c r="Q44" s="334"/>
    </row>
    <row r="45" spans="1:17" outlineLevel="1" x14ac:dyDescent="0.35">
      <c r="A45" s="333">
        <f t="shared" si="1"/>
        <v>45</v>
      </c>
      <c r="C45" s="19"/>
      <c r="D45" s="3" t="s">
        <v>634</v>
      </c>
      <c r="E45" s="391"/>
      <c r="F45" s="1" t="s">
        <v>38</v>
      </c>
      <c r="N45" s="1"/>
      <c r="O45" s="1"/>
      <c r="P45" s="334"/>
      <c r="Q45" s="334"/>
    </row>
    <row r="46" spans="1:17" outlineLevel="1" x14ac:dyDescent="0.35">
      <c r="A46" s="333">
        <f t="shared" si="1"/>
        <v>46</v>
      </c>
      <c r="D46" s="3" t="s">
        <v>635</v>
      </c>
      <c r="E46" s="28"/>
      <c r="F46" s="1" t="s">
        <v>34</v>
      </c>
      <c r="N46" s="1"/>
      <c r="O46" s="1"/>
      <c r="P46" s="334"/>
      <c r="Q46" s="334"/>
    </row>
    <row r="47" spans="1:17" outlineLevel="1" x14ac:dyDescent="0.35">
      <c r="A47" s="333">
        <f t="shared" si="1"/>
        <v>47</v>
      </c>
      <c r="C47" s="21"/>
      <c r="D47" s="23"/>
      <c r="E47" s="23"/>
      <c r="F47" s="23"/>
      <c r="G47" s="23"/>
      <c r="H47" s="23"/>
      <c r="I47" s="23"/>
      <c r="J47" s="21"/>
      <c r="K47" s="21"/>
      <c r="L47" s="21"/>
      <c r="M47" s="21"/>
      <c r="N47" s="21"/>
      <c r="O47" s="1"/>
      <c r="P47" s="334"/>
      <c r="Q47" s="334"/>
    </row>
    <row r="48" spans="1:17" outlineLevel="1" x14ac:dyDescent="0.35">
      <c r="A48" s="333">
        <f t="shared" si="1"/>
        <v>48</v>
      </c>
      <c r="C48" s="2" t="s">
        <v>636</v>
      </c>
      <c r="D48" s="3"/>
      <c r="E48" s="3"/>
      <c r="F48" s="3"/>
      <c r="G48" s="3"/>
      <c r="H48" s="3"/>
      <c r="I48" s="3"/>
      <c r="J48" s="3"/>
      <c r="K48" s="3"/>
      <c r="N48" s="1"/>
      <c r="O48" s="1"/>
      <c r="P48" s="334"/>
      <c r="Q48" s="334"/>
    </row>
    <row r="49" spans="1:17" outlineLevel="1" x14ac:dyDescent="0.35">
      <c r="A49" s="333">
        <f t="shared" si="1"/>
        <v>49</v>
      </c>
      <c r="C49" s="2"/>
      <c r="D49" s="7" t="s">
        <v>637</v>
      </c>
      <c r="E49" s="392" t="str">
        <f>IF(E41*E42=0,"",IF(E45*E46=0,"",(E41*(E42/(E42+E46)))+(E45*(E46/(E46+E42)))))</f>
        <v/>
      </c>
      <c r="F49" s="6"/>
      <c r="G49" s="3"/>
      <c r="H49" s="3"/>
      <c r="I49" s="3"/>
      <c r="J49" s="3"/>
      <c r="K49" s="3"/>
      <c r="P49" s="334"/>
      <c r="Q49" s="334"/>
    </row>
    <row r="50" spans="1:17" outlineLevel="1" x14ac:dyDescent="0.35">
      <c r="A50" s="333">
        <f t="shared" si="1"/>
        <v>50</v>
      </c>
      <c r="C50" s="2"/>
      <c r="D50" s="7"/>
      <c r="E50" s="7"/>
      <c r="F50" s="3"/>
      <c r="G50" s="3"/>
      <c r="H50" s="3"/>
      <c r="I50" s="3"/>
      <c r="J50" s="21"/>
      <c r="K50" s="21"/>
      <c r="L50" s="21"/>
      <c r="M50" s="21"/>
      <c r="N50" s="21"/>
      <c r="O50" s="3"/>
      <c r="P50" s="334"/>
      <c r="Q50" s="334"/>
    </row>
    <row r="51" spans="1:17" outlineLevel="1" x14ac:dyDescent="0.35">
      <c r="A51" s="333">
        <f t="shared" si="1"/>
        <v>51</v>
      </c>
      <c r="C51" s="24" t="s">
        <v>512</v>
      </c>
      <c r="D51" s="25"/>
      <c r="E51" s="25"/>
      <c r="F51" s="26"/>
      <c r="G51" s="26"/>
      <c r="H51" s="26"/>
      <c r="I51" s="26"/>
      <c r="J51" s="26"/>
      <c r="K51" s="26"/>
      <c r="P51" s="334"/>
      <c r="Q51" s="334"/>
    </row>
    <row r="52" spans="1:17" outlineLevel="1" x14ac:dyDescent="0.35">
      <c r="A52" s="333">
        <f t="shared" si="1"/>
        <v>52</v>
      </c>
      <c r="C52" s="2"/>
      <c r="D52" s="7" t="s">
        <v>639</v>
      </c>
      <c r="E52" s="391"/>
      <c r="F52" s="1" t="s">
        <v>38</v>
      </c>
      <c r="G52" s="3"/>
      <c r="I52" s="3" t="s">
        <v>638</v>
      </c>
      <c r="J52" s="353"/>
      <c r="K52" s="1" t="s">
        <v>38</v>
      </c>
      <c r="P52" s="334"/>
      <c r="Q52" s="334"/>
    </row>
    <row r="53" spans="1:17" outlineLevel="1" x14ac:dyDescent="0.35">
      <c r="A53" s="333">
        <f t="shared" si="1"/>
        <v>53</v>
      </c>
      <c r="C53" s="16"/>
      <c r="D53" s="7" t="s">
        <v>640</v>
      </c>
      <c r="E53" s="391"/>
      <c r="F53" s="1" t="s">
        <v>38</v>
      </c>
      <c r="G53" s="8" t="str">
        <f>+IF(E53="","",IF(E52&gt;E53,"ERROR! No puede ser el destete mayor a la preñez",""))</f>
        <v/>
      </c>
      <c r="I53" s="14" t="s">
        <v>51</v>
      </c>
      <c r="J53" s="365"/>
      <c r="K53" s="1" t="s">
        <v>52</v>
      </c>
      <c r="P53" s="334"/>
      <c r="Q53" s="334"/>
    </row>
    <row r="54" spans="1:17" outlineLevel="1" x14ac:dyDescent="0.35">
      <c r="A54" s="333">
        <f t="shared" si="1"/>
        <v>54</v>
      </c>
      <c r="C54" s="16"/>
      <c r="D54" s="7" t="s">
        <v>643</v>
      </c>
      <c r="E54" s="367"/>
      <c r="H54" s="3"/>
      <c r="I54" s="3" t="s">
        <v>642</v>
      </c>
      <c r="J54" s="353"/>
      <c r="K54" s="1" t="s">
        <v>38</v>
      </c>
      <c r="P54" s="334"/>
      <c r="Q54" s="334"/>
    </row>
    <row r="55" spans="1:17" outlineLevel="1" x14ac:dyDescent="0.35">
      <c r="A55" s="333">
        <f t="shared" si="1"/>
        <v>55</v>
      </c>
      <c r="C55" s="16"/>
      <c r="D55" s="7" t="s">
        <v>641</v>
      </c>
      <c r="E55" s="367"/>
      <c r="F55" s="1" t="s">
        <v>34</v>
      </c>
      <c r="H55" s="3"/>
      <c r="P55" s="334"/>
      <c r="Q55" s="334"/>
    </row>
    <row r="56" spans="1:17" outlineLevel="1" x14ac:dyDescent="0.35">
      <c r="A56" s="333">
        <f t="shared" si="1"/>
        <v>56</v>
      </c>
      <c r="I56" s="2" t="s">
        <v>645</v>
      </c>
      <c r="J56" s="2" t="s">
        <v>646</v>
      </c>
      <c r="P56" s="334"/>
      <c r="Q56" s="334"/>
    </row>
    <row r="57" spans="1:17" outlineLevel="1" x14ac:dyDescent="0.35">
      <c r="A57" s="333">
        <f t="shared" si="1"/>
        <v>57</v>
      </c>
      <c r="D57" s="3" t="s">
        <v>58</v>
      </c>
      <c r="E57" s="28"/>
      <c r="F57" s="1" t="s">
        <v>59</v>
      </c>
      <c r="H57" s="3" t="s">
        <v>647</v>
      </c>
      <c r="I57" s="389"/>
      <c r="J57" s="366"/>
      <c r="P57" s="334"/>
      <c r="Q57" s="334"/>
    </row>
    <row r="58" spans="1:17" outlineLevel="1" x14ac:dyDescent="0.35">
      <c r="A58" s="333">
        <f t="shared" si="1"/>
        <v>58</v>
      </c>
      <c r="D58" s="3" t="s">
        <v>644</v>
      </c>
      <c r="E58" s="28"/>
      <c r="H58" s="3" t="s">
        <v>648</v>
      </c>
      <c r="I58" s="389"/>
      <c r="J58" s="366"/>
      <c r="P58" s="334"/>
      <c r="Q58" s="334"/>
    </row>
    <row r="59" spans="1:17" outlineLevel="1" x14ac:dyDescent="0.35">
      <c r="A59" s="333">
        <f t="shared" si="1"/>
        <v>59</v>
      </c>
      <c r="F59" s="27"/>
      <c r="G59" s="27"/>
      <c r="P59" s="334"/>
      <c r="Q59" s="334"/>
    </row>
    <row r="60" spans="1:17" outlineLevel="1" x14ac:dyDescent="0.35">
      <c r="A60" s="333">
        <f t="shared" si="1"/>
        <v>60</v>
      </c>
      <c r="C60" s="59" t="s">
        <v>192</v>
      </c>
      <c r="D60" s="27"/>
      <c r="E60" s="18" t="s">
        <v>189</v>
      </c>
      <c r="F60" s="18" t="s">
        <v>190</v>
      </c>
      <c r="G60" s="18" t="s">
        <v>191</v>
      </c>
      <c r="H60" s="18" t="s">
        <v>113</v>
      </c>
      <c r="I60" s="18" t="s">
        <v>193</v>
      </c>
      <c r="P60" s="334"/>
      <c r="Q60" s="334"/>
    </row>
    <row r="61" spans="1:17" outlineLevel="1" x14ac:dyDescent="0.35">
      <c r="A61" s="333">
        <f t="shared" si="1"/>
        <v>61</v>
      </c>
      <c r="D61" s="3" t="s">
        <v>188</v>
      </c>
      <c r="E61" s="28"/>
      <c r="F61" s="28"/>
      <c r="G61" s="28"/>
      <c r="H61" s="28"/>
      <c r="I61" s="28"/>
      <c r="P61" s="334"/>
      <c r="Q61" s="334"/>
    </row>
    <row r="62" spans="1:17" x14ac:dyDescent="0.35">
      <c r="A62" s="333">
        <f t="shared" si="1"/>
        <v>62</v>
      </c>
      <c r="P62" s="334"/>
      <c r="Q62" s="334"/>
    </row>
    <row r="63" spans="1:17" x14ac:dyDescent="0.35">
      <c r="A63" s="333">
        <f t="shared" si="1"/>
        <v>63</v>
      </c>
      <c r="B63" s="348" t="s">
        <v>60</v>
      </c>
      <c r="C63" s="348"/>
      <c r="D63" s="348"/>
      <c r="E63" s="348"/>
      <c r="F63" s="348"/>
      <c r="G63" s="348"/>
      <c r="H63" s="349"/>
      <c r="I63" s="349"/>
      <c r="J63" s="349"/>
      <c r="K63" s="349"/>
      <c r="L63" s="349"/>
      <c r="M63" s="349"/>
      <c r="N63" s="350"/>
      <c r="O63" s="350"/>
      <c r="P63" s="334"/>
      <c r="Q63" s="334"/>
    </row>
    <row r="64" spans="1:17" outlineLevel="2" x14ac:dyDescent="0.35">
      <c r="A64" s="333">
        <f t="shared" si="1"/>
        <v>64</v>
      </c>
      <c r="B64" s="8"/>
      <c r="C64" s="354" t="s">
        <v>513</v>
      </c>
      <c r="D64" s="17"/>
      <c r="E64" s="8"/>
      <c r="L64" s="368"/>
      <c r="M64" s="368"/>
      <c r="N64" s="369"/>
      <c r="O64" s="369"/>
      <c r="P64" s="334"/>
      <c r="Q64" s="334"/>
    </row>
    <row r="65" spans="1:17" outlineLevel="2" x14ac:dyDescent="0.35">
      <c r="A65" s="333">
        <f t="shared" si="1"/>
        <v>65</v>
      </c>
      <c r="C65" s="370" t="s">
        <v>574</v>
      </c>
      <c r="N65" s="1"/>
      <c r="P65" s="334"/>
      <c r="Q65" s="334"/>
    </row>
    <row r="66" spans="1:17" outlineLevel="2" x14ac:dyDescent="0.35">
      <c r="A66" s="333">
        <f t="shared" si="1"/>
        <v>66</v>
      </c>
      <c r="N66" s="1"/>
      <c r="O66" s="1"/>
      <c r="P66" s="334"/>
      <c r="Q66" s="334"/>
    </row>
    <row r="67" spans="1:17" outlineLevel="2" x14ac:dyDescent="0.35">
      <c r="A67" s="333">
        <f t="shared" ref="A67:A130" si="2">+A66+1</f>
        <v>67</v>
      </c>
      <c r="C67" s="60"/>
      <c r="D67" s="60" t="s">
        <v>61</v>
      </c>
      <c r="H67" s="29" t="s">
        <v>567</v>
      </c>
      <c r="I67" s="29"/>
      <c r="N67" s="1"/>
      <c r="O67" s="1"/>
      <c r="P67" s="334"/>
      <c r="Q67" s="334"/>
    </row>
    <row r="68" spans="1:17" outlineLevel="2" x14ac:dyDescent="0.35">
      <c r="A68" s="333">
        <f t="shared" si="2"/>
        <v>68</v>
      </c>
      <c r="D68" s="3" t="s">
        <v>40</v>
      </c>
      <c r="E68" s="28"/>
      <c r="F68" s="1" t="s">
        <v>41</v>
      </c>
      <c r="I68" s="3" t="s">
        <v>40</v>
      </c>
      <c r="J68" s="28"/>
      <c r="K68" s="1" t="s">
        <v>41</v>
      </c>
      <c r="O68" s="1"/>
      <c r="P68" s="334"/>
      <c r="Q68" s="334"/>
    </row>
    <row r="69" spans="1:17" outlineLevel="2" x14ac:dyDescent="0.35">
      <c r="A69" s="333">
        <f t="shared" si="2"/>
        <v>69</v>
      </c>
      <c r="D69" s="3"/>
      <c r="I69" s="3"/>
      <c r="P69" s="334"/>
      <c r="Q69" s="334"/>
    </row>
    <row r="70" spans="1:17" outlineLevel="2" x14ac:dyDescent="0.35">
      <c r="A70" s="333">
        <f t="shared" si="2"/>
        <v>70</v>
      </c>
      <c r="D70" s="7" t="s">
        <v>43</v>
      </c>
      <c r="E70" s="28"/>
      <c r="F70" s="16" t="s">
        <v>518</v>
      </c>
      <c r="I70" s="7" t="s">
        <v>43</v>
      </c>
      <c r="J70" s="28"/>
      <c r="K70" s="16" t="s">
        <v>518</v>
      </c>
      <c r="P70" s="334"/>
      <c r="Q70" s="334"/>
    </row>
    <row r="71" spans="1:17" outlineLevel="2" x14ac:dyDescent="0.35">
      <c r="A71" s="333">
        <f t="shared" si="2"/>
        <v>71</v>
      </c>
      <c r="D71" s="3" t="s">
        <v>43</v>
      </c>
      <c r="E71" s="28"/>
      <c r="F71" s="1" t="s">
        <v>41</v>
      </c>
      <c r="I71" s="3" t="s">
        <v>43</v>
      </c>
      <c r="J71" s="28"/>
      <c r="K71" s="1" t="s">
        <v>41</v>
      </c>
      <c r="P71" s="334"/>
      <c r="Q71" s="334"/>
    </row>
    <row r="72" spans="1:17" outlineLevel="2" x14ac:dyDescent="0.35">
      <c r="A72" s="333">
        <f t="shared" si="2"/>
        <v>72</v>
      </c>
      <c r="D72" s="371" t="s">
        <v>194</v>
      </c>
      <c r="E72" s="357"/>
      <c r="F72" s="1" t="s">
        <v>62</v>
      </c>
      <c r="I72" s="371" t="s">
        <v>194</v>
      </c>
      <c r="J72" s="357"/>
      <c r="K72" s="1" t="s">
        <v>62</v>
      </c>
      <c r="P72" s="334"/>
      <c r="Q72" s="334"/>
    </row>
    <row r="73" spans="1:17" outlineLevel="2" x14ac:dyDescent="0.35">
      <c r="A73" s="333">
        <f t="shared" si="2"/>
        <v>73</v>
      </c>
      <c r="D73" s="372" t="s">
        <v>68</v>
      </c>
      <c r="E73" s="373" t="e">
        <f>+E68/E70/365</f>
        <v>#DIV/0!</v>
      </c>
      <c r="F73" s="1" t="s">
        <v>69</v>
      </c>
      <c r="I73" s="372" t="s">
        <v>68</v>
      </c>
      <c r="J73" s="373" t="e">
        <f>+J68/J70/365</f>
        <v>#DIV/0!</v>
      </c>
      <c r="K73" s="1" t="s">
        <v>69</v>
      </c>
      <c r="P73" s="334"/>
      <c r="Q73" s="334"/>
    </row>
    <row r="74" spans="1:17" outlineLevel="2" x14ac:dyDescent="0.35">
      <c r="A74" s="333">
        <f t="shared" si="2"/>
        <v>74</v>
      </c>
      <c r="D74" s="372" t="s">
        <v>39</v>
      </c>
      <c r="E74" s="373" t="e">
        <f>E68/E71</f>
        <v>#DIV/0!</v>
      </c>
      <c r="I74" s="372" t="s">
        <v>39</v>
      </c>
      <c r="J74" s="373" t="e">
        <f>+J68/J71</f>
        <v>#DIV/0!</v>
      </c>
      <c r="P74" s="334"/>
      <c r="Q74" s="334"/>
    </row>
    <row r="75" spans="1:17" outlineLevel="2" x14ac:dyDescent="0.35">
      <c r="A75" s="333">
        <f t="shared" si="2"/>
        <v>75</v>
      </c>
      <c r="D75" s="14" t="s">
        <v>519</v>
      </c>
      <c r="E75" s="374" t="e">
        <f>+E68/E70</f>
        <v>#DIV/0!</v>
      </c>
      <c r="I75" s="14" t="s">
        <v>519</v>
      </c>
      <c r="J75" s="374" t="e">
        <f>+J68/J70</f>
        <v>#DIV/0!</v>
      </c>
      <c r="P75" s="334"/>
      <c r="Q75" s="334"/>
    </row>
    <row r="76" spans="1:17" outlineLevel="2" x14ac:dyDescent="0.35">
      <c r="A76" s="333">
        <f t="shared" si="2"/>
        <v>76</v>
      </c>
      <c r="P76" s="334"/>
      <c r="Q76" s="334"/>
    </row>
    <row r="77" spans="1:17" outlineLevel="2" x14ac:dyDescent="0.35">
      <c r="A77" s="333">
        <f t="shared" si="2"/>
        <v>77</v>
      </c>
      <c r="C77" s="308" t="s">
        <v>573</v>
      </c>
      <c r="H77" s="308" t="s">
        <v>572</v>
      </c>
      <c r="P77" s="334"/>
      <c r="Q77" s="334"/>
    </row>
    <row r="78" spans="1:17" outlineLevel="2" x14ac:dyDescent="0.35">
      <c r="A78" s="333">
        <f t="shared" si="2"/>
        <v>78</v>
      </c>
      <c r="C78" s="309" t="s">
        <v>565</v>
      </c>
      <c r="H78" s="309" t="s">
        <v>565</v>
      </c>
      <c r="P78" s="334"/>
      <c r="Q78" s="334"/>
    </row>
    <row r="79" spans="1:17" outlineLevel="2" x14ac:dyDescent="0.35">
      <c r="A79" s="333">
        <f t="shared" si="2"/>
        <v>79</v>
      </c>
      <c r="D79" s="1" t="s">
        <v>522</v>
      </c>
      <c r="E79" s="375"/>
      <c r="I79" s="1" t="s">
        <v>522</v>
      </c>
      <c r="J79" s="375"/>
      <c r="P79" s="334"/>
      <c r="Q79" s="334"/>
    </row>
    <row r="80" spans="1:17" outlineLevel="2" x14ac:dyDescent="0.35">
      <c r="A80" s="333">
        <f t="shared" si="2"/>
        <v>80</v>
      </c>
      <c r="I80" s="14" t="s">
        <v>566</v>
      </c>
      <c r="J80" s="28"/>
      <c r="P80" s="334"/>
      <c r="Q80" s="334"/>
    </row>
    <row r="81" spans="1:17" outlineLevel="2" x14ac:dyDescent="0.35">
      <c r="A81" s="333">
        <f t="shared" si="2"/>
        <v>81</v>
      </c>
      <c r="D81" s="1" t="s">
        <v>520</v>
      </c>
      <c r="E81" s="28"/>
      <c r="F81" s="1" t="s">
        <v>59</v>
      </c>
      <c r="I81" s="1" t="s">
        <v>520</v>
      </c>
      <c r="J81" s="28"/>
      <c r="K81" s="1" t="s">
        <v>59</v>
      </c>
      <c r="P81" s="334"/>
      <c r="Q81" s="334"/>
    </row>
    <row r="82" spans="1:17" outlineLevel="2" x14ac:dyDescent="0.35">
      <c r="A82" s="333">
        <f t="shared" si="2"/>
        <v>82</v>
      </c>
      <c r="D82" s="1" t="s">
        <v>521</v>
      </c>
      <c r="E82" s="28"/>
      <c r="F82" s="1" t="s">
        <v>59</v>
      </c>
      <c r="I82" s="1" t="s">
        <v>521</v>
      </c>
      <c r="J82" s="28"/>
      <c r="K82" s="1" t="s">
        <v>59</v>
      </c>
      <c r="P82" s="334"/>
      <c r="Q82" s="334"/>
    </row>
    <row r="83" spans="1:17" outlineLevel="2" x14ac:dyDescent="0.35">
      <c r="A83" s="333">
        <f t="shared" si="2"/>
        <v>83</v>
      </c>
      <c r="D83" s="372" t="s">
        <v>523</v>
      </c>
      <c r="E83" s="376"/>
      <c r="I83" s="372" t="s">
        <v>523</v>
      </c>
      <c r="J83" s="376"/>
      <c r="P83" s="334"/>
      <c r="Q83" s="334"/>
    </row>
    <row r="84" spans="1:17" outlineLevel="2" x14ac:dyDescent="0.35">
      <c r="A84" s="333">
        <f t="shared" si="2"/>
        <v>84</v>
      </c>
      <c r="D84" s="372" t="s">
        <v>66</v>
      </c>
      <c r="E84" s="377"/>
      <c r="F84" s="1" t="s">
        <v>67</v>
      </c>
      <c r="I84" s="372" t="s">
        <v>66</v>
      </c>
      <c r="J84" s="377"/>
      <c r="K84" s="1" t="s">
        <v>67</v>
      </c>
      <c r="P84" s="334"/>
      <c r="Q84" s="334"/>
    </row>
    <row r="85" spans="1:17" outlineLevel="2" x14ac:dyDescent="0.35">
      <c r="A85" s="333">
        <f t="shared" si="2"/>
        <v>85</v>
      </c>
      <c r="D85" s="378"/>
      <c r="E85" s="3"/>
      <c r="F85" s="379"/>
      <c r="G85" s="16"/>
      <c r="H85" s="16"/>
      <c r="I85" s="16"/>
      <c r="J85" s="7"/>
      <c r="K85" s="379"/>
      <c r="P85" s="334"/>
      <c r="Q85" s="334"/>
    </row>
    <row r="86" spans="1:17" x14ac:dyDescent="0.35">
      <c r="A86" s="333">
        <f t="shared" si="2"/>
        <v>86</v>
      </c>
      <c r="B86" s="348" t="s">
        <v>70</v>
      </c>
      <c r="C86" s="348"/>
      <c r="D86" s="348"/>
      <c r="E86" s="348"/>
      <c r="F86" s="348"/>
      <c r="G86" s="348"/>
      <c r="H86" s="349"/>
      <c r="I86" s="349"/>
      <c r="J86" s="349"/>
      <c r="K86" s="349"/>
      <c r="L86" s="349"/>
      <c r="M86" s="349"/>
      <c r="N86" s="350"/>
      <c r="O86" s="350"/>
      <c r="P86" s="334"/>
      <c r="Q86" s="334"/>
    </row>
    <row r="87" spans="1:17" outlineLevel="1" x14ac:dyDescent="0.35">
      <c r="A87" s="333">
        <f t="shared" si="2"/>
        <v>87</v>
      </c>
      <c r="B87" s="8"/>
      <c r="C87" s="354" t="s">
        <v>71</v>
      </c>
      <c r="D87" s="17"/>
      <c r="E87" s="8"/>
      <c r="F87" s="380"/>
      <c r="G87" s="380"/>
      <c r="H87" s="368"/>
      <c r="I87" s="368"/>
      <c r="J87" s="368"/>
      <c r="K87" s="368"/>
      <c r="L87" s="368"/>
      <c r="M87" s="368"/>
      <c r="N87" s="369"/>
      <c r="O87" s="369"/>
      <c r="P87" s="334"/>
      <c r="Q87" s="334"/>
    </row>
    <row r="88" spans="1:17" outlineLevel="1" x14ac:dyDescent="0.35">
      <c r="A88" s="333">
        <f t="shared" si="2"/>
        <v>88</v>
      </c>
      <c r="B88" s="380"/>
      <c r="D88" s="380"/>
      <c r="E88" s="380"/>
      <c r="F88" s="380"/>
      <c r="G88" s="380"/>
      <c r="H88" s="368"/>
      <c r="I88" s="368"/>
      <c r="J88" s="368"/>
      <c r="K88" s="368"/>
      <c r="L88" s="368"/>
      <c r="M88" s="368"/>
      <c r="N88" s="369"/>
      <c r="O88" s="369"/>
      <c r="P88" s="334"/>
      <c r="Q88" s="334"/>
    </row>
    <row r="89" spans="1:17" outlineLevel="1" x14ac:dyDescent="0.35">
      <c r="A89" s="333">
        <f t="shared" si="2"/>
        <v>89</v>
      </c>
      <c r="B89" s="380"/>
      <c r="C89" s="354"/>
      <c r="D89" s="380"/>
      <c r="E89" s="380"/>
      <c r="F89" s="380"/>
      <c r="G89" s="381" t="s">
        <v>72</v>
      </c>
      <c r="H89" s="382"/>
      <c r="I89" s="368"/>
      <c r="J89" s="368"/>
      <c r="K89" s="368"/>
      <c r="L89" s="368"/>
      <c r="M89" s="368"/>
      <c r="N89" s="369"/>
      <c r="O89" s="369"/>
      <c r="P89" s="334"/>
    </row>
    <row r="90" spans="1:17" outlineLevel="1" x14ac:dyDescent="0.35">
      <c r="A90" s="333">
        <f t="shared" si="2"/>
        <v>90</v>
      </c>
      <c r="B90" s="380"/>
      <c r="C90" s="354" t="s">
        <v>661</v>
      </c>
      <c r="D90" s="380"/>
      <c r="E90" s="380"/>
      <c r="F90" s="380"/>
      <c r="G90" s="381" t="s">
        <v>73</v>
      </c>
      <c r="H90" s="383"/>
      <c r="I90" s="368"/>
      <c r="J90" s="368"/>
      <c r="K90" s="368"/>
      <c r="L90" s="368"/>
      <c r="M90" s="368"/>
      <c r="N90" s="369"/>
      <c r="O90" s="369"/>
      <c r="P90" s="334"/>
    </row>
    <row r="91" spans="1:17" outlineLevel="1" x14ac:dyDescent="0.35">
      <c r="A91" s="333">
        <f t="shared" si="2"/>
        <v>91</v>
      </c>
      <c r="P91" s="334"/>
    </row>
    <row r="92" spans="1:17" outlineLevel="1" x14ac:dyDescent="0.35">
      <c r="A92" s="333">
        <f t="shared" si="2"/>
        <v>92</v>
      </c>
      <c r="D92" s="29" t="s">
        <v>74</v>
      </c>
      <c r="G92" s="30"/>
      <c r="H92" s="31"/>
      <c r="I92" s="29" t="s">
        <v>75</v>
      </c>
      <c r="P92" s="334"/>
    </row>
    <row r="93" spans="1:17" outlineLevel="1" x14ac:dyDescent="0.35">
      <c r="A93" s="333">
        <f t="shared" si="2"/>
        <v>93</v>
      </c>
      <c r="D93" s="371"/>
      <c r="G93" s="30"/>
      <c r="H93" s="31"/>
      <c r="P93" s="334"/>
    </row>
    <row r="94" spans="1:17" outlineLevel="1" x14ac:dyDescent="0.35">
      <c r="A94" s="333">
        <f t="shared" si="2"/>
        <v>94</v>
      </c>
      <c r="D94" s="372" t="s">
        <v>63</v>
      </c>
      <c r="E94" s="28"/>
      <c r="F94" s="1" t="s">
        <v>64</v>
      </c>
      <c r="G94" s="30"/>
      <c r="I94" s="3" t="s">
        <v>40</v>
      </c>
      <c r="J94" s="28"/>
      <c r="K94" s="1" t="s">
        <v>41</v>
      </c>
      <c r="M94" s="10"/>
      <c r="P94" s="334"/>
    </row>
    <row r="95" spans="1:17" ht="18" customHeight="1" outlineLevel="1" x14ac:dyDescent="0.35">
      <c r="A95" s="333">
        <f t="shared" si="2"/>
        <v>95</v>
      </c>
      <c r="D95" s="3"/>
      <c r="E95" s="3"/>
      <c r="G95" s="30"/>
      <c r="I95" s="3"/>
      <c r="M95" s="10"/>
      <c r="P95" s="334"/>
    </row>
    <row r="96" spans="1:17" outlineLevel="1" x14ac:dyDescent="0.35">
      <c r="A96" s="333">
        <f t="shared" si="2"/>
        <v>96</v>
      </c>
      <c r="D96" s="14" t="s">
        <v>519</v>
      </c>
      <c r="E96" s="28"/>
      <c r="F96" s="1" t="s">
        <v>655</v>
      </c>
      <c r="G96" s="30"/>
      <c r="I96" s="14" t="s">
        <v>519</v>
      </c>
      <c r="J96" s="28"/>
      <c r="K96" s="16" t="s">
        <v>518</v>
      </c>
      <c r="M96" s="10"/>
      <c r="P96" s="334"/>
    </row>
    <row r="97" spans="1:17 16382:16382" outlineLevel="1" x14ac:dyDescent="0.35">
      <c r="A97" s="333">
        <f t="shared" si="2"/>
        <v>97</v>
      </c>
      <c r="D97" s="372" t="s">
        <v>660</v>
      </c>
      <c r="E97" s="397"/>
      <c r="F97" s="1" t="s">
        <v>69</v>
      </c>
      <c r="G97" s="30"/>
      <c r="I97" s="372" t="s">
        <v>660</v>
      </c>
      <c r="J97" s="397"/>
      <c r="K97" s="1" t="s">
        <v>41</v>
      </c>
      <c r="P97" s="334"/>
    </row>
    <row r="98" spans="1:17 16382:16382" outlineLevel="1" x14ac:dyDescent="0.35">
      <c r="A98" s="333">
        <f t="shared" si="2"/>
        <v>98</v>
      </c>
      <c r="D98" s="371" t="s">
        <v>194</v>
      </c>
      <c r="E98" s="357"/>
      <c r="F98" s="1" t="s">
        <v>62</v>
      </c>
      <c r="G98" s="30"/>
      <c r="I98" s="371" t="s">
        <v>194</v>
      </c>
      <c r="J98" s="357"/>
      <c r="K98" s="1" t="s">
        <v>62</v>
      </c>
      <c r="P98" s="334"/>
    </row>
    <row r="99" spans="1:17 16382:16382" outlineLevel="1" x14ac:dyDescent="0.35">
      <c r="A99" s="333">
        <f t="shared" si="2"/>
        <v>99</v>
      </c>
      <c r="D99" s="372" t="s">
        <v>76</v>
      </c>
      <c r="E99" s="357"/>
      <c r="F99" s="1" t="s">
        <v>77</v>
      </c>
      <c r="G99" s="30"/>
      <c r="I99" s="372" t="s">
        <v>76</v>
      </c>
      <c r="J99" s="357"/>
      <c r="K99" s="1" t="s">
        <v>77</v>
      </c>
      <c r="P99" s="334"/>
    </row>
    <row r="100" spans="1:17 16382:16382" outlineLevel="1" x14ac:dyDescent="0.35">
      <c r="A100" s="333">
        <f t="shared" si="2"/>
        <v>100</v>
      </c>
      <c r="D100" s="372"/>
      <c r="E100" s="372"/>
      <c r="F100" s="372"/>
      <c r="G100" s="30"/>
      <c r="P100" s="334"/>
    </row>
    <row r="101" spans="1:17 16382:16382" outlineLevel="1" x14ac:dyDescent="0.35">
      <c r="A101" s="333">
        <f t="shared" si="2"/>
        <v>101</v>
      </c>
      <c r="C101" s="10"/>
      <c r="D101" s="14" t="s">
        <v>551</v>
      </c>
      <c r="E101" s="393" t="e">
        <f>+E99/E94</f>
        <v>#DIV/0!</v>
      </c>
      <c r="F101" s="372"/>
      <c r="G101" s="30"/>
      <c r="I101" s="14" t="s">
        <v>551</v>
      </c>
      <c r="J101" s="393" t="e">
        <f>+J99/J94</f>
        <v>#DIV/0!</v>
      </c>
      <c r="P101" s="334"/>
    </row>
    <row r="102" spans="1:17 16382:16382" outlineLevel="1" x14ac:dyDescent="0.35">
      <c r="A102" s="333">
        <f t="shared" si="2"/>
        <v>102</v>
      </c>
      <c r="D102" s="372"/>
      <c r="G102" s="30"/>
      <c r="P102" s="334"/>
    </row>
    <row r="103" spans="1:17 16382:16382" outlineLevel="1" x14ac:dyDescent="0.35">
      <c r="A103" s="333">
        <f t="shared" si="2"/>
        <v>103</v>
      </c>
      <c r="G103" s="30"/>
      <c r="P103" s="334"/>
    </row>
    <row r="104" spans="1:17 16382:16382" outlineLevel="1" x14ac:dyDescent="0.35">
      <c r="A104" s="333">
        <f t="shared" si="2"/>
        <v>104</v>
      </c>
      <c r="D104" s="308" t="s">
        <v>563</v>
      </c>
      <c r="G104" s="30"/>
      <c r="P104" s="334"/>
    </row>
    <row r="105" spans="1:17 16382:16382" outlineLevel="1" x14ac:dyDescent="0.35">
      <c r="A105" s="333">
        <f t="shared" si="2"/>
        <v>105</v>
      </c>
      <c r="C105" s="309" t="s">
        <v>564</v>
      </c>
      <c r="D105" s="308"/>
      <c r="G105" s="30"/>
      <c r="I105" s="308" t="s">
        <v>568</v>
      </c>
      <c r="P105" s="334"/>
    </row>
    <row r="106" spans="1:17 16382:16382" outlineLevel="2" x14ac:dyDescent="0.35">
      <c r="A106" s="333">
        <f t="shared" si="2"/>
        <v>106</v>
      </c>
      <c r="B106" s="309"/>
      <c r="G106" s="30"/>
      <c r="H106" s="1" t="s">
        <v>564</v>
      </c>
      <c r="P106" s="334"/>
      <c r="Q106" s="334"/>
    </row>
    <row r="107" spans="1:17 16382:16382" outlineLevel="1" x14ac:dyDescent="0.35">
      <c r="A107" s="333">
        <f t="shared" si="2"/>
        <v>107</v>
      </c>
      <c r="D107" s="1" t="s">
        <v>522</v>
      </c>
      <c r="E107" s="375"/>
      <c r="G107" s="30"/>
      <c r="I107" s="1" t="s">
        <v>522</v>
      </c>
      <c r="J107" s="375"/>
      <c r="P107" s="334"/>
      <c r="XFB107" s="1"/>
    </row>
    <row r="108" spans="1:17 16382:16382" outlineLevel="1" x14ac:dyDescent="0.35">
      <c r="A108" s="333">
        <f t="shared" si="2"/>
        <v>108</v>
      </c>
      <c r="G108" s="30"/>
      <c r="I108" s="14" t="s">
        <v>566</v>
      </c>
      <c r="J108" s="28"/>
      <c r="P108" s="334"/>
      <c r="XFB108" s="1"/>
    </row>
    <row r="109" spans="1:17 16382:16382" outlineLevel="1" x14ac:dyDescent="0.35">
      <c r="A109" s="333">
        <f t="shared" si="2"/>
        <v>109</v>
      </c>
      <c r="D109" s="1" t="s">
        <v>520</v>
      </c>
      <c r="E109" s="28"/>
      <c r="F109" s="1" t="s">
        <v>59</v>
      </c>
      <c r="G109" s="30"/>
      <c r="I109" s="1" t="s">
        <v>520</v>
      </c>
      <c r="J109" s="28"/>
      <c r="K109" s="1" t="s">
        <v>59</v>
      </c>
      <c r="P109" s="334"/>
    </row>
    <row r="110" spans="1:17 16382:16382" outlineLevel="1" x14ac:dyDescent="0.35">
      <c r="A110" s="333">
        <f t="shared" si="2"/>
        <v>110</v>
      </c>
      <c r="D110" s="1" t="s">
        <v>521</v>
      </c>
      <c r="E110" s="28"/>
      <c r="F110" s="1" t="s">
        <v>59</v>
      </c>
      <c r="G110" s="30"/>
      <c r="I110" s="1" t="s">
        <v>521</v>
      </c>
      <c r="J110" s="28"/>
      <c r="K110" s="1" t="s">
        <v>59</v>
      </c>
      <c r="P110" s="334"/>
    </row>
    <row r="111" spans="1:17 16382:16382" ht="15" customHeight="1" outlineLevel="1" x14ac:dyDescent="0.35">
      <c r="A111" s="333">
        <f t="shared" si="2"/>
        <v>111</v>
      </c>
      <c r="G111" s="30"/>
      <c r="P111" s="334"/>
    </row>
    <row r="112" spans="1:17 16382:16382" ht="15" customHeight="1" outlineLevel="1" x14ac:dyDescent="0.35">
      <c r="A112" s="333">
        <f t="shared" si="2"/>
        <v>112</v>
      </c>
      <c r="C112" s="10"/>
      <c r="D112" s="384" t="s">
        <v>540</v>
      </c>
      <c r="E112" s="1" t="s">
        <v>67</v>
      </c>
      <c r="G112" s="30"/>
      <c r="I112" s="384" t="s">
        <v>540</v>
      </c>
      <c r="J112" s="1" t="s">
        <v>67</v>
      </c>
      <c r="P112" s="334"/>
    </row>
    <row r="113" spans="1:16" outlineLevel="1" x14ac:dyDescent="0.35">
      <c r="A113" s="333">
        <f t="shared" si="2"/>
        <v>113</v>
      </c>
      <c r="D113" s="372" t="s">
        <v>78</v>
      </c>
      <c r="E113" s="385"/>
      <c r="G113" s="30"/>
      <c r="I113" s="372" t="s">
        <v>78</v>
      </c>
      <c r="J113" s="385"/>
      <c r="P113" s="334"/>
    </row>
    <row r="114" spans="1:16" outlineLevel="1" x14ac:dyDescent="0.35">
      <c r="A114" s="333">
        <f t="shared" si="2"/>
        <v>114</v>
      </c>
      <c r="D114" s="14" t="s">
        <v>79</v>
      </c>
      <c r="E114" s="385"/>
      <c r="G114" s="30"/>
      <c r="I114" s="14" t="s">
        <v>79</v>
      </c>
      <c r="J114" s="385"/>
      <c r="P114" s="334"/>
    </row>
    <row r="115" spans="1:16" outlineLevel="1" x14ac:dyDescent="0.35">
      <c r="A115" s="333">
        <f t="shared" si="2"/>
        <v>115</v>
      </c>
      <c r="D115" s="14" t="s">
        <v>80</v>
      </c>
      <c r="E115" s="385"/>
      <c r="G115" s="30"/>
      <c r="I115" s="14" t="s">
        <v>80</v>
      </c>
      <c r="J115" s="385"/>
      <c r="P115" s="334"/>
    </row>
    <row r="116" spans="1:16" outlineLevel="1" x14ac:dyDescent="0.35">
      <c r="A116" s="333">
        <f t="shared" si="2"/>
        <v>116</v>
      </c>
      <c r="D116" s="14" t="s">
        <v>81</v>
      </c>
      <c r="E116" s="385"/>
      <c r="G116" s="30"/>
      <c r="I116" s="14" t="s">
        <v>81</v>
      </c>
      <c r="J116" s="385"/>
      <c r="P116" s="334"/>
    </row>
    <row r="117" spans="1:16" outlineLevel="1" x14ac:dyDescent="0.35">
      <c r="A117" s="333">
        <f t="shared" si="2"/>
        <v>117</v>
      </c>
      <c r="D117" s="14" t="s">
        <v>82</v>
      </c>
      <c r="E117" s="385"/>
      <c r="G117" s="30"/>
      <c r="I117" s="14" t="s">
        <v>82</v>
      </c>
      <c r="J117" s="385"/>
      <c r="P117" s="334"/>
    </row>
    <row r="118" spans="1:16" outlineLevel="1" x14ac:dyDescent="0.35">
      <c r="A118" s="333">
        <f t="shared" si="2"/>
        <v>118</v>
      </c>
      <c r="D118" s="14" t="s">
        <v>83</v>
      </c>
      <c r="E118" s="385"/>
      <c r="G118" s="30"/>
      <c r="H118" s="31"/>
      <c r="I118" s="14" t="s">
        <v>83</v>
      </c>
      <c r="J118" s="385"/>
      <c r="P118" s="334"/>
    </row>
    <row r="119" spans="1:16" outlineLevel="1" x14ac:dyDescent="0.35">
      <c r="A119" s="333">
        <f t="shared" si="2"/>
        <v>119</v>
      </c>
      <c r="G119" s="33"/>
      <c r="P119" s="334"/>
    </row>
    <row r="120" spans="1:16" outlineLevel="1" x14ac:dyDescent="0.35">
      <c r="A120" s="333">
        <f t="shared" si="2"/>
        <v>120</v>
      </c>
      <c r="C120" s="2"/>
      <c r="D120" s="386" t="s">
        <v>84</v>
      </c>
      <c r="E120" s="387" t="str">
        <f>IFERROR(E94/(E94+E68),"")</f>
        <v/>
      </c>
      <c r="G120" s="33"/>
      <c r="I120" s="386" t="s">
        <v>85</v>
      </c>
      <c r="J120" s="387" t="str">
        <f>IFERROR(J94/(J94+J68),"")</f>
        <v/>
      </c>
      <c r="M120" s="16"/>
      <c r="N120" s="1"/>
      <c r="P120" s="334"/>
    </row>
    <row r="121" spans="1:16" outlineLevel="1" x14ac:dyDescent="0.35">
      <c r="A121" s="333">
        <f t="shared" si="2"/>
        <v>121</v>
      </c>
      <c r="D121" s="386" t="s">
        <v>86</v>
      </c>
      <c r="E121" s="388" t="str">
        <f>IF(E120="","",1-E120)</f>
        <v/>
      </c>
      <c r="G121" s="33"/>
      <c r="I121" s="386" t="s">
        <v>87</v>
      </c>
      <c r="J121" s="388" t="str">
        <f>IF(J120="","",1-J120)</f>
        <v/>
      </c>
      <c r="M121" s="16"/>
      <c r="N121" s="1"/>
      <c r="P121" s="334"/>
    </row>
    <row r="122" spans="1:16" outlineLevel="1" x14ac:dyDescent="0.35">
      <c r="A122" s="333">
        <f t="shared" si="2"/>
        <v>122</v>
      </c>
      <c r="G122" s="33"/>
      <c r="M122" s="16"/>
      <c r="N122" s="1"/>
      <c r="P122" s="334"/>
    </row>
    <row r="123" spans="1:16" outlineLevel="1" x14ac:dyDescent="0.35">
      <c r="A123" s="333">
        <f t="shared" si="2"/>
        <v>123</v>
      </c>
      <c r="E123" s="378"/>
      <c r="F123" s="16"/>
      <c r="G123" s="16"/>
      <c r="J123" s="378"/>
      <c r="K123" s="16"/>
      <c r="L123" s="378"/>
      <c r="M123" s="16"/>
      <c r="N123" s="1"/>
      <c r="P123" s="334"/>
    </row>
    <row r="124" spans="1:16" x14ac:dyDescent="0.35">
      <c r="A124" s="333">
        <f t="shared" si="2"/>
        <v>124</v>
      </c>
      <c r="C124" s="403" t="s">
        <v>552</v>
      </c>
      <c r="D124" s="403"/>
      <c r="E124" s="403"/>
      <c r="F124" s="403"/>
      <c r="G124" s="403"/>
      <c r="H124" s="403"/>
      <c r="I124" s="403"/>
      <c r="J124" s="403"/>
      <c r="K124" s="403"/>
      <c r="L124" s="403"/>
      <c r="M124" s="403"/>
      <c r="N124" s="403"/>
      <c r="P124" s="334"/>
    </row>
    <row r="125" spans="1:16" x14ac:dyDescent="0.35">
      <c r="A125" s="333">
        <f t="shared" si="2"/>
        <v>125</v>
      </c>
      <c r="C125" s="401"/>
      <c r="D125" s="401"/>
      <c r="E125" s="401"/>
      <c r="F125" s="401"/>
      <c r="G125" s="401"/>
      <c r="H125" s="401"/>
      <c r="I125" s="401"/>
      <c r="J125" s="401"/>
      <c r="K125" s="401"/>
      <c r="L125" s="401"/>
      <c r="M125" s="401"/>
      <c r="N125" s="401"/>
      <c r="P125" s="334"/>
    </row>
    <row r="126" spans="1:16" x14ac:dyDescent="0.35">
      <c r="A126" s="333">
        <f t="shared" si="2"/>
        <v>126</v>
      </c>
      <c r="C126" s="402"/>
      <c r="D126" s="402"/>
      <c r="E126" s="402"/>
      <c r="F126" s="402"/>
      <c r="G126" s="402"/>
      <c r="H126" s="402"/>
      <c r="I126" s="402"/>
      <c r="J126" s="402"/>
      <c r="K126" s="402"/>
      <c r="L126" s="402"/>
      <c r="M126" s="402"/>
      <c r="N126" s="402"/>
      <c r="P126" s="334"/>
    </row>
    <row r="127" spans="1:16" x14ac:dyDescent="0.35">
      <c r="A127" s="333">
        <f t="shared" si="2"/>
        <v>127</v>
      </c>
      <c r="C127" s="402"/>
      <c r="D127" s="402"/>
      <c r="E127" s="402"/>
      <c r="F127" s="402"/>
      <c r="G127" s="402"/>
      <c r="H127" s="402"/>
      <c r="I127" s="402"/>
      <c r="J127" s="402"/>
      <c r="K127" s="402"/>
      <c r="L127" s="402"/>
      <c r="M127" s="402"/>
      <c r="N127" s="402"/>
      <c r="P127" s="334"/>
    </row>
    <row r="128" spans="1:16" x14ac:dyDescent="0.35">
      <c r="A128" s="333">
        <f t="shared" si="2"/>
        <v>128</v>
      </c>
      <c r="C128" s="402"/>
      <c r="D128" s="402"/>
      <c r="E128" s="402"/>
      <c r="F128" s="402"/>
      <c r="G128" s="402"/>
      <c r="H128" s="402"/>
      <c r="I128" s="402"/>
      <c r="J128" s="402"/>
      <c r="K128" s="402"/>
      <c r="L128" s="402"/>
      <c r="M128" s="402"/>
      <c r="N128" s="402"/>
      <c r="P128" s="334"/>
    </row>
    <row r="129" spans="1:16" x14ac:dyDescent="0.35">
      <c r="A129" s="333">
        <f t="shared" si="2"/>
        <v>129</v>
      </c>
      <c r="C129" s="402"/>
      <c r="D129" s="402"/>
      <c r="E129" s="402"/>
      <c r="F129" s="402"/>
      <c r="G129" s="402"/>
      <c r="H129" s="402"/>
      <c r="I129" s="402"/>
      <c r="J129" s="402"/>
      <c r="K129" s="402"/>
      <c r="L129" s="402"/>
      <c r="M129" s="402"/>
      <c r="N129" s="402"/>
      <c r="P129" s="334"/>
    </row>
    <row r="130" spans="1:16" x14ac:dyDescent="0.35">
      <c r="A130" s="333">
        <f t="shared" si="2"/>
        <v>130</v>
      </c>
      <c r="C130" s="402"/>
      <c r="D130" s="402"/>
      <c r="E130" s="402"/>
      <c r="F130" s="402"/>
      <c r="G130" s="402"/>
      <c r="H130" s="402"/>
      <c r="I130" s="402"/>
      <c r="J130" s="402"/>
      <c r="K130" s="402"/>
      <c r="L130" s="402"/>
      <c r="M130" s="402"/>
      <c r="N130" s="402"/>
      <c r="P130" s="334"/>
    </row>
    <row r="131" spans="1:16" x14ac:dyDescent="0.35">
      <c r="A131" s="333">
        <f t="shared" ref="A131:O135" si="3">+A130+1</f>
        <v>131</v>
      </c>
      <c r="C131" s="402"/>
      <c r="D131" s="402"/>
      <c r="E131" s="402"/>
      <c r="F131" s="402"/>
      <c r="G131" s="402"/>
      <c r="H131" s="402"/>
      <c r="I131" s="402"/>
      <c r="J131" s="402"/>
      <c r="K131" s="402"/>
      <c r="L131" s="402"/>
      <c r="M131" s="402"/>
      <c r="N131" s="402"/>
      <c r="P131" s="334"/>
    </row>
    <row r="132" spans="1:16" x14ac:dyDescent="0.35">
      <c r="A132" s="333">
        <f t="shared" si="3"/>
        <v>132</v>
      </c>
      <c r="C132" s="402"/>
      <c r="D132" s="402"/>
      <c r="E132" s="402"/>
      <c r="F132" s="402"/>
      <c r="G132" s="402"/>
      <c r="H132" s="402"/>
      <c r="I132" s="402"/>
      <c r="J132" s="402"/>
      <c r="K132" s="402"/>
      <c r="L132" s="402"/>
      <c r="M132" s="402"/>
      <c r="N132" s="402"/>
      <c r="P132" s="334"/>
    </row>
    <row r="133" spans="1:16" x14ac:dyDescent="0.35">
      <c r="A133" s="333">
        <f t="shared" si="3"/>
        <v>133</v>
      </c>
      <c r="P133" s="334"/>
    </row>
    <row r="134" spans="1:16" ht="14.5" x14ac:dyDescent="0.35">
      <c r="A134" s="333">
        <f t="shared" si="3"/>
        <v>134</v>
      </c>
      <c r="B134" s="333">
        <f t="shared" si="3"/>
        <v>1</v>
      </c>
      <c r="C134" s="333">
        <f t="shared" si="3"/>
        <v>1</v>
      </c>
      <c r="D134" s="333">
        <f t="shared" si="3"/>
        <v>1</v>
      </c>
      <c r="E134" s="333">
        <f t="shared" si="3"/>
        <v>1</v>
      </c>
      <c r="F134" s="333">
        <f t="shared" si="3"/>
        <v>1</v>
      </c>
      <c r="G134" s="333">
        <f t="shared" si="3"/>
        <v>1</v>
      </c>
      <c r="H134" s="333">
        <f t="shared" si="3"/>
        <v>1</v>
      </c>
      <c r="I134" s="333">
        <f t="shared" si="3"/>
        <v>1</v>
      </c>
      <c r="J134" s="333">
        <f t="shared" si="3"/>
        <v>1</v>
      </c>
      <c r="K134" s="333">
        <f t="shared" si="3"/>
        <v>1</v>
      </c>
      <c r="L134" s="333">
        <f t="shared" si="3"/>
        <v>1</v>
      </c>
      <c r="M134" s="333">
        <f t="shared" si="3"/>
        <v>1</v>
      </c>
      <c r="N134" s="333">
        <f t="shared" si="3"/>
        <v>1</v>
      </c>
      <c r="O134" s="333">
        <f t="shared" si="3"/>
        <v>1</v>
      </c>
      <c r="P134" s="334"/>
    </row>
    <row r="135" spans="1:16" ht="14.5" x14ac:dyDescent="0.35">
      <c r="A135" s="333">
        <f t="shared" si="3"/>
        <v>135</v>
      </c>
      <c r="B135" s="333">
        <f t="shared" si="3"/>
        <v>2</v>
      </c>
      <c r="C135" s="333">
        <f t="shared" si="3"/>
        <v>2</v>
      </c>
      <c r="D135" s="333">
        <f t="shared" si="3"/>
        <v>2</v>
      </c>
      <c r="E135" s="333">
        <f t="shared" si="3"/>
        <v>2</v>
      </c>
      <c r="F135" s="333">
        <f t="shared" si="3"/>
        <v>2</v>
      </c>
      <c r="G135" s="333">
        <f t="shared" si="3"/>
        <v>2</v>
      </c>
      <c r="H135" s="333">
        <f t="shared" si="3"/>
        <v>2</v>
      </c>
      <c r="I135" s="333">
        <f t="shared" si="3"/>
        <v>2</v>
      </c>
      <c r="J135" s="333">
        <f t="shared" si="3"/>
        <v>2</v>
      </c>
      <c r="K135" s="333">
        <f t="shared" si="3"/>
        <v>2</v>
      </c>
      <c r="L135" s="333">
        <f t="shared" si="3"/>
        <v>2</v>
      </c>
      <c r="M135" s="333">
        <f t="shared" si="3"/>
        <v>2</v>
      </c>
      <c r="N135" s="333">
        <f t="shared" si="3"/>
        <v>2</v>
      </c>
      <c r="O135" s="333">
        <f t="shared" si="3"/>
        <v>2</v>
      </c>
      <c r="P135" s="334"/>
    </row>
  </sheetData>
  <sheetProtection sheet="1" objects="1" scenarios="1" selectLockedCells="1"/>
  <protectedRanges>
    <protectedRange sqref="G37" name="Rango1"/>
  </protectedRanges>
  <dataConsolidate/>
  <mergeCells count="6">
    <mergeCell ref="C125:N132"/>
    <mergeCell ref="I5:J5"/>
    <mergeCell ref="M11:O12"/>
    <mergeCell ref="M13:O14"/>
    <mergeCell ref="M15:O16"/>
    <mergeCell ref="C124:N124"/>
  </mergeCells>
  <conditionalFormatting sqref="J12">
    <cfRule type="expression" dxfId="2" priority="3">
      <formula>$J$11&gt;1</formula>
    </cfRule>
  </conditionalFormatting>
  <conditionalFormatting sqref="J14">
    <cfRule type="expression" dxfId="1" priority="2">
      <formula>$J$13&gt;1</formula>
    </cfRule>
  </conditionalFormatting>
  <conditionalFormatting sqref="J16">
    <cfRule type="expression" dxfId="0" priority="1">
      <formula>$J$15&gt;1</formula>
    </cfRule>
  </conditionalFormatting>
  <dataValidations count="62">
    <dataValidation allowBlank="1" showInputMessage="1" showErrorMessage="1" prompt="Aumento diario de peso vivo promedio" sqref="J97 E97"/>
    <dataValidation allowBlank="1" showErrorMessage="1" prompt="Kilos de materia seca ofrecidos en total" sqref="E96 J96"/>
    <dataValidation allowBlank="1" showInputMessage="1" showErrorMessage="1" prompt="Stock medio en terminación: promedio de los valores de stock mensual en kilos totales para el ejercicio." sqref="J71"/>
    <dataValidation allowBlank="1" showInputMessage="1" showErrorMessage="1" prompt="Stock medio en terminación: promedio de los valores de stock mensual en cabezas para el ejercicio." sqref="J70"/>
    <dataValidation allowBlank="1" showInputMessage="1" showErrorMessage="1" prompt="Stock medio en recría: promedio de los valores de stock mensual en kilos totales para el ejercicio." sqref="E71"/>
    <dataValidation allowBlank="1" showInputMessage="1" showErrorMessage="1" prompt="Promedio de los valores de stock mensual en cabezas para el ejercicio (incluye corrales). Los terneros al pie de la madre se deben contabilizar para el cálculo de carga." sqref="E31"/>
    <dataValidation allowBlank="1" showInputMessage="1" showErrorMessage="1" prompt="Promedio de los valores de stock mensual en kg para el ejercicio (incluye corrales). Los terneros al pie de la madre se deben contabilizar como stock para el cálculo de carga." sqref="E32"/>
    <dataValidation allowBlank="1" showInputMessage="1" showErrorMessage="1" prompt="Kilos de materia seca ofrecidos en los corrales de terminación." sqref="J99"/>
    <dataValidation allowBlank="1" showInputMessage="1" showErrorMessage="1" prompt="Kilos de materia seca ofrecidos en los corrales de recría" sqref="E99"/>
    <dataValidation type="list" allowBlank="1" showInputMessage="1" showErrorMessage="1" prompt="Edad promedio al destete '17. Si hubo diferentes destetes, poner una edad promedio. Si merece aclaraciones, anotarlas en observaciones. " sqref="E58">
      <formula1>Destete</formula1>
    </dataValidation>
    <dataValidation type="list" allowBlank="1" showInputMessage="1" showErrorMessage="1" prompt="% de la dieta en MS suplementada" sqref="E84 J84">
      <formula1>supl</formula1>
    </dataValidation>
    <dataValidation allowBlank="1" showInputMessage="1" showErrorMessage="1" prompt="Tiempo promedio de la terminación. Si hay distintos lotes/rodeos, poner la duración ponderada." sqref="J72 J98"/>
    <dataValidation allowBlank="1" showInputMessage="1" showErrorMessage="1" prompt="Tiempo promedio de la recría. Si hay distintos lotes/rodeos, poner la duración ponderada." sqref="E72 E98"/>
    <dataValidation allowBlank="1" showInputMessage="1" showErrorMessage="1" prompt="Si la empresa tiene más de un establecimiento, llenar una planilla por cada campo." sqref="D6"/>
    <dataValidation allowBlank="1" showInputMessage="1" showErrorMessage="1" prompt="Superficie en en ganadería con aptitud agrícola (clase I a IV) propias y alquiladas." sqref="J20"/>
    <dataValidation type="list" allowBlank="1" showInputMessage="1" showErrorMessage="1" sqref="J80 J108">
      <formula1>sino</formula1>
    </dataValidation>
    <dataValidation type="list" allowBlank="1" showInputMessage="1" showErrorMessage="1" sqref="E115:E118 E113 J115:J118 J113">
      <formula1>Dieta</formula1>
    </dataValidation>
    <dataValidation type="list" allowBlank="1" showInputMessage="1" showErrorMessage="1" sqref="E114 J114">
      <formula1>CC</formula1>
    </dataValidation>
    <dataValidation allowBlank="1" showInputMessage="1" showErrorMessage="1" prompt="Stock medio en recría: promedio de los valores de stock mensual en cabezas para el ejercicio." sqref="E70"/>
    <dataValidation type="list" allowBlank="1" showInputMessage="1" showErrorMessage="1" sqref="E82 E110">
      <formula1>PSR</formula1>
    </dataValidation>
    <dataValidation type="list" allowBlank="1" showInputMessage="1" showErrorMessage="1" sqref="E81 E109">
      <formula1>PER</formula1>
    </dataValidation>
    <dataValidation type="list" allowBlank="1" showInputMessage="1" showErrorMessage="1" sqref="J82 J110">
      <formula1>PST</formula1>
    </dataValidation>
    <dataValidation type="list" allowBlank="1" showInputMessage="1" showErrorMessage="1" sqref="J81 J109">
      <formula1>PET</formula1>
    </dataValidation>
    <dataValidation type="list" allowBlank="1" showInputMessage="1" showErrorMessage="1" sqref="E79 J79 J107 E107">
      <formula1>MH</formula1>
    </dataValidation>
    <dataValidation allowBlank="1" showInputMessage="1" showErrorMessage="1" prompt="Ingrese un valor estimativo promedio de venta de la hectárea donde está realizando la ganadería." sqref="J21"/>
    <dataValidation allowBlank="1" showInputMessage="1" showErrorMessage="1" prompt="Capacidad máxima instantanea" sqref="H89"/>
    <dataValidation type="list" allowBlank="1" showInputMessage="1" showErrorMessage="1" prompt="Servicio '15_x000a_" sqref="I57">
      <formula1>fechaservicio</formula1>
    </dataValidation>
    <dataValidation allowBlank="1" showInputMessage="1" showErrorMessage="1" prompt="Peso medio de destete '17" sqref="E57"/>
    <dataValidation allowBlank="1" showInputMessage="1" showErrorMessage="1" prompt="% de vacas inseminadas en la campaña vacas Inseminadas/Vacas en Servicio)" sqref="J52"/>
    <dataValidation allowBlank="1" showInputMessage="1" showErrorMessage="1" prompt="% de vaquillonas inseminadas en la campaña (Vaquillona Inseminadas/Vaquillonas en Servicio)" sqref="J54"/>
    <dataValidation type="list" allowBlank="1" showInputMessage="1" showErrorMessage="1" sqref="J53">
      <formula1>edadservicio</formula1>
    </dataValidation>
    <dataValidation type="list" allowBlank="1" showInputMessage="1" showErrorMessage="1" prompt="Región donde se encuentra el establecimiento, independientemente del CREA al que pertenezca el establecimiento." sqref="F6">
      <formula1>Crea</formula1>
    </dataValidation>
    <dataValidation type="list" allowBlank="1" showErrorMessage="1" sqref="E61:I61">
      <formula1>cruz</formula1>
    </dataValidation>
    <dataValidation allowBlank="1" showInputMessage="1" showErrorMessage="1" prompt="Vacas preñadas 17´sobre vacas entoradas servicio 16´" sqref="E41"/>
    <dataValidation allowBlank="1" showInputMessage="1" showErrorMessage="1" prompt="Este indicador no debe ser tenido en cuenta en producciones a corral" sqref="J27 J29"/>
    <dataValidation allowBlank="1" showInputMessage="1" showErrorMessage="1" prompt="Incluye vacas y vaquillonas" sqref="E54:E55"/>
    <dataValidation allowBlank="1" showInputMessage="1" showErrorMessage="1" prompt="Ponderar en función de la cantidad de tiempo que se le dedica a la ganadería. Se tiene en cuenta el personal de maquinaria que le presta un servicio a la ganadería." sqref="E33 H90"/>
    <dataValidation allowBlank="1" showInputMessage="1" showErrorMessage="1" prompt="Stock bovino al 1 de julio 2016 (todo lo que está en el establecimiento)" sqref="E26"/>
    <dataValidation allowBlank="1" showInputMessage="1" showErrorMessage="1" prompt="Superficie de monte productivos de la unidad de producción" sqref="E16"/>
    <dataValidation allowBlank="1" showInputMessage="1" showErrorMessage="1" prompt="Superfice sembrada con verdeos de invierno tal cual. En la celda contigua se calculará las has asignadas a dicho recurso según las Normas CREA." sqref="J11"/>
    <dataValidation allowBlank="1" showInputMessage="1" showErrorMessage="1" prompt="Superficie de praderas perennes ya implantadas" sqref="E17"/>
    <dataValidation allowBlank="1" showInputMessage="1" showErrorMessage="1" prompt="Superficie de campo natural de la unidad de producción" sqref="E15"/>
    <dataValidation allowBlank="1" showInputMessage="1" showErrorMessage="1" prompt="Nro de cabezas muertas/cabezas ingresadas" sqref="E30"/>
    <dataValidation allowBlank="1" showInputMessage="1" showErrorMessage="1" prompt="Cantidad de Vaquillonas de 1 en servicio en 2016" sqref="E46"/>
    <dataValidation allowBlank="1" showInputMessage="1" showErrorMessage="1" prompt="Producción de carne (kg totales) = SALIDAS (kg vendidos,  traslados, consumo del eto.) - ENTRADAS (kg por compra o traslados de otras procedencias) + DIF. INVENTARIO (en Kg)" sqref="E28 J68 E68 E94 J94"/>
    <dataValidation allowBlank="1" showInputMessage="1" showErrorMessage="1" prompt="Stock bovino al 30 de junio 2017 (todo lo que está en el establecimiento)" sqref="E27"/>
    <dataValidation allowBlank="1" showInputMessage="1" showErrorMessage="1" prompt="Praderas implantadas en la campaña en análisis." sqref="E18"/>
    <dataValidation type="list" allowBlank="1" showInputMessage="1" showErrorMessage="1" sqref="G6">
      <formula1>MP</formula1>
    </dataValidation>
    <dataValidation allowBlank="1" showInputMessage="1" showErrorMessage="1" prompt="Superficie de suelo de la unidad de producción en agricultura, propias y alquiladas." sqref="E12"/>
    <dataValidation allowBlank="1" showInputMessage="1" showErrorMessage="1" prompt="Superficie del establecimiento en producción." sqref="E11"/>
    <dataValidation allowBlank="1" showInputMessage="1" showErrorMessage="1" prompt="Superfice sembrada (tal cual) con verdeos de verano para consumo fresco o diferido. En la celda contigua se calculará las has asignadas a dicho recurso según las Normas CREA." sqref="J13"/>
    <dataValidation allowBlank="1" showInputMessage="1" showErrorMessage="1" prompt="Superfice de rastrojos pastoreados. En la celda contigua se calculará las has asignadas a dicho recurso según las Normas CREA." sqref="J15"/>
    <dataValidation allowBlank="1" showErrorMessage="1" sqref="J19"/>
    <dataValidation allowBlank="1" showErrorMessage="1" prompt="Superficie de monte productivos del establecimiento" sqref="J16"/>
    <dataValidation allowBlank="1" showInputMessage="1" showErrorMessage="1" prompt="Terneros destetados 17´sobre vientres entorados en servicio´15" sqref="E52"/>
    <dataValidation allowBlank="1" showInputMessage="1" showErrorMessage="1" prompt="Vacas y vaquillonas preñadas sobre vientres entoradas en servicio 15´" sqref="E53"/>
    <dataValidation allowBlank="1" showInputMessage="1" showErrorMessage="1" prompt="Vaquillonas de 1° servicio preñadas 17´/ vaquillonas de 1° s. entoradas en 16´" sqref="E45"/>
    <dataValidation type="list" allowBlank="1" showInputMessage="1" showErrorMessage="1" sqref="J83 E83">
      <formula1>RRFF</formula1>
    </dataValidation>
    <dataValidation allowBlank="1" showInputMessage="1" showErrorMessage="1" prompt="Tiempo desde la primer labor del verdeo hasta cambio de uso del lote (no sólo tiempo que fue pastoreado)." sqref="J12"/>
    <dataValidation allowBlank="1" showInputMessage="1" showErrorMessage="1" prompt="Tiempo desde la primer labor del verdeo/diferido hasta cambio de uso del lote (no sólo tiempo que fue pastoreado)." sqref="J14"/>
    <dataValidation type="list" allowBlank="1" showInputMessage="1" showErrorMessage="1" prompt="Servicio '15" sqref="I58">
      <formula1>fechaservicio</formula1>
    </dataValidation>
    <dataValidation type="list" allowBlank="1" showInputMessage="1" showErrorMessage="1" prompt="Servicio '15" sqref="J57:J58">
      <formula1>duracion</formula1>
    </dataValidation>
  </dataValidations>
  <hyperlinks>
    <hyperlink ref="G95" location="'1 (prop.sup)'!F115" display="Ir a cálculo desbaste"/>
    <hyperlink ref="G95:G96" location="'1'!D118" display="Ir a cálculo desbaste"/>
    <hyperlink ref="L95:L96" location="'1'!D118" display="Ir a cálculo desbaste"/>
    <hyperlink ref="L95" location="'1 (prop.sup)'!F115" display="Ir a cálculo desbaste"/>
  </hyperlinks>
  <pageMargins left="0.25" right="0.25" top="0.75" bottom="0.75" header="0.3" footer="0.3"/>
  <pageSetup paperSize="9" scale="48" fitToHeight="0" orientation="portrait" verticalDpi="599" r:id="rId1"/>
  <rowBreaks count="1" manualBreakCount="1">
    <brk id="60" min="1" max="12" man="1"/>
  </rowBreaks>
  <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7"/>
  <dimension ref="A1:FU28"/>
  <sheetViews>
    <sheetView showGridLines="0" zoomScale="80" zoomScaleNormal="80" workbookViewId="0">
      <pane xSplit="1" ySplit="10" topLeftCell="BF11" activePane="bottomRight" state="frozen"/>
      <selection pane="topRight" activeCell="B1" sqref="B1"/>
      <selection pane="bottomLeft" activeCell="A11" sqref="A11"/>
      <selection pane="bottomRight" activeCell="BP8" sqref="BP8:BP25"/>
    </sheetView>
  </sheetViews>
  <sheetFormatPr baseColWidth="10" defaultRowHeight="14.5" x14ac:dyDescent="0.35"/>
  <cols>
    <col min="1" max="1" width="5.7265625" bestFit="1" customWidth="1"/>
    <col min="2" max="2" width="2.453125" customWidth="1"/>
    <col min="3" max="3" width="13.81640625" customWidth="1"/>
    <col min="4" max="4" width="26.7265625" customWidth="1"/>
    <col min="5" max="9" width="17.7265625" customWidth="1"/>
    <col min="10" max="10" width="12" style="54" customWidth="1"/>
    <col min="11" max="11" width="17.81640625" style="54" customWidth="1"/>
    <col min="12" max="12" width="12.453125" style="54" customWidth="1"/>
    <col min="13" max="13" width="13.453125" style="54" bestFit="1" customWidth="1"/>
    <col min="14" max="15" width="15" style="54" customWidth="1"/>
    <col min="16" max="16" width="10" style="54" bestFit="1" customWidth="1"/>
    <col min="17" max="17" width="14" style="54" bestFit="1" customWidth="1"/>
    <col min="18" max="18" width="15.7265625" style="54" customWidth="1"/>
    <col min="19" max="19" width="18.1796875" style="54" customWidth="1"/>
    <col min="20" max="20" width="12.54296875" style="54" customWidth="1"/>
    <col min="21" max="21" width="18" style="54" customWidth="1"/>
    <col min="22" max="28" width="12.54296875" style="54" customWidth="1"/>
    <col min="29" max="29" width="10.81640625" style="54" bestFit="1" customWidth="1"/>
    <col min="30" max="30" width="12.453125" style="54" customWidth="1"/>
    <col min="31" max="31" width="10.1796875" style="54" bestFit="1" customWidth="1"/>
    <col min="32" max="35" width="10.1796875" style="54" customWidth="1"/>
    <col min="36" max="36" width="14.81640625" style="54" customWidth="1"/>
    <col min="37" max="38" width="10.1796875" style="54" customWidth="1"/>
    <col min="39" max="39" width="11.1796875" style="54" customWidth="1"/>
    <col min="40" max="42" width="10.1796875" style="54" customWidth="1"/>
    <col min="43" max="43" width="12.1796875" style="54" customWidth="1"/>
    <col min="44" max="44" width="12.7265625" style="54" customWidth="1"/>
    <col min="45" max="45" width="10.1796875" style="54" customWidth="1"/>
    <col min="46" max="46" width="11.453125" style="54" customWidth="1"/>
    <col min="47" max="47" width="13.26953125" style="54" customWidth="1"/>
    <col min="48" max="48" width="10.7265625" style="54" bestFit="1" customWidth="1"/>
    <col min="49" max="49" width="14.26953125" style="54" customWidth="1"/>
    <col min="50" max="51" width="15.7265625" style="54" customWidth="1"/>
    <col min="52" max="53" width="11.54296875" style="54" customWidth="1"/>
    <col min="54" max="54" width="15.81640625" style="54" customWidth="1"/>
    <col min="55" max="55" width="11.54296875" style="54" customWidth="1"/>
    <col min="56" max="57" width="12.1796875" style="54" bestFit="1" customWidth="1"/>
    <col min="58" max="58" width="12.1796875" style="54" customWidth="1"/>
    <col min="59" max="59" width="12.1796875" style="54" bestFit="1" customWidth="1"/>
    <col min="60" max="60" width="10.7265625" style="54" bestFit="1" customWidth="1"/>
    <col min="61" max="61" width="12.54296875" style="54" bestFit="1" customWidth="1"/>
    <col min="62" max="62" width="10.7265625" style="54" bestFit="1" customWidth="1"/>
    <col min="63" max="64" width="12.54296875" style="54" bestFit="1" customWidth="1"/>
    <col min="65" max="65" width="11.81640625" style="54" bestFit="1" customWidth="1"/>
    <col min="66" max="66" width="12.54296875" style="54" bestFit="1" customWidth="1"/>
    <col min="67" max="67" width="7.81640625" style="54" bestFit="1" customWidth="1"/>
    <col min="68" max="68" width="12.54296875" style="54" bestFit="1" customWidth="1"/>
    <col min="69" max="69" width="11" style="54" customWidth="1"/>
    <col min="70" max="71" width="12.54296875" style="54" bestFit="1" customWidth="1"/>
    <col min="72" max="72" width="11.453125" style="54"/>
    <col min="73" max="73" width="11.1796875" style="54" bestFit="1" customWidth="1"/>
    <col min="74" max="74" width="11.1796875" style="54" customWidth="1"/>
    <col min="75" max="75" width="13.1796875" style="54" customWidth="1"/>
    <col min="76" max="77" width="11.1796875" style="54" customWidth="1"/>
    <col min="79" max="80" width="11.1796875" style="54" customWidth="1"/>
    <col min="88" max="88" width="15.1796875" customWidth="1"/>
    <col min="105" max="105" width="11.81640625" bestFit="1" customWidth="1"/>
    <col min="139" max="139" width="11.453125" customWidth="1"/>
    <col min="156" max="156" width="11.81640625" bestFit="1" customWidth="1"/>
    <col min="159" max="160" width="19.81640625" customWidth="1"/>
    <col min="164" max="164" width="10" customWidth="1"/>
    <col min="168" max="168" width="10" customWidth="1"/>
    <col min="173" max="173" width="10" customWidth="1"/>
  </cols>
  <sheetData>
    <row r="1" spans="1:177" s="74" customFormat="1" ht="3" customHeight="1" x14ac:dyDescent="0.35">
      <c r="A1" s="74">
        <v>1</v>
      </c>
      <c r="B1" s="74">
        <f>+A1+1</f>
        <v>2</v>
      </c>
      <c r="C1" s="74">
        <f t="shared" ref="C1:D1" si="0">+B1+1</f>
        <v>3</v>
      </c>
      <c r="D1" s="74">
        <f t="shared" si="0"/>
        <v>4</v>
      </c>
      <c r="E1" s="74">
        <f t="shared" ref="E1" si="1">+D1+1</f>
        <v>5</v>
      </c>
      <c r="F1" s="74">
        <f t="shared" ref="F1" si="2">+E1+1</f>
        <v>6</v>
      </c>
      <c r="G1" s="74">
        <f t="shared" ref="G1" si="3">+F1+1</f>
        <v>7</v>
      </c>
      <c r="H1" s="74">
        <f t="shared" ref="H1" si="4">+G1+1</f>
        <v>8</v>
      </c>
      <c r="I1" s="74">
        <f t="shared" ref="I1" si="5">+H1+1</f>
        <v>9</v>
      </c>
      <c r="J1" s="74">
        <f t="shared" ref="J1" si="6">+I1+1</f>
        <v>10</v>
      </c>
      <c r="K1" s="74">
        <f t="shared" ref="K1" si="7">+J1+1</f>
        <v>11</v>
      </c>
      <c r="L1" s="74">
        <f t="shared" ref="L1" si="8">+K1+1</f>
        <v>12</v>
      </c>
      <c r="M1" s="74">
        <f t="shared" ref="M1" si="9">+L1+1</f>
        <v>13</v>
      </c>
      <c r="N1" s="74">
        <f t="shared" ref="N1" si="10">+M1+1</f>
        <v>14</v>
      </c>
      <c r="O1" s="74">
        <f t="shared" ref="O1" si="11">+N1+1</f>
        <v>15</v>
      </c>
      <c r="P1" s="74">
        <f t="shared" ref="P1" si="12">+O1+1</f>
        <v>16</v>
      </c>
      <c r="Q1" s="74">
        <f t="shared" ref="Q1" si="13">+P1+1</f>
        <v>17</v>
      </c>
      <c r="R1" s="74">
        <f t="shared" ref="R1" si="14">+Q1+1</f>
        <v>18</v>
      </c>
      <c r="S1" s="74">
        <f t="shared" ref="S1" si="15">+R1+1</f>
        <v>19</v>
      </c>
      <c r="T1" s="74">
        <f t="shared" ref="T1" si="16">+S1+1</f>
        <v>20</v>
      </c>
      <c r="U1" s="74">
        <f t="shared" ref="U1" si="17">+T1+1</f>
        <v>21</v>
      </c>
      <c r="V1" s="74">
        <f t="shared" ref="V1" si="18">+U1+1</f>
        <v>22</v>
      </c>
      <c r="W1" s="74">
        <f t="shared" ref="W1" si="19">+V1+1</f>
        <v>23</v>
      </c>
      <c r="X1" s="74">
        <f t="shared" ref="X1" si="20">+W1+1</f>
        <v>24</v>
      </c>
      <c r="Y1" s="74">
        <f t="shared" ref="Y1" si="21">+X1+1</f>
        <v>25</v>
      </c>
      <c r="Z1" s="74">
        <f t="shared" ref="Z1" si="22">+Y1+1</f>
        <v>26</v>
      </c>
      <c r="AA1" s="74">
        <f t="shared" ref="AA1" si="23">+Z1+1</f>
        <v>27</v>
      </c>
      <c r="AB1" s="74">
        <f t="shared" ref="AB1" si="24">+AA1+1</f>
        <v>28</v>
      </c>
      <c r="AC1" s="74">
        <f t="shared" ref="AC1" si="25">+AB1+1</f>
        <v>29</v>
      </c>
      <c r="AD1" s="74">
        <f t="shared" ref="AD1" si="26">+AC1+1</f>
        <v>30</v>
      </c>
      <c r="AE1" s="74">
        <f t="shared" ref="AE1" si="27">+AD1+1</f>
        <v>31</v>
      </c>
      <c r="AF1" s="74">
        <f t="shared" ref="AF1" si="28">+AE1+1</f>
        <v>32</v>
      </c>
      <c r="AG1" s="74">
        <f t="shared" ref="AG1" si="29">+AF1+1</f>
        <v>33</v>
      </c>
      <c r="AH1" s="74">
        <f t="shared" ref="AH1" si="30">+AG1+1</f>
        <v>34</v>
      </c>
      <c r="AI1" s="74">
        <f t="shared" ref="AI1" si="31">+AH1+1</f>
        <v>35</v>
      </c>
      <c r="AJ1" s="74">
        <f t="shared" ref="AJ1" si="32">+AI1+1</f>
        <v>36</v>
      </c>
      <c r="AK1" s="74">
        <f t="shared" ref="AK1" si="33">+AJ1+1</f>
        <v>37</v>
      </c>
      <c r="AL1" s="74">
        <f t="shared" ref="AL1" si="34">+AK1+1</f>
        <v>38</v>
      </c>
      <c r="AM1" s="74">
        <f t="shared" ref="AM1" si="35">+AL1+1</f>
        <v>39</v>
      </c>
      <c r="AN1" s="74">
        <f t="shared" ref="AN1" si="36">+AM1+1</f>
        <v>40</v>
      </c>
      <c r="AO1" s="74">
        <f t="shared" ref="AO1" si="37">+AN1+1</f>
        <v>41</v>
      </c>
      <c r="AP1" s="74">
        <f t="shared" ref="AP1" si="38">+AO1+1</f>
        <v>42</v>
      </c>
      <c r="AQ1" s="74">
        <f t="shared" ref="AQ1" si="39">+AP1+1</f>
        <v>43</v>
      </c>
      <c r="AR1" s="74">
        <f t="shared" ref="AR1" si="40">+AQ1+1</f>
        <v>44</v>
      </c>
      <c r="AS1" s="74">
        <f t="shared" ref="AS1" si="41">+AR1+1</f>
        <v>45</v>
      </c>
      <c r="AT1" s="74">
        <f t="shared" ref="AT1" si="42">+AS1+1</f>
        <v>46</v>
      </c>
      <c r="AU1" s="74">
        <f t="shared" ref="AU1" si="43">+AT1+1</f>
        <v>47</v>
      </c>
      <c r="AV1" s="74">
        <f t="shared" ref="AV1" si="44">+AU1+1</f>
        <v>48</v>
      </c>
      <c r="AW1" s="74">
        <f t="shared" ref="AW1" si="45">+AV1+1</f>
        <v>49</v>
      </c>
      <c r="AX1" s="74">
        <f t="shared" ref="AX1" si="46">+AW1+1</f>
        <v>50</v>
      </c>
      <c r="AY1" s="74">
        <f t="shared" ref="AY1" si="47">+AX1+1</f>
        <v>51</v>
      </c>
      <c r="AZ1" s="74">
        <f t="shared" ref="AZ1" si="48">+AY1+1</f>
        <v>52</v>
      </c>
      <c r="BA1" s="74">
        <f t="shared" ref="BA1" si="49">+AZ1+1</f>
        <v>53</v>
      </c>
      <c r="BB1" s="74">
        <f t="shared" ref="BB1" si="50">+BA1+1</f>
        <v>54</v>
      </c>
      <c r="BC1" s="74">
        <f t="shared" ref="BC1" si="51">+BB1+1</f>
        <v>55</v>
      </c>
      <c r="BD1" s="74">
        <f t="shared" ref="BD1" si="52">+BC1+1</f>
        <v>56</v>
      </c>
      <c r="BE1" s="74">
        <f t="shared" ref="BE1" si="53">+BD1+1</f>
        <v>57</v>
      </c>
      <c r="BF1" s="74">
        <f t="shared" ref="BF1" si="54">+BE1+1</f>
        <v>58</v>
      </c>
      <c r="BG1" s="74">
        <f t="shared" ref="BG1" si="55">+BF1+1</f>
        <v>59</v>
      </c>
      <c r="BH1" s="74">
        <f t="shared" ref="BH1" si="56">+BG1+1</f>
        <v>60</v>
      </c>
      <c r="BI1" s="74">
        <f t="shared" ref="BI1" si="57">+BH1+1</f>
        <v>61</v>
      </c>
      <c r="BJ1" s="74">
        <f t="shared" ref="BJ1" si="58">+BI1+1</f>
        <v>62</v>
      </c>
      <c r="BK1" s="74">
        <f t="shared" ref="BK1" si="59">+BJ1+1</f>
        <v>63</v>
      </c>
      <c r="BL1" s="74">
        <f t="shared" ref="BL1" si="60">+BK1+1</f>
        <v>64</v>
      </c>
      <c r="BM1" s="74">
        <f t="shared" ref="BM1" si="61">+BL1+1</f>
        <v>65</v>
      </c>
      <c r="BN1" s="74">
        <f t="shared" ref="BN1" si="62">+BM1+1</f>
        <v>66</v>
      </c>
      <c r="BO1" s="74">
        <f t="shared" ref="BO1" si="63">+BN1+1</f>
        <v>67</v>
      </c>
      <c r="BP1" s="74">
        <f t="shared" ref="BP1" si="64">+BO1+1</f>
        <v>68</v>
      </c>
      <c r="BQ1" s="74">
        <f t="shared" ref="BQ1" si="65">+BP1+1</f>
        <v>69</v>
      </c>
      <c r="BR1" s="74">
        <f t="shared" ref="BR1" si="66">+BQ1+1</f>
        <v>70</v>
      </c>
      <c r="BS1" s="74">
        <f t="shared" ref="BS1" si="67">+BR1+1</f>
        <v>71</v>
      </c>
      <c r="BT1" s="74">
        <f t="shared" ref="BT1" si="68">+BS1+1</f>
        <v>72</v>
      </c>
      <c r="BU1" s="74">
        <f t="shared" ref="BU1" si="69">+BT1+1</f>
        <v>73</v>
      </c>
      <c r="BV1" s="74">
        <f t="shared" ref="BV1" si="70">+BU1+1</f>
        <v>74</v>
      </c>
      <c r="BW1" s="74">
        <f t="shared" ref="BW1" si="71">+BV1+1</f>
        <v>75</v>
      </c>
      <c r="BX1" s="74">
        <f t="shared" ref="BX1" si="72">+BW1+1</f>
        <v>76</v>
      </c>
      <c r="BY1" s="74">
        <f t="shared" ref="BY1" si="73">+BX1+1</f>
        <v>77</v>
      </c>
      <c r="BZ1" s="74">
        <f t="shared" ref="BZ1" si="74">+BY1+1</f>
        <v>78</v>
      </c>
      <c r="CA1" s="74">
        <f t="shared" ref="CA1" si="75">+BZ1+1</f>
        <v>79</v>
      </c>
      <c r="CB1" s="74">
        <f t="shared" ref="CB1" si="76">+CA1+1</f>
        <v>80</v>
      </c>
      <c r="CC1" s="74">
        <f t="shared" ref="CC1" si="77">+CB1+1</f>
        <v>81</v>
      </c>
      <c r="CD1" s="74">
        <f t="shared" ref="CD1" si="78">+CC1+1</f>
        <v>82</v>
      </c>
      <c r="CE1" s="74">
        <f t="shared" ref="CE1" si="79">+CD1+1</f>
        <v>83</v>
      </c>
      <c r="CF1" s="74">
        <f t="shared" ref="CF1" si="80">+CE1+1</f>
        <v>84</v>
      </c>
      <c r="CG1" s="74">
        <f t="shared" ref="CG1" si="81">+CF1+1</f>
        <v>85</v>
      </c>
      <c r="CH1" s="74">
        <f t="shared" ref="CH1" si="82">+CG1+1</f>
        <v>86</v>
      </c>
      <c r="CI1" s="74">
        <f t="shared" ref="CI1" si="83">+CH1+1</f>
        <v>87</v>
      </c>
      <c r="CJ1" s="74">
        <f t="shared" ref="CJ1" si="84">+CI1+1</f>
        <v>88</v>
      </c>
      <c r="CK1" s="74">
        <f t="shared" ref="CK1" si="85">+CJ1+1</f>
        <v>89</v>
      </c>
      <c r="CL1" s="74">
        <f t="shared" ref="CL1" si="86">+CK1+1</f>
        <v>90</v>
      </c>
      <c r="CM1" s="74">
        <f t="shared" ref="CM1" si="87">+CL1+1</f>
        <v>91</v>
      </c>
      <c r="CN1" s="74">
        <f t="shared" ref="CN1" si="88">+CM1+1</f>
        <v>92</v>
      </c>
      <c r="CO1" s="74">
        <f t="shared" ref="CO1" si="89">+CN1+1</f>
        <v>93</v>
      </c>
      <c r="CP1" s="74">
        <f t="shared" ref="CP1" si="90">+CO1+1</f>
        <v>94</v>
      </c>
      <c r="CQ1" s="74">
        <f t="shared" ref="CQ1" si="91">+CP1+1</f>
        <v>95</v>
      </c>
      <c r="CR1" s="74">
        <f t="shared" ref="CR1" si="92">+CQ1+1</f>
        <v>96</v>
      </c>
      <c r="CS1" s="74">
        <f t="shared" ref="CS1" si="93">+CR1+1</f>
        <v>97</v>
      </c>
      <c r="CT1" s="74">
        <f t="shared" ref="CT1" si="94">+CS1+1</f>
        <v>98</v>
      </c>
      <c r="CU1" s="74">
        <f t="shared" ref="CU1" si="95">+CT1+1</f>
        <v>99</v>
      </c>
      <c r="CV1" s="74">
        <f t="shared" ref="CV1" si="96">+CU1+1</f>
        <v>100</v>
      </c>
      <c r="CW1" s="74">
        <f t="shared" ref="CW1" si="97">+CV1+1</f>
        <v>101</v>
      </c>
      <c r="CX1" s="74">
        <f t="shared" ref="CX1" si="98">+CW1+1</f>
        <v>102</v>
      </c>
      <c r="CY1" s="74">
        <f t="shared" ref="CY1" si="99">+CX1+1</f>
        <v>103</v>
      </c>
      <c r="CZ1" s="74">
        <f t="shared" ref="CZ1" si="100">+CY1+1</f>
        <v>104</v>
      </c>
      <c r="DA1" s="74">
        <f t="shared" ref="DA1" si="101">+CZ1+1</f>
        <v>105</v>
      </c>
      <c r="DB1" s="74">
        <f t="shared" ref="DB1" si="102">+DA1+1</f>
        <v>106</v>
      </c>
      <c r="DC1" s="74">
        <f t="shared" ref="DC1" si="103">+DB1+1</f>
        <v>107</v>
      </c>
      <c r="DD1" s="74">
        <f t="shared" ref="DD1" si="104">+DC1+1</f>
        <v>108</v>
      </c>
      <c r="DE1" s="74">
        <f t="shared" ref="DE1" si="105">+DD1+1</f>
        <v>109</v>
      </c>
      <c r="DF1" s="74">
        <f t="shared" ref="DF1" si="106">+DE1+1</f>
        <v>110</v>
      </c>
      <c r="DG1" s="74">
        <f t="shared" ref="DG1" si="107">+DF1+1</f>
        <v>111</v>
      </c>
      <c r="DH1" s="74">
        <f t="shared" ref="DH1" si="108">+DG1+1</f>
        <v>112</v>
      </c>
      <c r="DI1" s="74">
        <f t="shared" ref="DI1" si="109">+DH1+1</f>
        <v>113</v>
      </c>
      <c r="DJ1" s="74">
        <f t="shared" ref="DJ1" si="110">+DI1+1</f>
        <v>114</v>
      </c>
      <c r="DK1" s="74">
        <f t="shared" ref="DK1" si="111">+DJ1+1</f>
        <v>115</v>
      </c>
      <c r="DL1" s="74">
        <f t="shared" ref="DL1" si="112">+DK1+1</f>
        <v>116</v>
      </c>
      <c r="DM1" s="74">
        <f t="shared" ref="DM1" si="113">+DL1+1</f>
        <v>117</v>
      </c>
      <c r="DN1" s="74">
        <f t="shared" ref="DN1" si="114">+DM1+1</f>
        <v>118</v>
      </c>
      <c r="DO1" s="74">
        <f t="shared" ref="DO1" si="115">+DN1+1</f>
        <v>119</v>
      </c>
      <c r="DP1" s="74">
        <f t="shared" ref="DP1" si="116">+DO1+1</f>
        <v>120</v>
      </c>
      <c r="DQ1" s="74">
        <f t="shared" ref="DQ1" si="117">+DP1+1</f>
        <v>121</v>
      </c>
      <c r="DR1" s="74">
        <f t="shared" ref="DR1" si="118">+DQ1+1</f>
        <v>122</v>
      </c>
      <c r="DS1" s="74">
        <f t="shared" ref="DS1" si="119">+DR1+1</f>
        <v>123</v>
      </c>
      <c r="DT1" s="74">
        <f t="shared" ref="DT1" si="120">+DS1+1</f>
        <v>124</v>
      </c>
      <c r="DU1" s="74">
        <f t="shared" ref="DU1" si="121">+DT1+1</f>
        <v>125</v>
      </c>
      <c r="DV1" s="74">
        <f t="shared" ref="DV1" si="122">+DU1+1</f>
        <v>126</v>
      </c>
      <c r="DW1" s="74">
        <f t="shared" ref="DW1" si="123">+DV1+1</f>
        <v>127</v>
      </c>
      <c r="DX1" s="74">
        <f t="shared" ref="DX1" si="124">+DW1+1</f>
        <v>128</v>
      </c>
      <c r="DY1" s="74">
        <f t="shared" ref="DY1" si="125">+DX1+1</f>
        <v>129</v>
      </c>
      <c r="DZ1" s="74">
        <f t="shared" ref="DZ1" si="126">+DY1+1</f>
        <v>130</v>
      </c>
      <c r="EA1" s="74">
        <f t="shared" ref="EA1" si="127">+DZ1+1</f>
        <v>131</v>
      </c>
      <c r="EB1" s="74">
        <f t="shared" ref="EB1" si="128">+EA1+1</f>
        <v>132</v>
      </c>
      <c r="EC1" s="74">
        <f t="shared" ref="EC1" si="129">+EB1+1</f>
        <v>133</v>
      </c>
      <c r="ED1" s="74">
        <f t="shared" ref="ED1" si="130">+EC1+1</f>
        <v>134</v>
      </c>
      <c r="EE1" s="74">
        <f t="shared" ref="EE1" si="131">+ED1+1</f>
        <v>135</v>
      </c>
      <c r="EF1" s="74">
        <f t="shared" ref="EF1" si="132">+EE1+1</f>
        <v>136</v>
      </c>
      <c r="EG1" s="74">
        <f t="shared" ref="EG1" si="133">+EF1+1</f>
        <v>137</v>
      </c>
      <c r="EH1" s="74">
        <f t="shared" ref="EH1:EI1" si="134">+EG1+1</f>
        <v>138</v>
      </c>
      <c r="EI1" s="74">
        <f t="shared" si="134"/>
        <v>139</v>
      </c>
      <c r="EJ1" s="74">
        <f t="shared" ref="EJ1" si="135">+EI1+1</f>
        <v>140</v>
      </c>
      <c r="EK1" s="74">
        <f t="shared" ref="EK1" si="136">+EJ1+1</f>
        <v>141</v>
      </c>
      <c r="EL1" s="74">
        <f t="shared" ref="EL1" si="137">+EK1+1</f>
        <v>142</v>
      </c>
      <c r="EM1" s="74">
        <f t="shared" ref="EM1" si="138">+EL1+1</f>
        <v>143</v>
      </c>
      <c r="EN1" s="74">
        <f t="shared" ref="EN1" si="139">+EM1+1</f>
        <v>144</v>
      </c>
      <c r="EO1" s="74">
        <f t="shared" ref="EO1" si="140">+EN1+1</f>
        <v>145</v>
      </c>
      <c r="EP1" s="74">
        <f t="shared" ref="EP1" si="141">+EO1+1</f>
        <v>146</v>
      </c>
      <c r="EQ1" s="74">
        <f t="shared" ref="EQ1" si="142">+EP1+1</f>
        <v>147</v>
      </c>
      <c r="ER1" s="74">
        <f t="shared" ref="ER1" si="143">+EQ1+1</f>
        <v>148</v>
      </c>
      <c r="ES1" s="74">
        <f t="shared" ref="ES1" si="144">+ER1+1</f>
        <v>149</v>
      </c>
      <c r="ET1" s="74">
        <f t="shared" ref="ET1" si="145">+ES1+1</f>
        <v>150</v>
      </c>
      <c r="EU1" s="74">
        <f t="shared" ref="EU1" si="146">+ET1+1</f>
        <v>151</v>
      </c>
      <c r="EV1" s="74">
        <f t="shared" ref="EV1" si="147">+EU1+1</f>
        <v>152</v>
      </c>
      <c r="EW1" s="74">
        <f t="shared" ref="EW1" si="148">+EV1+1</f>
        <v>153</v>
      </c>
      <c r="EX1" s="74">
        <f t="shared" ref="EX1" si="149">+EW1+1</f>
        <v>154</v>
      </c>
      <c r="EY1" s="74">
        <f t="shared" ref="EY1" si="150">+EX1+1</f>
        <v>155</v>
      </c>
      <c r="EZ1" s="74">
        <f t="shared" ref="EZ1" si="151">+EY1+1</f>
        <v>156</v>
      </c>
      <c r="FA1" s="74">
        <f t="shared" ref="FA1" si="152">+EZ1+1</f>
        <v>157</v>
      </c>
      <c r="FB1" s="74">
        <f t="shared" ref="FB1" si="153">+FA1+1</f>
        <v>158</v>
      </c>
      <c r="FC1" s="74">
        <f t="shared" ref="FC1" si="154">+FB1+1</f>
        <v>159</v>
      </c>
      <c r="FD1" s="74">
        <f t="shared" ref="FD1" si="155">+FC1+1</f>
        <v>160</v>
      </c>
      <c r="FE1" s="74">
        <f t="shared" ref="FE1" si="156">+FD1+1</f>
        <v>161</v>
      </c>
      <c r="FF1" s="74">
        <f t="shared" ref="FF1" si="157">+FE1+1</f>
        <v>162</v>
      </c>
      <c r="FG1" s="74">
        <f t="shared" ref="FG1" si="158">+FF1+1</f>
        <v>163</v>
      </c>
      <c r="FH1" s="74">
        <f t="shared" ref="FH1" si="159">+FG1+1</f>
        <v>164</v>
      </c>
      <c r="FI1" s="74">
        <f t="shared" ref="FI1" si="160">+FH1+1</f>
        <v>165</v>
      </c>
      <c r="FJ1" s="74">
        <f t="shared" ref="FJ1" si="161">+FI1+1</f>
        <v>166</v>
      </c>
      <c r="FK1" s="74">
        <f t="shared" ref="FK1" si="162">+FJ1+1</f>
        <v>167</v>
      </c>
      <c r="FL1" s="74">
        <f t="shared" ref="FL1" si="163">+FK1+1</f>
        <v>168</v>
      </c>
      <c r="FM1" s="74">
        <f t="shared" ref="FM1" si="164">+FL1+1</f>
        <v>169</v>
      </c>
      <c r="FN1" s="74">
        <f t="shared" ref="FN1" si="165">+FM1+1</f>
        <v>170</v>
      </c>
      <c r="FO1" s="74">
        <f t="shared" ref="FO1:FP1" si="166">+FN1+1</f>
        <v>171</v>
      </c>
      <c r="FP1" s="74">
        <f t="shared" si="166"/>
        <v>172</v>
      </c>
      <c r="FQ1" s="74">
        <f t="shared" ref="FQ1" si="167">+FP1+1</f>
        <v>173</v>
      </c>
      <c r="FR1" s="74">
        <f t="shared" ref="FR1" si="168">+FQ1+1</f>
        <v>174</v>
      </c>
      <c r="FS1" s="74">
        <f t="shared" ref="FS1" si="169">+FR1+1</f>
        <v>175</v>
      </c>
      <c r="FT1" s="74">
        <f t="shared" ref="FT1" si="170">+FS1+1</f>
        <v>176</v>
      </c>
      <c r="FU1" s="74">
        <f t="shared" ref="FU1" si="171">+FT1+1</f>
        <v>177</v>
      </c>
    </row>
    <row r="2" spans="1:177" s="312" customFormat="1" ht="3" customHeight="1" x14ac:dyDescent="0.35">
      <c r="C2" s="312" t="s">
        <v>465</v>
      </c>
      <c r="D2" s="312" t="str">
        <f ca="1">+"GENERAL"&amp;D8</f>
        <v>GENERALPeríodo</v>
      </c>
      <c r="E2" s="312" t="str">
        <f ca="1">+"GENERAL"&amp;E8</f>
        <v>GENERALEmpresa/CUIC</v>
      </c>
      <c r="F2" s="312" t="str">
        <f t="shared" ref="F2:K2" ca="1" si="172">+"GENERAL"&amp;F8</f>
        <v>GENERALEstablecimiento</v>
      </c>
      <c r="G2" s="312" t="str">
        <f t="shared" ca="1" si="172"/>
        <v>GENERALCREA</v>
      </c>
      <c r="H2" s="312" t="str">
        <f t="shared" ca="1" si="172"/>
        <v>GENERALRegión</v>
      </c>
      <c r="I2" s="312" t="str">
        <f t="shared" ca="1" si="172"/>
        <v>GENERALModelo Productivo</v>
      </c>
      <c r="J2" s="312" t="str">
        <f t="shared" ca="1" si="172"/>
        <v>GENERALOtro</v>
      </c>
      <c r="K2" s="312" t="str">
        <f t="shared" ca="1" si="172"/>
        <v>GENERALGeorreferencia del establecimiento</v>
      </c>
      <c r="L2" s="312" t="str">
        <f ca="1">+"SUPERFICIE"&amp;L8</f>
        <v>SUPERFICIE0</v>
      </c>
      <c r="M2" s="312" t="str">
        <f t="shared" ref="M2:AE2" ca="1" si="173">+"SUPERFICIE"&amp;M8</f>
        <v>SUPERFICIESup. total de la unidad de producción</v>
      </c>
      <c r="N2" s="312" t="str">
        <f t="shared" ca="1" si="173"/>
        <v>SUPERFICIESup. en agricultura</v>
      </c>
      <c r="O2" s="312" t="str">
        <f t="shared" ca="1" si="173"/>
        <v xml:space="preserve">SUPERFICIESuperficie campo natural limpio  </v>
      </c>
      <c r="P2" s="312" t="str">
        <f t="shared" ca="1" si="173"/>
        <v>SUPERFICIESuperficie de monte</v>
      </c>
      <c r="Q2" s="312" t="str">
        <f t="shared" ca="1" si="173"/>
        <v>SUPERFICIESup. praderas en producción</v>
      </c>
      <c r="R2" s="312" t="str">
        <f t="shared" ca="1" si="173"/>
        <v>SUPERFICIESup. praderas en implantación</v>
      </c>
      <c r="S2" s="312" t="str">
        <f t="shared" ca="1" si="173"/>
        <v>SUPERFICIE0</v>
      </c>
      <c r="T2" s="312" t="str">
        <f t="shared" ca="1" si="173"/>
        <v>SUPERFICIE0</v>
      </c>
      <c r="U2" s="312" t="str">
        <f t="shared" ca="1" si="173"/>
        <v xml:space="preserve">SUPERFICIESup. sembrada con verdeos de invierno  </v>
      </c>
      <c r="V2" s="312" t="str">
        <f t="shared" ca="1" si="173"/>
        <v>SUPERFICIE</v>
      </c>
      <c r="W2" s="312" t="str">
        <f t="shared" ca="1" si="173"/>
        <v xml:space="preserve">SUPERFICIESup. sembrada con verdeos verano y diferidos </v>
      </c>
      <c r="X2" s="312" t="str">
        <f t="shared" ca="1" si="173"/>
        <v>SUPERFICIE</v>
      </c>
      <c r="Y2" s="312" t="str">
        <f t="shared" ca="1" si="173"/>
        <v xml:space="preserve">SUPERFICIESuperficie rastrojos y otros  </v>
      </c>
      <c r="Z2" s="312" t="str">
        <f t="shared" ca="1" si="173"/>
        <v>SUPERFICIE</v>
      </c>
      <c r="AA2" s="312" t="str">
        <f t="shared" ca="1" si="173"/>
        <v>SUPERFICIEha efecivas para verdeo de invierno de acuerdo al tiempo de ocupación</v>
      </c>
      <c r="AB2" s="312" t="str">
        <f t="shared" ca="1" si="173"/>
        <v>SUPERFICIEha efecivas para verdeo de verano de acuerdo al tiempo de ocupación</v>
      </c>
      <c r="AC2" s="312" t="str">
        <f t="shared" ca="1" si="173"/>
        <v>SUPERFICIEha efecivas para rastrojos y otros de acuerdo al tiempo de ocupación</v>
      </c>
      <c r="AD2" s="312" t="str">
        <f t="shared" ca="1" si="173"/>
        <v>SUPERFICIESuperficie en ganadería</v>
      </c>
      <c r="AE2" s="312" t="str">
        <f t="shared" ca="1" si="173"/>
        <v>SUPERFICIE% de la sup. en ganadería con aptitud agrícla</v>
      </c>
      <c r="AF2" s="312" t="str">
        <f ca="1">+"INDICADOR"&amp;AF8</f>
        <v>INDICADORValor promedio de la ha de ocupada para ganadería</v>
      </c>
      <c r="AG2" s="312" t="str">
        <f t="shared" ref="AG2:AS2" ca="1" si="174">+"INDICADOR"&amp;AG8</f>
        <v>INDICADORInventario inicial</v>
      </c>
      <c r="AH2" s="312" t="str">
        <f t="shared" ca="1" si="174"/>
        <v xml:space="preserve">INDICADORInventario final </v>
      </c>
      <c r="AI2" s="312" t="str">
        <f t="shared" ca="1" si="174"/>
        <v xml:space="preserve">INDICADORProducción de Carne </v>
      </c>
      <c r="AJ2" s="312" t="str">
        <f t="shared" ca="1" si="174"/>
        <v xml:space="preserve">INDICADORMortandad </v>
      </c>
      <c r="AK2" s="312" t="str">
        <f t="shared" ca="1" si="174"/>
        <v>INDICADORCarga media</v>
      </c>
      <c r="AL2" s="312" t="str">
        <f t="shared" ca="1" si="174"/>
        <v>INDICADORCarga media</v>
      </c>
      <c r="AM2" s="312" t="str">
        <f t="shared" ca="1" si="174"/>
        <v>INDICADORPersonal operativo asignado a ganadería</v>
      </c>
      <c r="AN2" s="312" t="str">
        <f t="shared" ca="1" si="174"/>
        <v>INDICADORProd. de Carne kg/ha. Año</v>
      </c>
      <c r="AO2" s="312" t="str">
        <f t="shared" ca="1" si="174"/>
        <v>INDICADORProd. de Carne Cab/Año</v>
      </c>
      <c r="AP2" s="312" t="str">
        <f t="shared" ca="1" si="174"/>
        <v>INDICADORCarga media Kg/Ha</v>
      </c>
      <c r="AQ2" s="312" t="str">
        <f t="shared" ca="1" si="174"/>
        <v>INDICADOREficiencia de stock</v>
      </c>
      <c r="AR2" s="312" t="str">
        <f t="shared" ca="1" si="174"/>
        <v>INDICADORKg producidos por persona</v>
      </c>
      <c r="AS2" s="312" t="str">
        <f t="shared" ca="1" si="174"/>
        <v>INDICADOR% preñez de vacas '17 (servicio '16)</v>
      </c>
      <c r="AT2" s="312" t="str">
        <f ca="1">+"CRIA"&amp;AT8</f>
        <v>CRIAVacas en servicio '16</v>
      </c>
      <c r="AU2" s="312" t="str">
        <f t="shared" ref="AU2:BM2" ca="1" si="175">+"CRIA"&amp;AU8</f>
        <v>CRIA% preñez vaq de 1° (servicio '16)</v>
      </c>
      <c r="AV2" s="312" t="str">
        <f t="shared" ca="1" si="175"/>
        <v>CRIAVaquillonas de 1° (servicio '16)</v>
      </c>
      <c r="AW2" s="312" t="str">
        <f t="shared" ca="1" si="175"/>
        <v>CRIA% preñez rodeo de cría '17 (servicio '16)</v>
      </c>
      <c r="AX2" s="312" t="str">
        <f t="shared" ca="1" si="175"/>
        <v xml:space="preserve">CRIA% destete  de rodeo de cría (servicio '15) </v>
      </c>
      <c r="AY2" s="312" t="str">
        <f t="shared" ca="1" si="175"/>
        <v>CRIA% preñez rodeo de cría (servicio '15)</v>
      </c>
      <c r="AZ2" s="312" t="str">
        <f t="shared" ca="1" si="175"/>
        <v>CRIANúmero de cabezas en servicio '15</v>
      </c>
      <c r="BA2" s="312" t="str">
        <f t="shared" ca="1" si="175"/>
        <v>CRIANúmero de cabezas paridas (servicio '15)</v>
      </c>
      <c r="BB2" s="312" t="str">
        <f t="shared" ca="1" si="175"/>
        <v>CRIA¿% del rodeo en IA en vacas? (servicio '15)</v>
      </c>
      <c r="BC2" s="312" t="str">
        <f t="shared" ca="1" si="175"/>
        <v>CRIAEdad al primer servicio</v>
      </c>
      <c r="BD2" s="312" t="str">
        <f t="shared" ca="1" si="175"/>
        <v>CRIA¿% del rodeo en IA en vaquillonas? (servicio '15)</v>
      </c>
      <c r="BE2" s="312" t="str">
        <f t="shared" ca="1" si="175"/>
        <v>CRIA¿% del rodeo en IA en vacas? (servicio '15)</v>
      </c>
      <c r="BF2" s="312" t="str">
        <f t="shared" ca="1" si="175"/>
        <v>CRIAFecha de inicio</v>
      </c>
      <c r="BG2" s="312" t="str">
        <f t="shared" ca="1" si="175"/>
        <v>CRIADuración</v>
      </c>
      <c r="BH2" s="312" t="str">
        <f t="shared" ca="1" si="175"/>
        <v>CRIAFecha de inicio</v>
      </c>
      <c r="BI2" s="312" t="str">
        <f t="shared" ca="1" si="175"/>
        <v>CRIADuración</v>
      </c>
      <c r="BJ2" s="312" t="str">
        <f ca="1">+"CRIA"&amp;BJ8&amp;"MS"</f>
        <v>CRIAGranoMS</v>
      </c>
      <c r="BK2" s="312" t="str">
        <f t="shared" ca="1" si="175"/>
        <v xml:space="preserve">CRIASilo </v>
      </c>
      <c r="BL2" s="312" t="str">
        <f ca="1">+"CRIA"&amp;BL8&amp;"MS"</f>
        <v>CRIAHenoMS</v>
      </c>
      <c r="BM2" s="312" t="str">
        <f t="shared" ca="1" si="175"/>
        <v>CRIASupl. Mineral</v>
      </c>
      <c r="BN2" s="312" t="str">
        <f ca="1">+"CRIA"&amp;BN8&amp;"MS"</f>
        <v>CRIASupl. ProteicaMS</v>
      </c>
      <c r="BO2" s="312" t="str">
        <f ca="1">+"CRIA"&amp;BO8</f>
        <v>CRIAPeso medio del destete</v>
      </c>
      <c r="BP2" s="312" t="str">
        <f ca="1">+"CRIA"&amp;BP8</f>
        <v>CRIAEdad media al destete</v>
      </c>
      <c r="BQ2" s="312" t="str">
        <f ca="1">+"RECRÍA PASTO"&amp;BQ8</f>
        <v xml:space="preserve">RECRÍA PASTOProducción de Carne </v>
      </c>
      <c r="BR2" s="312" t="str">
        <f ca="1">+"RECRÍA PASTO"&amp;BR8</f>
        <v>RECRÍA PASTOCarga media</v>
      </c>
      <c r="BS2" s="312" t="str">
        <f ca="1">+"RECRÍA PASTO"&amp;BS8</f>
        <v>RECRÍA PASTOCarga media</v>
      </c>
      <c r="BT2" s="312" t="str">
        <f ca="1">+"RECRÍA PASTO"&amp;BT8</f>
        <v>RECRÍA PASTODuración media</v>
      </c>
      <c r="BU2" s="312" t="str">
        <f t="shared" ref="BU2:CB2" ca="1" si="176">+"RECRÍA PASTO"&amp;BU8</f>
        <v xml:space="preserve">RECRÍA PASTOADPV </v>
      </c>
      <c r="BV2" s="312" t="str">
        <f t="shared" ca="1" si="176"/>
        <v>RECRÍA PASTOEficiencia de stock</v>
      </c>
      <c r="BW2" s="312" t="str">
        <f t="shared" ca="1" si="176"/>
        <v>RECRÍA PASTOProd. de Carne kg/cab</v>
      </c>
      <c r="BX2" s="312" t="str">
        <f t="shared" ca="1" si="176"/>
        <v>RECRÍA PASTOCategoría</v>
      </c>
      <c r="BY2" s="312" t="str">
        <f t="shared" ca="1" si="176"/>
        <v>RECRÍA PASTOPeso entrada</v>
      </c>
      <c r="BZ2" s="312" t="str">
        <f t="shared" ca="1" si="176"/>
        <v>RECRÍA PASTOPeso de salida</v>
      </c>
      <c r="CA2" s="312" t="str">
        <f t="shared" ca="1" si="176"/>
        <v>RECRÍA PASTOPpal recurso forrajero</v>
      </c>
      <c r="CB2" s="312" t="str">
        <f t="shared" ca="1" si="176"/>
        <v>RECRÍA PASTOSuplementación energética</v>
      </c>
      <c r="CC2" s="312" t="str">
        <f ca="1">+"INVERNADA PASTO"&amp;CC8</f>
        <v xml:space="preserve">INVERNADA PASTOProducción de Carne </v>
      </c>
      <c r="CD2" s="312" t="str">
        <f ca="1">+"INVERNADA PASTO"&amp;CD8</f>
        <v>INVERNADA PASTOCarga media</v>
      </c>
      <c r="CE2" s="312" t="str">
        <f t="shared" ref="CE2:CO2" ca="1" si="177">+"INVERNADA PASTO"&amp;CE8</f>
        <v>INVERNADA PASTOCarga media</v>
      </c>
      <c r="CF2" s="312" t="str">
        <f t="shared" ca="1" si="177"/>
        <v>INVERNADA PASTODuración media</v>
      </c>
      <c r="CG2" s="312" t="str">
        <f t="shared" ca="1" si="177"/>
        <v xml:space="preserve">INVERNADA PASTOADPV </v>
      </c>
      <c r="CH2" s="312" t="str">
        <f t="shared" ca="1" si="177"/>
        <v>INVERNADA PASTOEficiencia de stock</v>
      </c>
      <c r="CI2" s="312" t="str">
        <f t="shared" ca="1" si="177"/>
        <v>INVERNADA PASTOProd. de Carne kg/cab</v>
      </c>
      <c r="CJ2" s="312" t="str">
        <f t="shared" ca="1" si="177"/>
        <v>INVERNADA PASTOCategoría</v>
      </c>
      <c r="CK2" s="312" t="str">
        <f t="shared" ca="1" si="177"/>
        <v>INVERNADA PASTO¿Engorde vacas?</v>
      </c>
      <c r="CL2" s="312" t="str">
        <f t="shared" ca="1" si="177"/>
        <v>INVERNADA PASTOPeso entrada</v>
      </c>
      <c r="CM2" s="312" t="str">
        <f t="shared" ca="1" si="177"/>
        <v>INVERNADA PASTOPeso de salida</v>
      </c>
      <c r="CN2" s="312" t="str">
        <f t="shared" ca="1" si="177"/>
        <v>INVERNADA PASTOPpal recurso forrajero</v>
      </c>
      <c r="CO2" s="312" t="str">
        <f t="shared" ca="1" si="177"/>
        <v>INVERNADA PASTOSuplementación energética</v>
      </c>
      <c r="CP2" s="312" t="str">
        <f ca="1">+"CORRAL"&amp;CP8</f>
        <v>CORRALCapacidad de corrales</v>
      </c>
      <c r="CQ2" s="312" t="str">
        <f ca="1">+"CORRAL"&amp;CQ8</f>
        <v>CORRALPersonal operativo</v>
      </c>
      <c r="CR2" s="312" t="str">
        <f t="shared" ref="CR2:DJ2" ca="1" si="178">+"CORRAL RECRÍA"&amp;CR8</f>
        <v>CORRAL RECRÍAProducción Total</v>
      </c>
      <c r="CS2" s="312" t="str">
        <f t="shared" si="178"/>
        <v>CORRAL RECRÍA</v>
      </c>
      <c r="CT2" s="312" t="str">
        <f t="shared" si="178"/>
        <v>CORRAL RECRÍA</v>
      </c>
      <c r="CU2" s="312" t="str">
        <f t="shared" ca="1" si="178"/>
        <v>CORRAL RECRÍADuración media</v>
      </c>
      <c r="CV2" s="312" t="str">
        <f t="shared" ca="1" si="178"/>
        <v>CORRAL RECRÍAKg MS totales ofrecidos</v>
      </c>
      <c r="CW2" s="312" t="str">
        <f t="shared" ca="1" si="178"/>
        <v>CORRAL RECRÍAADPV promedio del ciclo</v>
      </c>
      <c r="CX2" s="312" t="str">
        <f t="shared" si="178"/>
        <v>CORRAL RECRÍA</v>
      </c>
      <c r="CY2" s="312" t="str">
        <f t="shared" si="178"/>
        <v>CORRAL RECRÍAKg/cab</v>
      </c>
      <c r="CZ2" s="312" t="str">
        <f t="shared" ca="1" si="178"/>
        <v>CORRAL RECRÍAÍndice de conversión</v>
      </c>
      <c r="DA2" s="312" t="str">
        <f ca="1">+"CORRAL RECRÍA"&amp;DA8&amp;"PP"</f>
        <v>CORRAL RECRÍACategoríaPP</v>
      </c>
      <c r="DB2" s="312" t="str">
        <f t="shared" ca="1" si="178"/>
        <v>CORRAL RECRÍAPeso entrada</v>
      </c>
      <c r="DC2" s="312" t="str">
        <f ca="1">+"CORRAL RECRÍA"&amp;DC8&amp;"PP"</f>
        <v>CORRAL RECRÍAPeso de salidaPP</v>
      </c>
      <c r="DD2" s="312" t="str">
        <f t="shared" ca="1" si="178"/>
        <v xml:space="preserve">CORRAL RECRÍAGranos </v>
      </c>
      <c r="DE2" s="312" t="str">
        <f ca="1">+"CORRAL RECRÍA"&amp;DE8&amp;"PP"</f>
        <v>CORRAL RECRÍAConcentrado Comercial PP</v>
      </c>
      <c r="DF2" s="312" t="str">
        <f t="shared" ca="1" si="178"/>
        <v xml:space="preserve">CORRAL RECRÍASilos </v>
      </c>
      <c r="DG2" s="312" t="str">
        <f ca="1">+"CORRAL RECRÍA"&amp;DG8&amp;"PP"</f>
        <v>CORRAL RECRÍARollos PP</v>
      </c>
      <c r="DH2" s="312" t="str">
        <f t="shared" ca="1" si="178"/>
        <v>CORRAL RECRÍAPellets</v>
      </c>
      <c r="DI2" s="312" t="str">
        <f ca="1">+"CORRAL RECRÍA"&amp;DI8&amp;"PP"</f>
        <v>CORRAL RECRÍAOtros PP</v>
      </c>
      <c r="DJ2" s="312" t="str">
        <f t="shared" ca="1" si="178"/>
        <v>CORRAL RECRÍA% de la producción de la recría a corral</v>
      </c>
      <c r="DK2" s="312" t="str">
        <f ca="1">+"CORRAL RECRÍA"&amp;DK8&amp;"PP"</f>
        <v>CORRAL RECRÍA% de cabezas con recría a corralPP</v>
      </c>
      <c r="DL2" s="312" t="str">
        <f ca="1">+"CORRAL TERMINACIÓN"&amp;DL8</f>
        <v xml:space="preserve">CORRAL TERMINACIÓNProducción de Carne </v>
      </c>
      <c r="DM2" s="312" t="str">
        <f>+"CORRAL TERMINACIÓN"&amp;DM8</f>
        <v>CORRAL TERMINACIÓN</v>
      </c>
      <c r="DN2" s="312" t="str">
        <f>+"CORRAL TERMINACIÓN"&amp;DN8</f>
        <v>CORRAL TERMINACIÓN</v>
      </c>
      <c r="DO2" s="312" t="str">
        <f t="shared" ref="DO2:EH2" ca="1" si="179">+"CORRAL TERMINACIÓN"&amp;DO8</f>
        <v>CORRAL TERMINACIÓNDuración media</v>
      </c>
      <c r="DP2" s="312" t="str">
        <f t="shared" ca="1" si="179"/>
        <v>CORRAL TERMINACIÓNKg MS totales ofrecidos</v>
      </c>
      <c r="DQ2" s="312" t="str">
        <f t="shared" ca="1" si="179"/>
        <v>CORRAL TERMINACIÓNADPV promedio del ciclo</v>
      </c>
      <c r="DR2" s="312" t="str">
        <f t="shared" si="179"/>
        <v>CORRAL TERMINACIÓN</v>
      </c>
      <c r="DS2" s="312" t="str">
        <f t="shared" ca="1" si="179"/>
        <v>CORRAL TERMINACIÓNProd. de Carne kg/cab</v>
      </c>
      <c r="DT2" s="312" t="str">
        <f t="shared" ca="1" si="179"/>
        <v>CORRAL TERMINACIÓNÍndice de conversión</v>
      </c>
      <c r="DU2" s="312" t="str">
        <f t="shared" ca="1" si="179"/>
        <v>CORRAL TERMINACIÓNCategoría</v>
      </c>
      <c r="DV2" s="312" t="str">
        <f t="shared" ca="1" si="179"/>
        <v>CORRAL TERMINACIÓN¿Engorde vacas?</v>
      </c>
      <c r="DW2" s="312" t="str">
        <f t="shared" ca="1" si="179"/>
        <v>CORRAL TERMINACIÓNPeso entrada</v>
      </c>
      <c r="DX2" s="312" t="str">
        <f t="shared" ca="1" si="179"/>
        <v>CORRAL TERMINACIÓNPeso de salida</v>
      </c>
      <c r="DY2" s="312" t="str">
        <f t="shared" ca="1" si="179"/>
        <v xml:space="preserve">CORRAL TERMINACIÓNGranos </v>
      </c>
      <c r="DZ2" s="312" t="str">
        <f t="shared" ca="1" si="179"/>
        <v xml:space="preserve">CORRAL TERMINACIÓNConcentrado Comercial </v>
      </c>
      <c r="EA2" s="312" t="str">
        <f t="shared" ca="1" si="179"/>
        <v xml:space="preserve">CORRAL TERMINACIÓNSilos </v>
      </c>
      <c r="EB2" s="312" t="str">
        <f t="shared" ca="1" si="179"/>
        <v xml:space="preserve">CORRAL TERMINACIÓNRollos </v>
      </c>
      <c r="EC2" s="312" t="str">
        <f t="shared" ca="1" si="179"/>
        <v>CORRAL TERMINACIÓNPellets</v>
      </c>
      <c r="ED2" s="312" t="str">
        <f t="shared" ca="1" si="179"/>
        <v xml:space="preserve">CORRAL TERMINACIÓNOtros </v>
      </c>
      <c r="EE2" s="312" t="str">
        <f t="shared" ca="1" si="179"/>
        <v>CORRAL TERMINACIÓN% de la producción terminada a corral</v>
      </c>
      <c r="EF2" s="312" t="str">
        <f t="shared" ca="1" si="179"/>
        <v>CORRAL TERMINACIÓN% de cabezas terminadas a corral</v>
      </c>
      <c r="EG2" s="312" t="str">
        <f t="shared" ca="1" si="179"/>
        <v>CORRAL TERMINACIÓNNotas</v>
      </c>
      <c r="EH2" s="312" t="str">
        <f t="shared" si="179"/>
        <v>CORRAL TERMINACIÓN</v>
      </c>
      <c r="EI2" s="312" t="str">
        <f t="shared" ref="EI2" si="180">+"CORRAL TERMINACIÓN"&amp;EI8</f>
        <v>CORRAL TERMINACIÓN</v>
      </c>
      <c r="EX2" s="312" t="str">
        <f t="shared" ref="EX2:FU2" si="181">+"Consolidado!"&amp;EX$10&amp;ROW($D$11)&amp;":"&amp;EX$10&amp;ROW($D$11)+COUNTA(EX$11:EX$11)-1</f>
        <v>Consolidado!EX11:EX11</v>
      </c>
      <c r="EY2" s="312" t="str">
        <f t="shared" ca="1" si="181"/>
        <v>Consolidado!EY11:EY11</v>
      </c>
      <c r="EZ2" s="312" t="str">
        <f t="shared" ca="1" si="181"/>
        <v>Consolidado!EZ11:EZ11</v>
      </c>
      <c r="FA2" s="312" t="str">
        <f t="shared" ca="1" si="181"/>
        <v>Consolidado!FA11:FA11</v>
      </c>
      <c r="FB2" s="312" t="str">
        <f t="shared" ca="1" si="181"/>
        <v>Consolidado!FB11:FB11</v>
      </c>
      <c r="FC2" s="312" t="str">
        <f t="shared" ca="1" si="181"/>
        <v>Consolidado!FC11:FC11</v>
      </c>
      <c r="FD2" s="312" t="str">
        <f t="shared" ca="1" si="181"/>
        <v>Consolidado!11:11</v>
      </c>
      <c r="FE2" s="312" t="str">
        <f t="shared" ca="1" si="181"/>
        <v>Consolidado!FE11:FE11</v>
      </c>
      <c r="FF2" s="312" t="str">
        <f t="shared" ca="1" si="181"/>
        <v>Consolidado!FF11:FF11</v>
      </c>
      <c r="FG2" s="312" t="str">
        <f t="shared" ca="1" si="181"/>
        <v>Consolidado!FG11:FG11</v>
      </c>
      <c r="FH2" s="312" t="str">
        <f t="shared" ca="1" si="181"/>
        <v>Consolidado!FH11:FH11</v>
      </c>
      <c r="FI2" s="312" t="str">
        <f t="shared" ca="1" si="181"/>
        <v>Consolidado!FI11:FI11</v>
      </c>
      <c r="FJ2" s="312" t="str">
        <f t="shared" ca="1" si="181"/>
        <v>Consolidado!FJ11:FJ11</v>
      </c>
      <c r="FK2" s="312" t="str">
        <f t="shared" ca="1" si="181"/>
        <v>Consolidado!FK11:FK11</v>
      </c>
      <c r="FL2" s="312" t="str">
        <f t="shared" ca="1" si="181"/>
        <v>Consolidado!FL11:FL11</v>
      </c>
      <c r="FM2" s="312" t="str">
        <f t="shared" ca="1" si="181"/>
        <v>Consolidado!FM11:FM11</v>
      </c>
      <c r="FN2" s="312" t="str">
        <f t="shared" ca="1" si="181"/>
        <v>Consolidado!FN11:FN11</v>
      </c>
      <c r="FO2" s="312" t="str">
        <f t="shared" ca="1" si="181"/>
        <v>Consolidado!FO11:FO11</v>
      </c>
      <c r="FP2" s="312" t="str">
        <f t="shared" ca="1" si="181"/>
        <v>Consolidado!FP11:FP11</v>
      </c>
      <c r="FQ2" s="312" t="str">
        <f t="shared" ca="1" si="181"/>
        <v>Consolidado!FQ11:FQ11</v>
      </c>
      <c r="FR2" s="312" t="str">
        <f t="shared" ca="1" si="181"/>
        <v>Consolidado!FR11:FR11</v>
      </c>
      <c r="FS2" s="312" t="str">
        <f t="shared" si="181"/>
        <v>Consolidado!FS11:FS11</v>
      </c>
      <c r="FT2" s="312" t="str">
        <f t="shared" ca="1" si="181"/>
        <v>Consolidado!FT11:FT11</v>
      </c>
      <c r="FU2" s="312" t="str">
        <f t="shared" ca="1" si="181"/>
        <v>Consolidado!FU11:FU11</v>
      </c>
    </row>
    <row r="3" spans="1:177" s="74" customFormat="1" ht="3" customHeight="1" x14ac:dyDescent="0.35">
      <c r="A3" s="74">
        <f>+COLUMN()</f>
        <v>1</v>
      </c>
      <c r="B3" s="74">
        <f>+COLUMN()-1</f>
        <v>1</v>
      </c>
      <c r="C3" s="313" t="s">
        <v>461</v>
      </c>
      <c r="D3" s="117">
        <v>2</v>
      </c>
      <c r="E3" s="117">
        <v>3</v>
      </c>
      <c r="F3" s="117">
        <v>4</v>
      </c>
      <c r="G3" s="117">
        <v>5</v>
      </c>
      <c r="H3" s="117">
        <v>6</v>
      </c>
      <c r="I3" s="117">
        <v>7</v>
      </c>
      <c r="J3" s="117">
        <v>8</v>
      </c>
      <c r="K3" s="117">
        <v>9</v>
      </c>
      <c r="L3" s="117">
        <v>10</v>
      </c>
      <c r="M3" s="252">
        <v>4</v>
      </c>
      <c r="N3" s="252">
        <v>4</v>
      </c>
      <c r="O3" s="252">
        <v>4</v>
      </c>
      <c r="P3" s="252">
        <v>4</v>
      </c>
      <c r="Q3" s="252">
        <v>4</v>
      </c>
      <c r="R3" s="252">
        <v>4</v>
      </c>
      <c r="S3" s="252">
        <v>4</v>
      </c>
      <c r="T3" s="252">
        <v>4</v>
      </c>
      <c r="U3" s="252">
        <v>9</v>
      </c>
      <c r="V3" s="252">
        <v>9</v>
      </c>
      <c r="W3" s="252">
        <v>9</v>
      </c>
      <c r="X3" s="252">
        <v>9</v>
      </c>
      <c r="Y3" s="252">
        <v>9</v>
      </c>
      <c r="Z3" s="252">
        <v>9</v>
      </c>
      <c r="AA3" s="252">
        <v>13</v>
      </c>
      <c r="AB3" s="252">
        <v>13</v>
      </c>
      <c r="AC3" s="252">
        <v>13</v>
      </c>
      <c r="AD3" s="252">
        <v>9</v>
      </c>
      <c r="AE3" s="252">
        <v>9</v>
      </c>
      <c r="AF3" s="252">
        <v>9</v>
      </c>
      <c r="AG3" s="252">
        <v>4</v>
      </c>
      <c r="AH3" s="252">
        <v>4</v>
      </c>
      <c r="AI3" s="252">
        <v>4</v>
      </c>
      <c r="AJ3" s="252">
        <v>4</v>
      </c>
      <c r="AK3" s="252">
        <v>4</v>
      </c>
      <c r="AL3" s="252">
        <v>4</v>
      </c>
      <c r="AM3" s="252">
        <v>4</v>
      </c>
      <c r="AN3" s="252">
        <v>11</v>
      </c>
      <c r="AO3" s="252">
        <v>11</v>
      </c>
      <c r="AP3" s="252">
        <v>11</v>
      </c>
      <c r="AQ3" s="252">
        <v>11</v>
      </c>
      <c r="AR3" s="252">
        <v>11</v>
      </c>
      <c r="AS3" s="252">
        <v>4</v>
      </c>
      <c r="AT3" s="252">
        <v>4</v>
      </c>
      <c r="AU3" s="252">
        <v>4</v>
      </c>
      <c r="AV3" s="252">
        <v>4</v>
      </c>
      <c r="AW3" s="252">
        <v>4</v>
      </c>
      <c r="AX3" s="252">
        <v>4</v>
      </c>
      <c r="AY3" s="252">
        <v>4</v>
      </c>
      <c r="AZ3" s="252">
        <v>4</v>
      </c>
      <c r="BA3" s="252">
        <v>4</v>
      </c>
      <c r="BB3" s="252">
        <v>9</v>
      </c>
      <c r="BC3" s="252">
        <v>9</v>
      </c>
      <c r="BD3" s="252">
        <v>9</v>
      </c>
      <c r="BE3" s="252">
        <v>9</v>
      </c>
      <c r="BF3" s="252">
        <v>9</v>
      </c>
      <c r="BG3" s="252">
        <v>10</v>
      </c>
      <c r="BH3" s="252">
        <v>9</v>
      </c>
      <c r="BI3" s="252">
        <v>10</v>
      </c>
      <c r="BJ3" s="252">
        <v>5</v>
      </c>
      <c r="BK3" s="252">
        <v>6</v>
      </c>
      <c r="BL3" s="252">
        <v>7</v>
      </c>
      <c r="BM3" s="252">
        <v>8</v>
      </c>
      <c r="BN3" s="252">
        <v>9</v>
      </c>
      <c r="BO3" s="252">
        <v>4</v>
      </c>
      <c r="BP3" s="252">
        <v>4</v>
      </c>
      <c r="BQ3" s="252">
        <v>4</v>
      </c>
      <c r="BR3" s="252">
        <v>4</v>
      </c>
      <c r="BS3" s="252">
        <v>4</v>
      </c>
      <c r="BT3" s="252">
        <v>4</v>
      </c>
      <c r="BU3" s="252">
        <v>4</v>
      </c>
      <c r="BV3" s="252">
        <v>4</v>
      </c>
      <c r="BW3" s="252">
        <v>4</v>
      </c>
      <c r="BX3" s="252">
        <v>4</v>
      </c>
      <c r="BY3" s="252">
        <v>4</v>
      </c>
      <c r="BZ3" s="252">
        <v>4</v>
      </c>
      <c r="CA3" s="252">
        <v>4</v>
      </c>
      <c r="CB3" s="252">
        <v>4</v>
      </c>
      <c r="CC3" s="252">
        <v>9</v>
      </c>
      <c r="CD3" s="252">
        <v>9</v>
      </c>
      <c r="CE3" s="252">
        <v>9</v>
      </c>
      <c r="CF3" s="252">
        <v>9</v>
      </c>
      <c r="CG3" s="252">
        <v>9</v>
      </c>
      <c r="CH3" s="252">
        <v>9</v>
      </c>
      <c r="CI3" s="252">
        <v>9</v>
      </c>
      <c r="CJ3" s="252">
        <v>9</v>
      </c>
      <c r="CK3" s="252">
        <v>9</v>
      </c>
      <c r="CL3" s="252">
        <v>9</v>
      </c>
      <c r="CM3" s="252">
        <v>9</v>
      </c>
      <c r="CN3" s="252">
        <v>9</v>
      </c>
      <c r="CO3" s="252">
        <v>9</v>
      </c>
      <c r="CP3" s="252">
        <v>7</v>
      </c>
      <c r="CQ3" s="252">
        <v>7</v>
      </c>
      <c r="CR3" s="252">
        <v>4</v>
      </c>
      <c r="CS3" s="252"/>
      <c r="CT3" s="252"/>
      <c r="CU3" s="252">
        <v>4</v>
      </c>
      <c r="CV3" s="252">
        <v>4</v>
      </c>
      <c r="CW3" s="252">
        <v>4</v>
      </c>
      <c r="CX3" s="252"/>
      <c r="CY3" s="252">
        <v>4</v>
      </c>
      <c r="CZ3" s="252">
        <v>4</v>
      </c>
      <c r="DA3" s="252">
        <v>4</v>
      </c>
      <c r="DB3" s="252">
        <v>4</v>
      </c>
      <c r="DC3" s="252">
        <v>4</v>
      </c>
      <c r="DD3" s="252">
        <v>4</v>
      </c>
      <c r="DE3" s="252">
        <v>4</v>
      </c>
      <c r="DF3" s="252">
        <v>4</v>
      </c>
      <c r="DG3" s="252">
        <v>4</v>
      </c>
      <c r="DH3" s="252">
        <v>4</v>
      </c>
      <c r="DI3" s="252">
        <v>4</v>
      </c>
      <c r="DJ3" s="252">
        <v>4</v>
      </c>
      <c r="DK3" s="252">
        <v>4</v>
      </c>
      <c r="DL3" s="252">
        <v>9</v>
      </c>
      <c r="DM3" s="252"/>
      <c r="DN3" s="252"/>
      <c r="DO3" s="252">
        <v>9</v>
      </c>
      <c r="DP3" s="252">
        <v>9</v>
      </c>
      <c r="DQ3" s="252">
        <v>9</v>
      </c>
      <c r="DR3" s="252">
        <v>9</v>
      </c>
      <c r="DS3" s="252">
        <v>9</v>
      </c>
      <c r="DT3" s="252">
        <v>9</v>
      </c>
      <c r="DU3" s="252">
        <v>9</v>
      </c>
      <c r="DV3" s="252">
        <v>9</v>
      </c>
      <c r="DW3" s="252">
        <v>9</v>
      </c>
      <c r="DX3" s="252">
        <v>9</v>
      </c>
      <c r="DY3" s="252">
        <v>9</v>
      </c>
      <c r="DZ3" s="252">
        <v>9</v>
      </c>
      <c r="EA3" s="252">
        <v>9</v>
      </c>
      <c r="EB3" s="252">
        <v>9</v>
      </c>
      <c r="EC3" s="252">
        <v>9</v>
      </c>
      <c r="ED3" s="252">
        <v>9</v>
      </c>
      <c r="EE3" s="252">
        <v>9</v>
      </c>
      <c r="EF3" s="252">
        <v>9</v>
      </c>
      <c r="EG3" s="252">
        <v>3</v>
      </c>
      <c r="EH3" s="252"/>
      <c r="EI3" s="252"/>
      <c r="EJ3" s="252"/>
      <c r="EK3" s="252"/>
      <c r="EX3" s="253" t="s">
        <v>272</v>
      </c>
      <c r="EY3" s="253" t="s">
        <v>272</v>
      </c>
      <c r="EZ3" s="253" t="s">
        <v>272</v>
      </c>
      <c r="FA3" s="253" t="s">
        <v>272</v>
      </c>
      <c r="FB3" s="253" t="s">
        <v>272</v>
      </c>
      <c r="FC3" s="253" t="s">
        <v>272</v>
      </c>
      <c r="FD3" s="253" t="s">
        <v>272</v>
      </c>
      <c r="FE3" s="253" t="s">
        <v>272</v>
      </c>
      <c r="FF3" s="253" t="s">
        <v>272</v>
      </c>
      <c r="FG3" s="253" t="s">
        <v>272</v>
      </c>
      <c r="FH3" s="253" t="s">
        <v>272</v>
      </c>
      <c r="FI3" s="253" t="s">
        <v>272</v>
      </c>
      <c r="FJ3" s="253" t="s">
        <v>272</v>
      </c>
      <c r="FK3" s="253" t="s">
        <v>272</v>
      </c>
      <c r="FL3" s="253" t="s">
        <v>272</v>
      </c>
      <c r="FM3" s="253" t="s">
        <v>272</v>
      </c>
      <c r="FN3" s="253" t="s">
        <v>272</v>
      </c>
      <c r="FO3" s="253" t="s">
        <v>272</v>
      </c>
      <c r="FP3" s="253" t="s">
        <v>272</v>
      </c>
      <c r="FQ3" s="253" t="s">
        <v>272</v>
      </c>
      <c r="FR3" s="253" t="s">
        <v>272</v>
      </c>
      <c r="FS3" s="253" t="s">
        <v>272</v>
      </c>
      <c r="FT3" s="253" t="s">
        <v>272</v>
      </c>
      <c r="FU3" s="253" t="s">
        <v>272</v>
      </c>
    </row>
    <row r="4" spans="1:177" s="74" customFormat="1" ht="3" customHeight="1" x14ac:dyDescent="0.35">
      <c r="C4" s="313" t="s">
        <v>462</v>
      </c>
      <c r="D4" s="117">
        <v>2</v>
      </c>
      <c r="E4" s="117">
        <v>3</v>
      </c>
      <c r="F4" s="117">
        <v>4</v>
      </c>
      <c r="G4" s="117">
        <v>5</v>
      </c>
      <c r="H4" s="117">
        <v>6</v>
      </c>
      <c r="I4" s="117">
        <v>7</v>
      </c>
      <c r="J4" s="117">
        <v>8</v>
      </c>
      <c r="K4" s="117">
        <v>9</v>
      </c>
      <c r="L4" s="117">
        <v>10</v>
      </c>
      <c r="M4" s="254">
        <v>5</v>
      </c>
      <c r="N4" s="254">
        <v>5</v>
      </c>
      <c r="O4" s="254">
        <v>5</v>
      </c>
      <c r="P4" s="254">
        <v>5</v>
      </c>
      <c r="Q4" s="254">
        <v>5</v>
      </c>
      <c r="R4" s="254">
        <v>5</v>
      </c>
      <c r="S4" s="252">
        <v>5</v>
      </c>
      <c r="T4" s="252">
        <v>5</v>
      </c>
      <c r="U4" s="252">
        <v>10</v>
      </c>
      <c r="V4" s="252">
        <v>10</v>
      </c>
      <c r="W4" s="252">
        <v>10</v>
      </c>
      <c r="X4" s="252">
        <v>10</v>
      </c>
      <c r="Y4" s="252">
        <v>10</v>
      </c>
      <c r="Z4" s="252">
        <v>10</v>
      </c>
      <c r="AA4" s="252">
        <v>12</v>
      </c>
      <c r="AB4" s="252">
        <v>12</v>
      </c>
      <c r="AC4" s="252">
        <v>12</v>
      </c>
      <c r="AD4" s="252">
        <v>10</v>
      </c>
      <c r="AE4" s="252">
        <v>10</v>
      </c>
      <c r="AF4" s="252">
        <v>10</v>
      </c>
      <c r="AG4" s="252">
        <v>5</v>
      </c>
      <c r="AH4" s="252">
        <v>5</v>
      </c>
      <c r="AI4" s="252">
        <v>5</v>
      </c>
      <c r="AJ4" s="252">
        <v>5</v>
      </c>
      <c r="AK4" s="252">
        <v>5</v>
      </c>
      <c r="AL4" s="252">
        <v>5</v>
      </c>
      <c r="AM4" s="252">
        <v>5</v>
      </c>
      <c r="AN4" s="252">
        <v>10</v>
      </c>
      <c r="AO4" s="252">
        <v>10</v>
      </c>
      <c r="AP4" s="252">
        <v>10</v>
      </c>
      <c r="AQ4" s="252">
        <v>10</v>
      </c>
      <c r="AR4" s="252">
        <v>10</v>
      </c>
      <c r="AS4" s="252">
        <v>5</v>
      </c>
      <c r="AT4" s="252">
        <v>5</v>
      </c>
      <c r="AU4" s="252">
        <v>5</v>
      </c>
      <c r="AV4" s="252">
        <v>5</v>
      </c>
      <c r="AW4" s="252">
        <v>5</v>
      </c>
      <c r="AX4" s="252">
        <v>5</v>
      </c>
      <c r="AY4" s="252">
        <v>5</v>
      </c>
      <c r="AZ4" s="252">
        <v>5</v>
      </c>
      <c r="BA4" s="252">
        <v>5</v>
      </c>
      <c r="BB4" s="252">
        <v>10</v>
      </c>
      <c r="BC4" s="252">
        <v>10</v>
      </c>
      <c r="BD4" s="252">
        <v>10</v>
      </c>
      <c r="BE4" s="252">
        <v>10</v>
      </c>
      <c r="BF4" s="252">
        <v>9</v>
      </c>
      <c r="BG4" s="252">
        <v>10</v>
      </c>
      <c r="BH4" s="252">
        <v>9</v>
      </c>
      <c r="BI4" s="252">
        <v>10</v>
      </c>
      <c r="BJ4" s="252">
        <v>5</v>
      </c>
      <c r="BK4" s="252">
        <v>6</v>
      </c>
      <c r="BL4" s="252">
        <v>7</v>
      </c>
      <c r="BM4" s="252">
        <v>8</v>
      </c>
      <c r="BN4" s="252">
        <v>9</v>
      </c>
      <c r="BO4" s="252">
        <v>5</v>
      </c>
      <c r="BP4" s="252">
        <v>5</v>
      </c>
      <c r="BQ4" s="252">
        <v>5</v>
      </c>
      <c r="BR4" s="252">
        <v>5</v>
      </c>
      <c r="BS4" s="252">
        <v>5</v>
      </c>
      <c r="BT4" s="252">
        <v>5</v>
      </c>
      <c r="BU4" s="252">
        <v>5</v>
      </c>
      <c r="BV4" s="252">
        <v>5</v>
      </c>
      <c r="BW4" s="252">
        <v>5</v>
      </c>
      <c r="BX4" s="252">
        <v>5</v>
      </c>
      <c r="BY4" s="252">
        <v>5</v>
      </c>
      <c r="BZ4" s="252">
        <v>5</v>
      </c>
      <c r="CA4" s="252">
        <v>5</v>
      </c>
      <c r="CB4" s="252">
        <v>5</v>
      </c>
      <c r="CC4" s="252">
        <v>10</v>
      </c>
      <c r="CD4" s="252">
        <v>10</v>
      </c>
      <c r="CE4" s="252">
        <v>10</v>
      </c>
      <c r="CF4" s="252">
        <v>10</v>
      </c>
      <c r="CG4" s="252">
        <v>10</v>
      </c>
      <c r="CH4" s="252">
        <v>10</v>
      </c>
      <c r="CI4" s="252">
        <v>10</v>
      </c>
      <c r="CJ4" s="252">
        <v>10</v>
      </c>
      <c r="CK4" s="252">
        <v>10</v>
      </c>
      <c r="CL4" s="252">
        <v>10</v>
      </c>
      <c r="CM4" s="252">
        <v>10</v>
      </c>
      <c r="CN4" s="252">
        <v>10</v>
      </c>
      <c r="CO4" s="252">
        <v>10</v>
      </c>
      <c r="CP4" s="252">
        <v>8</v>
      </c>
      <c r="CQ4" s="252">
        <v>8</v>
      </c>
      <c r="CR4" s="252">
        <v>5</v>
      </c>
      <c r="CS4" s="252"/>
      <c r="CT4" s="252"/>
      <c r="CU4" s="252">
        <v>5</v>
      </c>
      <c r="CV4" s="252">
        <v>5</v>
      </c>
      <c r="CW4" s="252">
        <v>5</v>
      </c>
      <c r="CX4" s="252"/>
      <c r="CY4" s="252">
        <v>5</v>
      </c>
      <c r="CZ4" s="252">
        <v>5</v>
      </c>
      <c r="DA4" s="252">
        <v>5</v>
      </c>
      <c r="DB4" s="252">
        <v>5</v>
      </c>
      <c r="DC4" s="252">
        <v>5</v>
      </c>
      <c r="DD4" s="252">
        <v>5</v>
      </c>
      <c r="DE4" s="252">
        <v>5</v>
      </c>
      <c r="DF4" s="252">
        <v>5</v>
      </c>
      <c r="DG4" s="252">
        <v>5</v>
      </c>
      <c r="DH4" s="252">
        <v>5</v>
      </c>
      <c r="DI4" s="252">
        <v>5</v>
      </c>
      <c r="DJ4" s="252">
        <v>5</v>
      </c>
      <c r="DK4" s="252">
        <v>5</v>
      </c>
      <c r="DL4" s="252">
        <v>10</v>
      </c>
      <c r="DM4" s="252"/>
      <c r="DN4" s="252"/>
      <c r="DO4" s="252">
        <v>10</v>
      </c>
      <c r="DP4" s="252">
        <v>10</v>
      </c>
      <c r="DQ4" s="252">
        <v>10</v>
      </c>
      <c r="DR4" s="252">
        <v>10</v>
      </c>
      <c r="DS4" s="252">
        <v>10</v>
      </c>
      <c r="DT4" s="252">
        <v>10</v>
      </c>
      <c r="DU4" s="252">
        <v>10</v>
      </c>
      <c r="DV4" s="252">
        <v>10</v>
      </c>
      <c r="DW4" s="252">
        <v>10</v>
      </c>
      <c r="DX4" s="252">
        <v>10</v>
      </c>
      <c r="DY4" s="252">
        <v>10</v>
      </c>
      <c r="DZ4" s="252">
        <v>10</v>
      </c>
      <c r="EA4" s="252">
        <v>10</v>
      </c>
      <c r="EB4" s="252">
        <v>10</v>
      </c>
      <c r="EC4" s="252">
        <v>10</v>
      </c>
      <c r="ED4" s="252">
        <v>10</v>
      </c>
      <c r="EE4" s="252">
        <v>10</v>
      </c>
      <c r="EF4" s="252">
        <v>10</v>
      </c>
      <c r="EG4" s="252">
        <v>3</v>
      </c>
      <c r="EH4" s="252"/>
      <c r="EI4" s="252"/>
      <c r="EJ4" s="252"/>
      <c r="EK4" s="252"/>
      <c r="EX4" s="252"/>
      <c r="EY4" s="252"/>
      <c r="EZ4" s="252"/>
    </row>
    <row r="5" spans="1:177" s="74" customFormat="1" ht="3" customHeight="1" x14ac:dyDescent="0.35">
      <c r="C5" s="313" t="s">
        <v>466</v>
      </c>
      <c r="D5" s="117"/>
      <c r="E5" s="117"/>
      <c r="F5" s="117"/>
      <c r="G5" s="117"/>
      <c r="H5" s="117"/>
      <c r="I5" s="117"/>
      <c r="J5" s="117"/>
      <c r="K5" s="117"/>
      <c r="L5" s="117"/>
      <c r="M5" s="254"/>
      <c r="N5" s="254"/>
      <c r="O5" s="254"/>
      <c r="P5" s="254"/>
      <c r="Q5" s="254"/>
      <c r="R5" s="254"/>
      <c r="S5" s="252"/>
      <c r="T5" s="252"/>
      <c r="U5" s="252"/>
      <c r="V5" s="252"/>
      <c r="W5" s="252"/>
      <c r="X5" s="252"/>
      <c r="Y5" s="252"/>
      <c r="Z5" s="252"/>
      <c r="AA5" s="252"/>
      <c r="AB5" s="252"/>
      <c r="AC5" s="252"/>
      <c r="AD5" s="252"/>
      <c r="AE5" s="252"/>
      <c r="AF5" s="252"/>
      <c r="AG5" s="252"/>
      <c r="AH5" s="252"/>
      <c r="AI5" s="252"/>
      <c r="AJ5" s="252"/>
      <c r="AK5" s="252"/>
      <c r="AL5" s="252"/>
      <c r="AM5" s="252"/>
      <c r="AN5" s="252"/>
      <c r="AO5" s="252"/>
      <c r="AP5" s="252"/>
      <c r="AQ5" s="252"/>
      <c r="AR5" s="252"/>
      <c r="AS5" s="252"/>
      <c r="AT5" s="252"/>
      <c r="AU5" s="252"/>
      <c r="AV5" s="252"/>
      <c r="AW5" s="252"/>
      <c r="AX5" s="252"/>
      <c r="AY5" s="252"/>
      <c r="AZ5" s="252"/>
      <c r="BA5" s="252"/>
      <c r="BB5" s="252"/>
      <c r="BC5" s="252"/>
      <c r="BD5" s="252"/>
      <c r="BE5" s="252"/>
      <c r="BF5" s="252"/>
      <c r="BG5" s="252"/>
      <c r="BH5" s="252"/>
      <c r="BI5" s="252"/>
      <c r="BJ5" s="252"/>
      <c r="BK5" s="252"/>
      <c r="BL5" s="252"/>
      <c r="BM5" s="252"/>
      <c r="BN5" s="252"/>
      <c r="BO5" s="252"/>
      <c r="BP5" s="252"/>
      <c r="BQ5" s="252"/>
      <c r="BR5" s="252"/>
      <c r="BS5" s="252"/>
      <c r="BT5" s="252"/>
      <c r="BU5" s="252"/>
      <c r="BV5" s="252"/>
      <c r="BW5" s="252"/>
      <c r="BX5" s="252"/>
      <c r="BY5" s="252"/>
      <c r="BZ5" s="252"/>
      <c r="CA5" s="252"/>
      <c r="CB5" s="252"/>
      <c r="CC5" s="252"/>
      <c r="CD5" s="252"/>
      <c r="CE5" s="252"/>
      <c r="CF5" s="252"/>
      <c r="CG5" s="252"/>
      <c r="CH5" s="252"/>
      <c r="CI5" s="252"/>
      <c r="CJ5" s="252"/>
      <c r="CK5" s="252"/>
      <c r="CL5" s="252"/>
      <c r="CM5" s="252"/>
      <c r="CN5" s="252"/>
      <c r="CO5" s="252"/>
      <c r="CP5" s="252"/>
      <c r="CQ5" s="252"/>
      <c r="CR5" s="252"/>
      <c r="CS5" s="252"/>
      <c r="CT5" s="252"/>
      <c r="CU5" s="252"/>
      <c r="CV5" s="252"/>
      <c r="CW5" s="252"/>
      <c r="CX5" s="252"/>
      <c r="CY5" s="252"/>
      <c r="CZ5" s="252"/>
      <c r="DA5" s="252"/>
      <c r="DB5" s="252"/>
      <c r="DC5" s="252"/>
      <c r="DD5" s="252"/>
      <c r="DE5" s="252"/>
      <c r="DF5" s="252"/>
      <c r="DG5" s="252"/>
      <c r="DH5" s="252"/>
      <c r="DI5" s="252"/>
      <c r="DJ5" s="252"/>
      <c r="DK5" s="252"/>
      <c r="DL5" s="252"/>
      <c r="DM5" s="252"/>
      <c r="DN5" s="252"/>
      <c r="DO5" s="252"/>
      <c r="DP5" s="252"/>
      <c r="DQ5" s="252"/>
      <c r="DR5" s="252"/>
      <c r="DS5" s="252"/>
      <c r="DT5" s="252"/>
      <c r="DU5" s="252"/>
      <c r="DV5" s="252"/>
      <c r="DW5" s="252"/>
      <c r="DX5" s="252"/>
      <c r="DY5" s="252"/>
      <c r="DZ5" s="252"/>
      <c r="EA5" s="252"/>
      <c r="EB5" s="252"/>
      <c r="EC5" s="252"/>
      <c r="ED5" s="252"/>
      <c r="EE5" s="252"/>
      <c r="EF5" s="252"/>
      <c r="EG5" s="252"/>
      <c r="EH5" s="252"/>
      <c r="EI5" s="252"/>
      <c r="EX5" s="252"/>
      <c r="EY5" s="252"/>
      <c r="EZ5" s="252"/>
    </row>
    <row r="6" spans="1:177" s="74" customFormat="1" ht="3" customHeight="1" x14ac:dyDescent="0.35">
      <c r="C6" s="313" t="s">
        <v>464</v>
      </c>
      <c r="D6" s="117">
        <v>5</v>
      </c>
      <c r="E6" s="117">
        <v>5</v>
      </c>
      <c r="F6" s="117">
        <v>5</v>
      </c>
      <c r="G6" s="117">
        <v>5</v>
      </c>
      <c r="H6" s="117">
        <v>5</v>
      </c>
      <c r="I6" s="117">
        <v>5</v>
      </c>
      <c r="J6" s="117">
        <v>5</v>
      </c>
      <c r="K6" s="117">
        <v>5</v>
      </c>
      <c r="L6" s="117">
        <v>5</v>
      </c>
      <c r="M6" s="252">
        <v>11</v>
      </c>
      <c r="N6" s="252">
        <v>12</v>
      </c>
      <c r="O6" s="252">
        <v>15</v>
      </c>
      <c r="P6" s="252">
        <v>16</v>
      </c>
      <c r="Q6" s="252">
        <v>17</v>
      </c>
      <c r="R6" s="252">
        <v>18</v>
      </c>
      <c r="S6" s="252">
        <v>19</v>
      </c>
      <c r="T6" s="252">
        <v>20</v>
      </c>
      <c r="U6" s="252">
        <v>11</v>
      </c>
      <c r="V6" s="252">
        <v>12</v>
      </c>
      <c r="W6" s="252">
        <v>13</v>
      </c>
      <c r="X6" s="252">
        <v>14</v>
      </c>
      <c r="Y6" s="252">
        <v>15</v>
      </c>
      <c r="Z6" s="252">
        <v>16</v>
      </c>
      <c r="AA6" s="252">
        <v>11</v>
      </c>
      <c r="AB6" s="252">
        <v>13</v>
      </c>
      <c r="AC6" s="252">
        <v>15</v>
      </c>
      <c r="AD6" s="252">
        <v>19</v>
      </c>
      <c r="AE6" s="252">
        <v>20</v>
      </c>
      <c r="AF6" s="252">
        <v>21</v>
      </c>
      <c r="AG6" s="252">
        <v>26</v>
      </c>
      <c r="AH6" s="252">
        <v>27</v>
      </c>
      <c r="AI6" s="252">
        <v>28</v>
      </c>
      <c r="AJ6" s="252">
        <v>30</v>
      </c>
      <c r="AK6" s="252">
        <v>31</v>
      </c>
      <c r="AL6" s="252">
        <v>32</v>
      </c>
      <c r="AM6" s="252">
        <v>33</v>
      </c>
      <c r="AN6" s="252">
        <v>27</v>
      </c>
      <c r="AO6" s="252">
        <v>28</v>
      </c>
      <c r="AP6" s="252">
        <v>29</v>
      </c>
      <c r="AQ6" s="252">
        <v>30</v>
      </c>
      <c r="AR6" s="252">
        <v>31</v>
      </c>
      <c r="AS6" s="252">
        <v>41</v>
      </c>
      <c r="AT6" s="252">
        <v>42</v>
      </c>
      <c r="AU6" s="252">
        <v>45</v>
      </c>
      <c r="AV6" s="252">
        <v>46</v>
      </c>
      <c r="AW6" s="252">
        <v>49</v>
      </c>
      <c r="AX6" s="252">
        <v>52</v>
      </c>
      <c r="AY6" s="252">
        <v>53</v>
      </c>
      <c r="AZ6" s="252">
        <v>55</v>
      </c>
      <c r="BA6" s="252">
        <v>54</v>
      </c>
      <c r="BB6" s="252">
        <v>52</v>
      </c>
      <c r="BC6" s="252">
        <v>53</v>
      </c>
      <c r="BD6" s="252">
        <v>54</v>
      </c>
      <c r="BE6" s="252">
        <v>52</v>
      </c>
      <c r="BF6" s="252">
        <v>56</v>
      </c>
      <c r="BG6" s="252">
        <v>56</v>
      </c>
      <c r="BH6" s="252">
        <v>56</v>
      </c>
      <c r="BI6" s="252">
        <v>56</v>
      </c>
      <c r="BJ6" s="252">
        <v>60</v>
      </c>
      <c r="BK6" s="252">
        <v>60</v>
      </c>
      <c r="BL6" s="252">
        <v>60</v>
      </c>
      <c r="BM6" s="252">
        <v>60</v>
      </c>
      <c r="BN6" s="252">
        <v>60</v>
      </c>
      <c r="BO6" s="252">
        <v>57</v>
      </c>
      <c r="BP6" s="252">
        <v>58</v>
      </c>
      <c r="BQ6" s="252">
        <v>68</v>
      </c>
      <c r="BR6" s="252">
        <v>70</v>
      </c>
      <c r="BS6" s="252">
        <v>71</v>
      </c>
      <c r="BT6" s="252">
        <v>72</v>
      </c>
      <c r="BU6" s="252">
        <v>73</v>
      </c>
      <c r="BV6" s="252">
        <v>74</v>
      </c>
      <c r="BW6" s="252">
        <v>75</v>
      </c>
      <c r="BX6" s="252">
        <v>79</v>
      </c>
      <c r="BY6" s="252">
        <v>81</v>
      </c>
      <c r="BZ6" s="252">
        <v>82</v>
      </c>
      <c r="CA6" s="252">
        <v>83</v>
      </c>
      <c r="CB6" s="252">
        <v>84</v>
      </c>
      <c r="CC6" s="252">
        <v>68</v>
      </c>
      <c r="CD6" s="252">
        <v>70</v>
      </c>
      <c r="CE6" s="252">
        <v>71</v>
      </c>
      <c r="CF6" s="252">
        <v>72</v>
      </c>
      <c r="CG6" s="252">
        <v>73</v>
      </c>
      <c r="CH6" s="252">
        <v>74</v>
      </c>
      <c r="CI6" s="252">
        <v>75</v>
      </c>
      <c r="CJ6" s="252">
        <v>79</v>
      </c>
      <c r="CK6" s="252">
        <v>80</v>
      </c>
      <c r="CL6" s="252">
        <v>81</v>
      </c>
      <c r="CM6" s="252">
        <v>82</v>
      </c>
      <c r="CN6" s="252">
        <v>83</v>
      </c>
      <c r="CO6" s="252">
        <v>84</v>
      </c>
      <c r="CP6" s="252">
        <v>89</v>
      </c>
      <c r="CQ6" s="252">
        <v>90</v>
      </c>
      <c r="CR6" s="252">
        <v>94</v>
      </c>
      <c r="CS6" s="252"/>
      <c r="CT6" s="252"/>
      <c r="CU6" s="252">
        <v>98</v>
      </c>
      <c r="CV6" s="252">
        <v>99</v>
      </c>
      <c r="CW6" s="252">
        <v>97</v>
      </c>
      <c r="CX6" s="252"/>
      <c r="CY6" s="252">
        <v>96</v>
      </c>
      <c r="CZ6" s="252">
        <v>101</v>
      </c>
      <c r="DA6" s="252">
        <v>107</v>
      </c>
      <c r="DB6" s="252">
        <v>109</v>
      </c>
      <c r="DC6" s="252">
        <v>110</v>
      </c>
      <c r="DD6" s="252">
        <v>113</v>
      </c>
      <c r="DE6" s="252">
        <v>114</v>
      </c>
      <c r="DF6" s="252">
        <v>115</v>
      </c>
      <c r="DG6" s="252">
        <v>116</v>
      </c>
      <c r="DH6" s="252">
        <v>117</v>
      </c>
      <c r="DI6" s="252">
        <v>118</v>
      </c>
      <c r="DJ6" s="252">
        <v>120</v>
      </c>
      <c r="DK6" s="252">
        <v>121</v>
      </c>
      <c r="DL6" s="252">
        <v>94</v>
      </c>
      <c r="DM6" s="252"/>
      <c r="DN6" s="252"/>
      <c r="DO6" s="252">
        <v>98</v>
      </c>
      <c r="DP6" s="252">
        <v>99</v>
      </c>
      <c r="DQ6" s="252">
        <v>97</v>
      </c>
      <c r="DR6" s="252"/>
      <c r="DS6" s="252">
        <v>96</v>
      </c>
      <c r="DT6" s="252">
        <v>101</v>
      </c>
      <c r="DU6" s="252">
        <v>107</v>
      </c>
      <c r="DV6" s="252">
        <v>108</v>
      </c>
      <c r="DW6" s="252">
        <v>109</v>
      </c>
      <c r="DX6" s="252">
        <v>110</v>
      </c>
      <c r="DY6" s="252">
        <v>113</v>
      </c>
      <c r="DZ6" s="252">
        <v>114</v>
      </c>
      <c r="EA6" s="252">
        <v>115</v>
      </c>
      <c r="EB6" s="252">
        <v>116</v>
      </c>
      <c r="EC6" s="252">
        <v>117</v>
      </c>
      <c r="ED6" s="252">
        <v>118</v>
      </c>
      <c r="EE6" s="252">
        <v>120</v>
      </c>
      <c r="EF6" s="252">
        <v>121</v>
      </c>
      <c r="EG6" s="252">
        <v>124</v>
      </c>
      <c r="EH6" s="252"/>
      <c r="EI6" s="252"/>
      <c r="EJ6" s="252"/>
      <c r="EK6" s="252"/>
      <c r="EX6" s="252"/>
      <c r="EY6" s="252"/>
      <c r="EZ6" s="252"/>
    </row>
    <row r="7" spans="1:177" s="74" customFormat="1" ht="3" customHeight="1" x14ac:dyDescent="0.35">
      <c r="C7" s="313" t="s">
        <v>463</v>
      </c>
      <c r="D7" s="254">
        <v>6</v>
      </c>
      <c r="E7" s="254">
        <v>6</v>
      </c>
      <c r="F7" s="254">
        <v>6</v>
      </c>
      <c r="G7" s="254">
        <v>6</v>
      </c>
      <c r="H7" s="254">
        <v>6</v>
      </c>
      <c r="I7" s="254">
        <v>6</v>
      </c>
      <c r="J7" s="254">
        <v>6</v>
      </c>
      <c r="K7" s="254">
        <v>6</v>
      </c>
      <c r="L7" s="254">
        <v>6</v>
      </c>
      <c r="M7" s="252">
        <v>11</v>
      </c>
      <c r="N7" s="252">
        <v>12</v>
      </c>
      <c r="O7" s="252">
        <v>15</v>
      </c>
      <c r="P7" s="252">
        <v>16</v>
      </c>
      <c r="Q7" s="252">
        <v>17</v>
      </c>
      <c r="R7" s="252">
        <v>18</v>
      </c>
      <c r="S7" s="252">
        <v>19</v>
      </c>
      <c r="T7" s="252">
        <v>20</v>
      </c>
      <c r="U7" s="252">
        <v>11</v>
      </c>
      <c r="V7" s="252">
        <v>12</v>
      </c>
      <c r="W7" s="252">
        <v>13</v>
      </c>
      <c r="X7" s="252">
        <v>14</v>
      </c>
      <c r="Y7" s="252">
        <v>15</v>
      </c>
      <c r="Z7" s="252">
        <v>16</v>
      </c>
      <c r="AA7" s="252">
        <v>11</v>
      </c>
      <c r="AB7" s="252">
        <v>13</v>
      </c>
      <c r="AC7" s="252">
        <v>15</v>
      </c>
      <c r="AD7" s="252">
        <v>19</v>
      </c>
      <c r="AE7" s="252">
        <v>20</v>
      </c>
      <c r="AF7" s="252">
        <v>21</v>
      </c>
      <c r="AG7" s="252">
        <v>26</v>
      </c>
      <c r="AH7" s="252">
        <v>27</v>
      </c>
      <c r="AI7" s="252">
        <v>28</v>
      </c>
      <c r="AJ7" s="252">
        <v>30</v>
      </c>
      <c r="AK7" s="252">
        <v>31</v>
      </c>
      <c r="AL7" s="252">
        <v>32</v>
      </c>
      <c r="AM7" s="252">
        <v>33</v>
      </c>
      <c r="AN7" s="252">
        <v>27</v>
      </c>
      <c r="AO7" s="252">
        <v>28</v>
      </c>
      <c r="AP7" s="252">
        <v>29</v>
      </c>
      <c r="AQ7" s="252">
        <v>30</v>
      </c>
      <c r="AR7" s="252">
        <v>31</v>
      </c>
      <c r="AS7" s="252">
        <v>41</v>
      </c>
      <c r="AT7" s="252">
        <v>42</v>
      </c>
      <c r="AU7" s="252">
        <v>45</v>
      </c>
      <c r="AV7" s="252">
        <v>46</v>
      </c>
      <c r="AW7" s="252">
        <v>49</v>
      </c>
      <c r="AX7" s="252">
        <v>52</v>
      </c>
      <c r="AY7" s="252">
        <v>53</v>
      </c>
      <c r="AZ7" s="252">
        <v>55</v>
      </c>
      <c r="BA7" s="252">
        <v>54</v>
      </c>
      <c r="BB7" s="252">
        <v>52</v>
      </c>
      <c r="BC7" s="252">
        <v>53</v>
      </c>
      <c r="BD7" s="252">
        <v>54</v>
      </c>
      <c r="BE7" s="252">
        <v>52</v>
      </c>
      <c r="BF7" s="252">
        <v>57</v>
      </c>
      <c r="BG7" s="252">
        <v>57</v>
      </c>
      <c r="BH7" s="252">
        <v>58</v>
      </c>
      <c r="BI7" s="252">
        <v>58</v>
      </c>
      <c r="BJ7" s="252">
        <v>61</v>
      </c>
      <c r="BK7" s="252">
        <v>61</v>
      </c>
      <c r="BL7" s="252">
        <v>61</v>
      </c>
      <c r="BM7" s="252">
        <v>61</v>
      </c>
      <c r="BN7" s="252">
        <v>61</v>
      </c>
      <c r="BO7" s="252">
        <v>57</v>
      </c>
      <c r="BP7" s="252">
        <v>58</v>
      </c>
      <c r="BQ7" s="252">
        <v>68</v>
      </c>
      <c r="BR7" s="252">
        <v>70</v>
      </c>
      <c r="BS7" s="252">
        <v>71</v>
      </c>
      <c r="BT7" s="252">
        <v>72</v>
      </c>
      <c r="BU7" s="252">
        <v>73</v>
      </c>
      <c r="BV7" s="252">
        <v>74</v>
      </c>
      <c r="BW7" s="252">
        <v>75</v>
      </c>
      <c r="BX7" s="252">
        <v>79</v>
      </c>
      <c r="BY7" s="252">
        <v>81</v>
      </c>
      <c r="BZ7" s="252">
        <v>82</v>
      </c>
      <c r="CA7" s="252">
        <v>83</v>
      </c>
      <c r="CB7" s="252">
        <v>84</v>
      </c>
      <c r="CC7" s="252">
        <v>68</v>
      </c>
      <c r="CD7" s="252">
        <v>70</v>
      </c>
      <c r="CE7" s="252">
        <v>71</v>
      </c>
      <c r="CF7" s="252">
        <v>72</v>
      </c>
      <c r="CG7" s="252">
        <v>73</v>
      </c>
      <c r="CH7" s="252">
        <v>74</v>
      </c>
      <c r="CI7" s="252">
        <v>75</v>
      </c>
      <c r="CJ7" s="252">
        <v>79</v>
      </c>
      <c r="CK7" s="252">
        <v>80</v>
      </c>
      <c r="CL7" s="252">
        <v>81</v>
      </c>
      <c r="CM7" s="252">
        <v>82</v>
      </c>
      <c r="CN7" s="252">
        <v>83</v>
      </c>
      <c r="CO7" s="252">
        <v>84</v>
      </c>
      <c r="CP7" s="252">
        <v>89</v>
      </c>
      <c r="CQ7" s="252">
        <v>90</v>
      </c>
      <c r="CR7" s="252">
        <v>94</v>
      </c>
      <c r="CS7" s="252"/>
      <c r="CT7" s="252"/>
      <c r="CU7" s="252">
        <v>98</v>
      </c>
      <c r="CV7" s="252">
        <v>99</v>
      </c>
      <c r="CW7" s="252">
        <v>97</v>
      </c>
      <c r="CX7" s="252"/>
      <c r="CY7" s="252">
        <v>96</v>
      </c>
      <c r="CZ7" s="252">
        <v>101</v>
      </c>
      <c r="DA7" s="252">
        <v>107</v>
      </c>
      <c r="DB7" s="252">
        <v>109</v>
      </c>
      <c r="DC7" s="252">
        <v>110</v>
      </c>
      <c r="DD7" s="252">
        <v>113</v>
      </c>
      <c r="DE7" s="252">
        <v>114</v>
      </c>
      <c r="DF7" s="252">
        <v>115</v>
      </c>
      <c r="DG7" s="252">
        <v>116</v>
      </c>
      <c r="DH7" s="252">
        <v>106</v>
      </c>
      <c r="DI7" s="252">
        <v>108</v>
      </c>
      <c r="DJ7" s="252">
        <v>120</v>
      </c>
      <c r="DK7" s="252">
        <v>121</v>
      </c>
      <c r="DL7" s="252">
        <v>94</v>
      </c>
      <c r="DM7" s="252"/>
      <c r="DN7" s="252"/>
      <c r="DO7" s="252">
        <v>98</v>
      </c>
      <c r="DP7" s="252">
        <v>99</v>
      </c>
      <c r="DQ7" s="252">
        <v>97</v>
      </c>
      <c r="DR7" s="252"/>
      <c r="DS7" s="252">
        <v>96</v>
      </c>
      <c r="DT7" s="252">
        <v>101</v>
      </c>
      <c r="DU7" s="252">
        <v>107</v>
      </c>
      <c r="DV7" s="252">
        <v>108</v>
      </c>
      <c r="DW7" s="252">
        <v>109</v>
      </c>
      <c r="DX7" s="252">
        <v>110</v>
      </c>
      <c r="DY7" s="252">
        <v>113</v>
      </c>
      <c r="DZ7" s="252">
        <v>114</v>
      </c>
      <c r="EA7" s="252">
        <v>115</v>
      </c>
      <c r="EB7" s="252">
        <v>116</v>
      </c>
      <c r="EC7" s="252">
        <v>106</v>
      </c>
      <c r="ED7" s="252">
        <v>108</v>
      </c>
      <c r="EE7" s="252">
        <v>120</v>
      </c>
      <c r="EF7" s="252">
        <v>121</v>
      </c>
      <c r="EG7" s="252">
        <v>125</v>
      </c>
      <c r="EH7" s="252"/>
      <c r="EI7" s="252"/>
      <c r="EJ7" s="252"/>
      <c r="EK7" s="252"/>
      <c r="EX7" s="252"/>
      <c r="EY7" s="252"/>
      <c r="EZ7" s="252"/>
      <c r="FB7" s="74" t="s">
        <v>433</v>
      </c>
      <c r="FE7" s="74" t="s">
        <v>596</v>
      </c>
      <c r="FF7" s="74" t="s">
        <v>596</v>
      </c>
      <c r="FG7" s="74" t="s">
        <v>596</v>
      </c>
      <c r="FH7" s="74" t="s">
        <v>592</v>
      </c>
      <c r="FI7" s="74" t="s">
        <v>592</v>
      </c>
      <c r="FJ7" s="74" t="s">
        <v>592</v>
      </c>
      <c r="FK7" s="74" t="s">
        <v>592</v>
      </c>
      <c r="FL7" s="74" t="s">
        <v>615</v>
      </c>
      <c r="FM7" s="74" t="s">
        <v>615</v>
      </c>
      <c r="FN7" s="74" t="s">
        <v>615</v>
      </c>
      <c r="FO7" s="74" t="s">
        <v>615</v>
      </c>
      <c r="FP7" s="74" t="s">
        <v>615</v>
      </c>
      <c r="FQ7" s="74" t="s">
        <v>625</v>
      </c>
      <c r="FR7" s="74" t="s">
        <v>625</v>
      </c>
      <c r="FS7" s="74" t="s">
        <v>625</v>
      </c>
      <c r="FT7" s="74" t="s">
        <v>625</v>
      </c>
      <c r="FU7" s="74" t="s">
        <v>625</v>
      </c>
    </row>
    <row r="8" spans="1:177" ht="48" customHeight="1" x14ac:dyDescent="0.35">
      <c r="A8" s="55"/>
      <c r="B8" s="55"/>
      <c r="C8" s="255" t="s">
        <v>576</v>
      </c>
      <c r="D8" s="55" t="str">
        <f t="shared" ref="D8:AV8" ca="1" si="182">+VLOOKUP(D$6,INDIRECT($C11&amp;$C$8),D$3,FALSE)</f>
        <v>Período</v>
      </c>
      <c r="E8" s="55" t="str">
        <f ca="1">+VLOOKUP(E$6,INDIRECT($C11&amp;$C$8),E$3,FALSE)</f>
        <v>Empresa/CUIC</v>
      </c>
      <c r="F8" s="55" t="str">
        <f t="shared" ca="1" si="182"/>
        <v>Establecimiento</v>
      </c>
      <c r="G8" s="55" t="str">
        <f t="shared" ca="1" si="182"/>
        <v>CREA</v>
      </c>
      <c r="H8" s="55" t="str">
        <f t="shared" ca="1" si="182"/>
        <v>Región</v>
      </c>
      <c r="I8" s="55" t="str">
        <f t="shared" ca="1" si="182"/>
        <v>Modelo Productivo</v>
      </c>
      <c r="J8" s="55" t="str">
        <f t="shared" ca="1" si="182"/>
        <v>Otro</v>
      </c>
      <c r="K8" s="55" t="str">
        <f t="shared" ca="1" si="182"/>
        <v>Georreferencia del establecimiento</v>
      </c>
      <c r="L8" s="55">
        <f t="shared" ca="1" si="182"/>
        <v>0</v>
      </c>
      <c r="M8" s="55" t="str">
        <f t="shared" ca="1" si="182"/>
        <v>Sup. total de la unidad de producción</v>
      </c>
      <c r="N8" s="55" t="str">
        <f t="shared" ca="1" si="182"/>
        <v>Sup. en agricultura</v>
      </c>
      <c r="O8" s="55" t="str">
        <f t="shared" ca="1" si="182"/>
        <v xml:space="preserve">Superficie campo natural limpio  </v>
      </c>
      <c r="P8" s="55" t="str">
        <f t="shared" ca="1" si="182"/>
        <v>Superficie de monte</v>
      </c>
      <c r="Q8" s="55" t="str">
        <f t="shared" ca="1" si="182"/>
        <v>Sup. praderas en producción</v>
      </c>
      <c r="R8" s="55" t="str">
        <f t="shared" ca="1" si="182"/>
        <v>Sup. praderas en implantación</v>
      </c>
      <c r="S8" s="55">
        <f t="shared" ca="1" si="182"/>
        <v>0</v>
      </c>
      <c r="T8" s="55">
        <f t="shared" ca="1" si="182"/>
        <v>0</v>
      </c>
      <c r="U8" s="55" t="str">
        <f t="shared" ref="U8:AC8" ca="1" si="183">+VLOOKUP(U$6,INDIRECT($C11&amp;$C$8),U$3,FALSE)</f>
        <v xml:space="preserve">Sup. sembrada con verdeos de invierno  </v>
      </c>
      <c r="V8" s="55" t="str">
        <f t="shared" ca="1" si="183"/>
        <v/>
      </c>
      <c r="W8" s="55" t="str">
        <f t="shared" ca="1" si="183"/>
        <v xml:space="preserve">Sup. sembrada con verdeos verano y diferidos </v>
      </c>
      <c r="X8" s="55" t="str">
        <f t="shared" ca="1" si="183"/>
        <v/>
      </c>
      <c r="Y8" s="55" t="str">
        <f t="shared" ca="1" si="183"/>
        <v xml:space="preserve">Superficie rastrojos y otros  </v>
      </c>
      <c r="Z8" s="55" t="str">
        <f t="shared" ca="1" si="183"/>
        <v/>
      </c>
      <c r="AA8" s="55" t="str">
        <f t="shared" ca="1" si="183"/>
        <v>ha efecivas para verdeo de invierno de acuerdo al tiempo de ocupación</v>
      </c>
      <c r="AB8" s="55" t="str">
        <f t="shared" ca="1" si="183"/>
        <v>ha efecivas para verdeo de verano de acuerdo al tiempo de ocupación</v>
      </c>
      <c r="AC8" s="55" t="str">
        <f t="shared" ca="1" si="183"/>
        <v>ha efecivas para rastrojos y otros de acuerdo al tiempo de ocupación</v>
      </c>
      <c r="AD8" s="55" t="str">
        <f ca="1">+VLOOKUP(AD$6,INDIRECT($C11&amp;$C$8),AD$3,FALSE)</f>
        <v>Superficie en ganadería</v>
      </c>
      <c r="AE8" s="55" t="str">
        <f t="shared" ref="AE8:AR8" ca="1" si="184">+VLOOKUP(AE$6,INDIRECT($C11&amp;$C$8),AE$3,FALSE)</f>
        <v>% de la sup. en ganadería con aptitud agrícla</v>
      </c>
      <c r="AF8" s="55" t="str">
        <f t="shared" ca="1" si="184"/>
        <v>Valor promedio de la ha de ocupada para ganadería</v>
      </c>
      <c r="AG8" s="55" t="str">
        <f t="shared" ca="1" si="184"/>
        <v>Inventario inicial</v>
      </c>
      <c r="AH8" s="55" t="str">
        <f t="shared" ca="1" si="184"/>
        <v xml:space="preserve">Inventario final </v>
      </c>
      <c r="AI8" s="55" t="str">
        <f t="shared" ca="1" si="184"/>
        <v xml:space="preserve">Producción de Carne </v>
      </c>
      <c r="AJ8" s="55" t="str">
        <f t="shared" ca="1" si="184"/>
        <v xml:space="preserve">Mortandad </v>
      </c>
      <c r="AK8" s="55" t="str">
        <f t="shared" ca="1" si="184"/>
        <v>Carga media</v>
      </c>
      <c r="AL8" s="55" t="str">
        <f t="shared" ca="1" si="184"/>
        <v>Carga media</v>
      </c>
      <c r="AM8" s="55" t="str">
        <f t="shared" ca="1" si="184"/>
        <v>Personal operativo asignado a ganadería</v>
      </c>
      <c r="AN8" s="55" t="str">
        <f t="shared" ca="1" si="184"/>
        <v>Prod. de Carne kg/ha. Año</v>
      </c>
      <c r="AO8" s="55" t="str">
        <f t="shared" ca="1" si="184"/>
        <v>Prod. de Carne Cab/Año</v>
      </c>
      <c r="AP8" s="55" t="str">
        <f t="shared" ca="1" si="184"/>
        <v>Carga media Kg/Ha</v>
      </c>
      <c r="AQ8" s="55" t="str">
        <f t="shared" ca="1" si="184"/>
        <v>Eficiencia de stock</v>
      </c>
      <c r="AR8" s="55" t="str">
        <f t="shared" ca="1" si="184"/>
        <v>Kg producidos por persona</v>
      </c>
      <c r="AS8" s="55" t="str">
        <f t="shared" ca="1" si="182"/>
        <v>% preñez de vacas '17 (servicio '16)</v>
      </c>
      <c r="AT8" s="55" t="str">
        <f t="shared" ca="1" si="182"/>
        <v>Vacas en servicio '16</v>
      </c>
      <c r="AU8" s="55" t="str">
        <f t="shared" ca="1" si="182"/>
        <v>% preñez vaq de 1° (servicio '16)</v>
      </c>
      <c r="AV8" s="55" t="str">
        <f t="shared" ca="1" si="182"/>
        <v>Vaquillonas de 1° (servicio '16)</v>
      </c>
      <c r="AW8" s="55" t="str">
        <f ca="1">+VLOOKUP(AW$7,INDIRECT($C11&amp;$C$8),AW$3,FALSE)</f>
        <v>% preñez rodeo de cría '17 (servicio '16)</v>
      </c>
      <c r="AX8" s="55" t="str">
        <f ca="1">+VLOOKUP(AX$7,INDIRECT($C11&amp;$C$8),AX$3,FALSE)</f>
        <v xml:space="preserve">% destete  de rodeo de cría (servicio '15) </v>
      </c>
      <c r="AY8" s="55" t="str">
        <f t="shared" ref="AY8:CD8" ca="1" si="185">+VLOOKUP(AY$6,INDIRECT($C11&amp;$C$8),AY$3,FALSE)</f>
        <v>% preñez rodeo de cría (servicio '15)</v>
      </c>
      <c r="AZ8" s="55" t="str">
        <f t="shared" ca="1" si="185"/>
        <v>Número de cabezas en servicio '15</v>
      </c>
      <c r="BA8" s="394" t="str">
        <f t="shared" ca="1" si="185"/>
        <v>Número de cabezas paridas (servicio '15)</v>
      </c>
      <c r="BB8" s="55" t="str">
        <f t="shared" ca="1" si="185"/>
        <v>¿% del rodeo en IA en vacas? (servicio '15)</v>
      </c>
      <c r="BC8" s="55" t="str">
        <f t="shared" ca="1" si="185"/>
        <v>Edad al primer servicio</v>
      </c>
      <c r="BD8" s="55" t="str">
        <f t="shared" ca="1" si="185"/>
        <v>¿% del rodeo en IA en vaquillonas? (servicio '15)</v>
      </c>
      <c r="BE8" s="55" t="str">
        <f t="shared" ca="1" si="185"/>
        <v>¿% del rodeo en IA en vacas? (servicio '15)</v>
      </c>
      <c r="BF8" s="55" t="str">
        <f t="shared" ca="1" si="185"/>
        <v>Fecha de inicio</v>
      </c>
      <c r="BG8" s="55" t="str">
        <f t="shared" ca="1" si="185"/>
        <v>Duración</v>
      </c>
      <c r="BH8" s="55" t="str">
        <f t="shared" ca="1" si="185"/>
        <v>Fecha de inicio</v>
      </c>
      <c r="BI8" s="55" t="str">
        <f t="shared" ca="1" si="185"/>
        <v>Duración</v>
      </c>
      <c r="BJ8" s="55" t="str">
        <f t="shared" ca="1" si="185"/>
        <v>Grano</v>
      </c>
      <c r="BK8" s="55" t="str">
        <f t="shared" ca="1" si="185"/>
        <v xml:space="preserve">Silo </v>
      </c>
      <c r="BL8" s="55" t="str">
        <f t="shared" ca="1" si="185"/>
        <v>Heno</v>
      </c>
      <c r="BM8" s="55" t="str">
        <f t="shared" ca="1" si="185"/>
        <v>Supl. Mineral</v>
      </c>
      <c r="BN8" s="55" t="str">
        <f t="shared" ca="1" si="185"/>
        <v>Supl. Proteica</v>
      </c>
      <c r="BO8" s="55" t="str">
        <f t="shared" ref="BO8:BP8" ca="1" si="186">+VLOOKUP(BO$6,INDIRECT($C11&amp;$C$8),BO$3,FALSE)</f>
        <v>Peso medio del destete</v>
      </c>
      <c r="BP8" s="55" t="str">
        <f t="shared" ca="1" si="186"/>
        <v>Edad media al destete</v>
      </c>
      <c r="BQ8" s="394" t="str">
        <f t="shared" ca="1" si="185"/>
        <v xml:space="preserve">Producción de Carne </v>
      </c>
      <c r="BR8" s="271" t="str">
        <f t="shared" ca="1" si="185"/>
        <v>Carga media</v>
      </c>
      <c r="BS8" s="271" t="str">
        <f t="shared" ca="1" si="185"/>
        <v>Carga media</v>
      </c>
      <c r="BT8" s="271" t="str">
        <f t="shared" ca="1" si="185"/>
        <v>Duración media</v>
      </c>
      <c r="BU8" s="271" t="str">
        <f t="shared" ca="1" si="185"/>
        <v xml:space="preserve">ADPV </v>
      </c>
      <c r="BV8" s="271" t="str">
        <f t="shared" ca="1" si="185"/>
        <v>Eficiencia de stock</v>
      </c>
      <c r="BW8" s="271" t="str">
        <f t="shared" ca="1" si="185"/>
        <v>Prod. de Carne kg/cab</v>
      </c>
      <c r="BX8" s="271" t="str">
        <f t="shared" ca="1" si="185"/>
        <v>Categoría</v>
      </c>
      <c r="BY8" s="271" t="str">
        <f t="shared" ca="1" si="185"/>
        <v>Peso entrada</v>
      </c>
      <c r="BZ8" s="271" t="str">
        <f t="shared" ca="1" si="185"/>
        <v>Peso de salida</v>
      </c>
      <c r="CA8" s="271" t="str">
        <f t="shared" ca="1" si="185"/>
        <v>Ppal recurso forrajero</v>
      </c>
      <c r="CB8" s="271" t="str">
        <f t="shared" ca="1" si="185"/>
        <v>Suplementación energética</v>
      </c>
      <c r="CC8" s="273" t="str">
        <f t="shared" ca="1" si="185"/>
        <v xml:space="preserve">Producción de Carne </v>
      </c>
      <c r="CD8" s="273" t="str">
        <f t="shared" ca="1" si="185"/>
        <v>Carga media</v>
      </c>
      <c r="CE8" s="273" t="str">
        <f t="shared" ref="CE8" ca="1" si="187">+VLOOKUP(CE$6,INDIRECT($C11&amp;$C$8),CE$3,FALSE)</f>
        <v>Carga media</v>
      </c>
      <c r="CF8" s="273" t="str">
        <f t="shared" ref="CF8:DJ8" ca="1" si="188">+VLOOKUP(CF$6,INDIRECT($C11&amp;$C$8),CF$3,FALSE)</f>
        <v>Duración media</v>
      </c>
      <c r="CG8" s="273" t="str">
        <f t="shared" ca="1" si="188"/>
        <v xml:space="preserve">ADPV </v>
      </c>
      <c r="CH8" s="273" t="str">
        <f t="shared" ca="1" si="188"/>
        <v>Eficiencia de stock</v>
      </c>
      <c r="CI8" s="273" t="str">
        <f t="shared" ca="1" si="188"/>
        <v>Prod. de Carne kg/cab</v>
      </c>
      <c r="CJ8" s="273" t="str">
        <f t="shared" ca="1" si="188"/>
        <v>Categoría</v>
      </c>
      <c r="CK8" s="273" t="str">
        <f t="shared" ca="1" si="188"/>
        <v>¿Engorde vacas?</v>
      </c>
      <c r="CL8" s="273" t="str">
        <f t="shared" ca="1" si="188"/>
        <v>Peso entrada</v>
      </c>
      <c r="CM8" s="273" t="str">
        <f t="shared" ca="1" si="188"/>
        <v>Peso de salida</v>
      </c>
      <c r="CN8" s="273" t="str">
        <f t="shared" ca="1" si="188"/>
        <v>Ppal recurso forrajero</v>
      </c>
      <c r="CO8" s="273" t="str">
        <f t="shared" ca="1" si="188"/>
        <v>Suplementación energética</v>
      </c>
      <c r="CP8" s="55" t="str">
        <f t="shared" ca="1" si="188"/>
        <v>Capacidad de corrales</v>
      </c>
      <c r="CQ8" s="55" t="str">
        <f t="shared" ca="1" si="188"/>
        <v>Personal operativo</v>
      </c>
      <c r="CR8" s="55" t="str">
        <f t="shared" ca="1" si="188"/>
        <v>Producción Total</v>
      </c>
      <c r="CS8" s="395"/>
      <c r="CT8" s="395"/>
      <c r="CU8" s="55" t="str">
        <f t="shared" ca="1" si="188"/>
        <v>Duración media</v>
      </c>
      <c r="CV8" s="55" t="str">
        <f t="shared" ca="1" si="188"/>
        <v>Kg MS totales ofrecidos</v>
      </c>
      <c r="CW8" s="55" t="str">
        <f t="shared" ca="1" si="188"/>
        <v>ADPV promedio del ciclo</v>
      </c>
      <c r="CX8" s="395"/>
      <c r="CY8" s="55" t="s">
        <v>655</v>
      </c>
      <c r="CZ8" s="55" t="str">
        <f t="shared" ca="1" si="188"/>
        <v>Índice de conversión</v>
      </c>
      <c r="DA8" s="55" t="str">
        <f t="shared" ca="1" si="188"/>
        <v>Categoría</v>
      </c>
      <c r="DB8" s="55" t="str">
        <f t="shared" ca="1" si="188"/>
        <v>Peso entrada</v>
      </c>
      <c r="DC8" s="55" t="str">
        <f t="shared" ca="1" si="188"/>
        <v>Peso de salida</v>
      </c>
      <c r="DD8" s="55" t="str">
        <f t="shared" ca="1" si="188"/>
        <v xml:space="preserve">Granos </v>
      </c>
      <c r="DE8" s="55" t="str">
        <f t="shared" ca="1" si="188"/>
        <v xml:space="preserve">Concentrado Comercial </v>
      </c>
      <c r="DF8" s="55" t="str">
        <f t="shared" ca="1" si="188"/>
        <v xml:space="preserve">Silos </v>
      </c>
      <c r="DG8" s="55" t="str">
        <f ca="1">+VLOOKUP(DG$6,INDIRECT($C11&amp;$C$8),DG$3,FALSE)</f>
        <v xml:space="preserve">Rollos </v>
      </c>
      <c r="DH8" s="55" t="str">
        <f ca="1">+VLOOKUP(DH$6,INDIRECT($C11&amp;$C$8),DH$3,FALSE)</f>
        <v>Pellets</v>
      </c>
      <c r="DI8" s="55" t="str">
        <f t="shared" ca="1" si="188"/>
        <v xml:space="preserve">Otros </v>
      </c>
      <c r="DJ8" s="55" t="str">
        <f t="shared" ca="1" si="188"/>
        <v>% de la producción de la recría a corral</v>
      </c>
      <c r="DK8" s="55" t="str">
        <f t="shared" ref="DK8:DV8" ca="1" si="189">+VLOOKUP(DK$6,INDIRECT($C11&amp;$C$8),DK$3,FALSE)</f>
        <v>% de cabezas con recría a corral</v>
      </c>
      <c r="DL8" s="289" t="str">
        <f t="shared" ca="1" si="189"/>
        <v xml:space="preserve">Producción de Carne </v>
      </c>
      <c r="DM8" s="395"/>
      <c r="DN8" s="395"/>
      <c r="DO8" s="289" t="str">
        <f ca="1">+VLOOKUP(DO$6,INDIRECT($C11&amp;$C$8),DO$3,FALSE)</f>
        <v>Duración media</v>
      </c>
      <c r="DP8" s="289" t="str">
        <f t="shared" ca="1" si="189"/>
        <v>Kg MS totales ofrecidos</v>
      </c>
      <c r="DQ8" s="289" t="str">
        <f t="shared" ca="1" si="189"/>
        <v>ADPV promedio del ciclo</v>
      </c>
      <c r="DR8" s="395"/>
      <c r="DS8" s="289" t="str">
        <f t="shared" ca="1" si="189"/>
        <v>Prod. de Carne kg/cab</v>
      </c>
      <c r="DT8" s="289" t="str">
        <f t="shared" ca="1" si="189"/>
        <v>Índice de conversión</v>
      </c>
      <c r="DU8" s="289" t="str">
        <f t="shared" ca="1" si="189"/>
        <v>Categoría</v>
      </c>
      <c r="DV8" s="289" t="str">
        <f t="shared" ca="1" si="189"/>
        <v>¿Engorde vacas?</v>
      </c>
      <c r="DW8" s="289" t="str">
        <f ca="1">+VLOOKUP(DW$6,INDIRECT($C11&amp;$C$8),DW$3,FALSE)</f>
        <v>Peso entrada</v>
      </c>
      <c r="DX8" s="289" t="str">
        <f ca="1">+VLOOKUP(DX$6,INDIRECT($C11&amp;$C$8),DX$3,FALSE)</f>
        <v>Peso de salida</v>
      </c>
      <c r="DY8" s="289" t="str">
        <f ca="1">+VLOOKUP(DY$6,INDIRECT($C11&amp;$C$8),DY$3,FALSE)</f>
        <v xml:space="preserve">Granos </v>
      </c>
      <c r="DZ8" s="289" t="str">
        <f t="shared" ref="DZ8:EG8" ca="1" si="190">+VLOOKUP(DZ$6,INDIRECT($C11&amp;$C$8),DZ$3,FALSE)</f>
        <v xml:space="preserve">Concentrado Comercial </v>
      </c>
      <c r="EA8" s="289" t="str">
        <f t="shared" ca="1" si="190"/>
        <v xml:space="preserve">Silos </v>
      </c>
      <c r="EB8" s="289" t="str">
        <f t="shared" ca="1" si="190"/>
        <v xml:space="preserve">Rollos </v>
      </c>
      <c r="EC8" s="289" t="str">
        <f t="shared" ca="1" si="190"/>
        <v>Pellets</v>
      </c>
      <c r="ED8" s="289" t="str">
        <f t="shared" ca="1" si="190"/>
        <v xml:space="preserve">Otros </v>
      </c>
      <c r="EE8" s="289" t="str">
        <f t="shared" ca="1" si="190"/>
        <v>% de la producción terminada a corral</v>
      </c>
      <c r="EF8" s="289" t="str">
        <f t="shared" ca="1" si="190"/>
        <v>% de cabezas terminadas a corral</v>
      </c>
      <c r="EG8" s="289" t="str">
        <f t="shared" ca="1" si="190"/>
        <v>Notas</v>
      </c>
      <c r="EH8" s="289"/>
      <c r="EI8" s="289"/>
      <c r="EJ8" s="289"/>
      <c r="EK8" s="289"/>
      <c r="EL8" s="54"/>
      <c r="EM8" s="54"/>
      <c r="EN8" s="54"/>
      <c r="EO8" s="54"/>
      <c r="EP8" s="54"/>
      <c r="EQ8" s="54"/>
      <c r="ER8" s="54"/>
      <c r="ES8" s="54"/>
      <c r="EX8" s="55" t="s">
        <v>438</v>
      </c>
      <c r="EY8" s="55" t="s">
        <v>273</v>
      </c>
      <c r="EZ8" s="55" t="s">
        <v>274</v>
      </c>
      <c r="FA8" s="55" t="s">
        <v>284</v>
      </c>
      <c r="FB8" s="55" t="s">
        <v>188</v>
      </c>
      <c r="FC8" s="55" t="s">
        <v>580</v>
      </c>
      <c r="FD8" s="271" t="s">
        <v>604</v>
      </c>
      <c r="FE8" s="271" t="s">
        <v>603</v>
      </c>
      <c r="FF8" s="271" t="s">
        <v>598</v>
      </c>
      <c r="FG8" s="271" t="s">
        <v>599</v>
      </c>
      <c r="FH8" s="273" t="s">
        <v>607</v>
      </c>
      <c r="FI8" s="273" t="s">
        <v>609</v>
      </c>
      <c r="FJ8" s="273" t="s">
        <v>611</v>
      </c>
      <c r="FK8" s="273" t="s">
        <v>610</v>
      </c>
      <c r="FL8" s="271" t="s">
        <v>616</v>
      </c>
      <c r="FM8" s="271" t="s">
        <v>617</v>
      </c>
      <c r="FN8" s="271" t="s">
        <v>618</v>
      </c>
      <c r="FO8" s="271" t="s">
        <v>619</v>
      </c>
      <c r="FP8" s="271" t="s">
        <v>623</v>
      </c>
      <c r="FQ8" s="273" t="s">
        <v>624</v>
      </c>
      <c r="FR8" s="273" t="s">
        <v>627</v>
      </c>
      <c r="FS8" s="273" t="s">
        <v>628</v>
      </c>
      <c r="FT8" s="273" t="s">
        <v>629</v>
      </c>
      <c r="FU8" s="273" t="s">
        <v>630</v>
      </c>
    </row>
    <row r="9" spans="1:177" s="62" customFormat="1" ht="9.75" customHeight="1" x14ac:dyDescent="0.35">
      <c r="D9" s="63" t="str">
        <f ca="1">+"Consolidado!"&amp;D$10&amp;ROW($D$11)&amp;":"&amp;D$10&amp;ROW($D$11)+COUNTA(D$11:D$300)-1</f>
        <v>Consolidado!D11:D25</v>
      </c>
      <c r="E9" s="63" t="str">
        <f t="shared" ref="E9:BP9" ca="1" si="191">+"Consolidado!"&amp;E$10&amp;ROW($D$11)&amp;":"&amp;E$10&amp;ROW($D$11)+COUNTA(E$11:E$300)-1</f>
        <v>Consolidado!E11:E25</v>
      </c>
      <c r="F9" s="63" t="str">
        <f t="shared" ca="1" si="191"/>
        <v>Consolidado!F11:F25</v>
      </c>
      <c r="G9" s="63" t="str">
        <f t="shared" ca="1" si="191"/>
        <v>Consolidado!G11:G25</v>
      </c>
      <c r="H9" s="63" t="str">
        <f t="shared" ca="1" si="191"/>
        <v>Consolidado!H11:H25</v>
      </c>
      <c r="I9" s="63" t="str">
        <f t="shared" ca="1" si="191"/>
        <v>Consolidado!I11:I25</v>
      </c>
      <c r="J9" s="63" t="str">
        <f t="shared" ca="1" si="191"/>
        <v>Consolidado!J11:J25</v>
      </c>
      <c r="K9" s="63" t="str">
        <f t="shared" ca="1" si="191"/>
        <v>Consolidado!K11:K25</v>
      </c>
      <c r="L9" s="63" t="str">
        <f t="shared" ca="1" si="191"/>
        <v>Consolidado!L11:L25</v>
      </c>
      <c r="M9" s="63" t="str">
        <f t="shared" ca="1" si="191"/>
        <v>Consolidado!M11:M25</v>
      </c>
      <c r="N9" s="63" t="str">
        <f t="shared" ca="1" si="191"/>
        <v>Consolidado!N11:N25</v>
      </c>
      <c r="O9" s="63" t="str">
        <f t="shared" ca="1" si="191"/>
        <v>Consolidado!O11:O25</v>
      </c>
      <c r="P9" s="63" t="str">
        <f t="shared" ca="1" si="191"/>
        <v>Consolidado!P11:P25</v>
      </c>
      <c r="Q9" s="63" t="str">
        <f t="shared" ca="1" si="191"/>
        <v>Consolidado!Q11:Q25</v>
      </c>
      <c r="R9" s="63" t="str">
        <f t="shared" ca="1" si="191"/>
        <v>Consolidado!R11:R25</v>
      </c>
      <c r="S9" s="63" t="str">
        <f t="shared" ca="1" si="191"/>
        <v>Consolidado!S11:S25</v>
      </c>
      <c r="T9" s="63" t="str">
        <f t="shared" ca="1" si="191"/>
        <v>Consolidado!T11:T25</v>
      </c>
      <c r="U9" s="63" t="str">
        <f t="shared" ca="1" si="191"/>
        <v>Consolidado!U11:U25</v>
      </c>
      <c r="V9" s="63" t="str">
        <f t="shared" ca="1" si="191"/>
        <v>Consolidado!V11:V25</v>
      </c>
      <c r="W9" s="63" t="str">
        <f t="shared" ca="1" si="191"/>
        <v>Consolidado!W11:W25</v>
      </c>
      <c r="X9" s="63" t="str">
        <f t="shared" ca="1" si="191"/>
        <v>Consolidado!X11:X25</v>
      </c>
      <c r="Y9" s="63" t="str">
        <f t="shared" ca="1" si="191"/>
        <v>Consolidado!Y11:Y25</v>
      </c>
      <c r="Z9" s="63" t="str">
        <f t="shared" ca="1" si="191"/>
        <v>Consolidado!Z11:Z25</v>
      </c>
      <c r="AA9" s="63" t="str">
        <f t="shared" ca="1" si="191"/>
        <v>Consolidado!AA11:AA25</v>
      </c>
      <c r="AB9" s="63" t="str">
        <f t="shared" ca="1" si="191"/>
        <v>Consolidado!AB11:AB25</v>
      </c>
      <c r="AC9" s="63" t="str">
        <f t="shared" ca="1" si="191"/>
        <v>Consolidado!AC11:AC25</v>
      </c>
      <c r="AD9" s="63" t="str">
        <f t="shared" ca="1" si="191"/>
        <v>Consolidado!AD11:AD25</v>
      </c>
      <c r="AE9" s="63" t="str">
        <f t="shared" ca="1" si="191"/>
        <v>Consolidado!AE11:AE25</v>
      </c>
      <c r="AF9" s="63" t="str">
        <f t="shared" ca="1" si="191"/>
        <v>Consolidado!AF11:AF25</v>
      </c>
      <c r="AG9" s="63" t="str">
        <f t="shared" ca="1" si="191"/>
        <v>Consolidado!AG11:AG25</v>
      </c>
      <c r="AH9" s="63" t="str">
        <f t="shared" ca="1" si="191"/>
        <v>Consolidado!AH11:AH25</v>
      </c>
      <c r="AI9" s="63" t="str">
        <f t="shared" ca="1" si="191"/>
        <v>Consolidado!AI11:AI25</v>
      </c>
      <c r="AJ9" s="63" t="str">
        <f t="shared" ca="1" si="191"/>
        <v>Consolidado!AJ11:AJ25</v>
      </c>
      <c r="AK9" s="63" t="str">
        <f t="shared" ca="1" si="191"/>
        <v>Consolidado!AK11:AK25</v>
      </c>
      <c r="AL9" s="63" t="str">
        <f t="shared" ca="1" si="191"/>
        <v>Consolidado!AL11:AL25</v>
      </c>
      <c r="AM9" s="63" t="str">
        <f t="shared" ca="1" si="191"/>
        <v>Consolidado!AM11:AM25</v>
      </c>
      <c r="AN9" s="63" t="str">
        <f t="shared" ca="1" si="191"/>
        <v>Consolidado!AN11:AN25</v>
      </c>
      <c r="AO9" s="63" t="str">
        <f t="shared" ca="1" si="191"/>
        <v>Consolidado!AO11:AO25</v>
      </c>
      <c r="AP9" s="63" t="str">
        <f t="shared" ca="1" si="191"/>
        <v>Consolidado!AP11:AP25</v>
      </c>
      <c r="AQ9" s="63" t="str">
        <f t="shared" ca="1" si="191"/>
        <v>Consolidado!AQ11:AQ25</v>
      </c>
      <c r="AR9" s="63" t="str">
        <f t="shared" ca="1" si="191"/>
        <v>Consolidado!AR11:AR25</v>
      </c>
      <c r="AS9" s="63" t="str">
        <f t="shared" ca="1" si="191"/>
        <v>Consolidado!AS11:AS25</v>
      </c>
      <c r="AT9" s="63" t="str">
        <f t="shared" ca="1" si="191"/>
        <v>Consolidado!AT11:AT25</v>
      </c>
      <c r="AU9" s="63" t="str">
        <f t="shared" ca="1" si="191"/>
        <v>Consolidado!AU11:AU25</v>
      </c>
      <c r="AV9" s="63" t="str">
        <f t="shared" ca="1" si="191"/>
        <v>Consolidado!AV11:AV25</v>
      </c>
      <c r="AW9" s="63" t="str">
        <f t="shared" ca="1" si="191"/>
        <v>Consolidado!AW11:AW25</v>
      </c>
      <c r="AX9" s="63" t="str">
        <f t="shared" ca="1" si="191"/>
        <v>Consolidado!AX11:AX25</v>
      </c>
      <c r="AY9" s="63" t="str">
        <f t="shared" ca="1" si="191"/>
        <v>Consolidado!AY11:AY25</v>
      </c>
      <c r="AZ9" s="63" t="str">
        <f t="shared" ca="1" si="191"/>
        <v>Consolidado!AZ11:AZ25</v>
      </c>
      <c r="BA9" s="63" t="str">
        <f t="shared" ca="1" si="191"/>
        <v>Consolidado!BA11:BA25</v>
      </c>
      <c r="BB9" s="63" t="str">
        <f t="shared" ca="1" si="191"/>
        <v>Consolidado!BB11:BB25</v>
      </c>
      <c r="BC9" s="63" t="str">
        <f t="shared" ca="1" si="191"/>
        <v>Consolidado!BC11:BC25</v>
      </c>
      <c r="BD9" s="63" t="str">
        <f t="shared" ca="1" si="191"/>
        <v>Consolidado!BD11:BD25</v>
      </c>
      <c r="BE9" s="63" t="str">
        <f t="shared" ca="1" si="191"/>
        <v>Consolidado!BE11:BE25</v>
      </c>
      <c r="BF9" s="63" t="str">
        <f t="shared" ca="1" si="191"/>
        <v>Consolidado!BF11:BF25</v>
      </c>
      <c r="BG9" s="63" t="str">
        <f t="shared" ca="1" si="191"/>
        <v>Consolidado!BG11:BG25</v>
      </c>
      <c r="BH9" s="63" t="str">
        <f t="shared" ca="1" si="191"/>
        <v>Consolidado!BH11:BH25</v>
      </c>
      <c r="BI9" s="63" t="str">
        <f t="shared" ca="1" si="191"/>
        <v>Consolidado!BI11:BI25</v>
      </c>
      <c r="BJ9" s="63" t="str">
        <f t="shared" ca="1" si="191"/>
        <v>Consolidado!BJ11:BJ25</v>
      </c>
      <c r="BK9" s="63" t="str">
        <f t="shared" ca="1" si="191"/>
        <v>Consolidado!BK11:BK25</v>
      </c>
      <c r="BL9" s="63" t="str">
        <f t="shared" ca="1" si="191"/>
        <v>Consolidado!BL11:BL25</v>
      </c>
      <c r="BM9" s="63" t="str">
        <f t="shared" ca="1" si="191"/>
        <v>Consolidado!BM11:BM25</v>
      </c>
      <c r="BN9" s="63" t="str">
        <f t="shared" ca="1" si="191"/>
        <v>Consolidado!BN11:BN25</v>
      </c>
      <c r="BO9" s="63" t="str">
        <f t="shared" ca="1" si="191"/>
        <v>Consolidado!BO11:BO25</v>
      </c>
      <c r="BP9" s="63" t="str">
        <f t="shared" ca="1" si="191"/>
        <v>Consolidado!BP11:BP25</v>
      </c>
      <c r="BQ9" s="63" t="str">
        <f t="shared" ref="BQ9:EB9" ca="1" si="192">+"Consolidado!"&amp;BQ$10&amp;ROW($D$11)&amp;":"&amp;BQ$10&amp;ROW($D$11)+COUNTA(BQ$11:BQ$300)-1</f>
        <v>Consolidado!BQ11:BQ25</v>
      </c>
      <c r="BR9" s="63" t="str">
        <f t="shared" ca="1" si="192"/>
        <v>Consolidado!BR11:BR25</v>
      </c>
      <c r="BS9" s="63" t="str">
        <f t="shared" ca="1" si="192"/>
        <v>Consolidado!BS11:BS25</v>
      </c>
      <c r="BT9" s="63" t="str">
        <f t="shared" ca="1" si="192"/>
        <v>Consolidado!BT11:BT25</v>
      </c>
      <c r="BU9" s="63" t="str">
        <f t="shared" ca="1" si="192"/>
        <v>Consolidado!BU11:BU25</v>
      </c>
      <c r="BV9" s="63" t="str">
        <f t="shared" ca="1" si="192"/>
        <v>Consolidado!BV11:BV25</v>
      </c>
      <c r="BW9" s="63" t="str">
        <f t="shared" ca="1" si="192"/>
        <v>Consolidado!BW11:BW25</v>
      </c>
      <c r="BX9" s="63" t="str">
        <f t="shared" ca="1" si="192"/>
        <v>Consolidado!BX11:BX25</v>
      </c>
      <c r="BY9" s="63" t="str">
        <f t="shared" ca="1" si="192"/>
        <v>Consolidado!BY11:BY25</v>
      </c>
      <c r="BZ9" s="63" t="str">
        <f t="shared" ca="1" si="192"/>
        <v>Consolidado!BZ11:BZ25</v>
      </c>
      <c r="CA9" s="63" t="str">
        <f t="shared" ca="1" si="192"/>
        <v>Consolidado!CA11:CA25</v>
      </c>
      <c r="CB9" s="63" t="str">
        <f t="shared" ca="1" si="192"/>
        <v>Consolidado!CB11:CB25</v>
      </c>
      <c r="CC9" s="63" t="str">
        <f t="shared" ca="1" si="192"/>
        <v>Consolidado!CC11:CC25</v>
      </c>
      <c r="CD9" s="63" t="str">
        <f t="shared" ca="1" si="192"/>
        <v>Consolidado!CD11:CD25</v>
      </c>
      <c r="CE9" s="63" t="str">
        <f t="shared" ca="1" si="192"/>
        <v>Consolidado!CE11:CE25</v>
      </c>
      <c r="CF9" s="63" t="str">
        <f t="shared" ca="1" si="192"/>
        <v>Consolidado!CF11:CF25</v>
      </c>
      <c r="CG9" s="63" t="str">
        <f t="shared" ca="1" si="192"/>
        <v>Consolidado!CG11:CG25</v>
      </c>
      <c r="CH9" s="63" t="str">
        <f t="shared" ca="1" si="192"/>
        <v>Consolidado!CH11:CH25</v>
      </c>
      <c r="CI9" s="63" t="str">
        <f t="shared" ca="1" si="192"/>
        <v>Consolidado!CI11:CI25</v>
      </c>
      <c r="CJ9" s="63" t="str">
        <f t="shared" ca="1" si="192"/>
        <v>Consolidado!CJ11:CJ25</v>
      </c>
      <c r="CK9" s="63" t="str">
        <f t="shared" ca="1" si="192"/>
        <v>Consolidado!CK11:CK25</v>
      </c>
      <c r="CL9" s="63" t="str">
        <f t="shared" ca="1" si="192"/>
        <v>Consolidado!CL11:CL25</v>
      </c>
      <c r="CM9" s="63" t="str">
        <f t="shared" ca="1" si="192"/>
        <v>Consolidado!CM11:CM25</v>
      </c>
      <c r="CN9" s="63" t="str">
        <f t="shared" ca="1" si="192"/>
        <v>Consolidado!CN11:CN25</v>
      </c>
      <c r="CO9" s="63" t="str">
        <f t="shared" ca="1" si="192"/>
        <v>Consolidado!CO11:CO25</v>
      </c>
      <c r="CP9" s="63" t="str">
        <f t="shared" ca="1" si="192"/>
        <v>Consolidado!CP11:CP25</v>
      </c>
      <c r="CQ9" s="63" t="str">
        <f t="shared" ca="1" si="192"/>
        <v>Consolidado!CQ11:CQ25</v>
      </c>
      <c r="CR9" s="63" t="str">
        <f t="shared" ca="1" si="192"/>
        <v>Consolidado!CR11:CR25</v>
      </c>
      <c r="CS9" s="63" t="str">
        <f t="shared" si="192"/>
        <v>Consolidado!CS11:CS10</v>
      </c>
      <c r="CT9" s="63" t="str">
        <f t="shared" si="192"/>
        <v>Consolidado!CT11:CT10</v>
      </c>
      <c r="CU9" s="63" t="str">
        <f t="shared" ca="1" si="192"/>
        <v>Consolidado!CU11:CU25</v>
      </c>
      <c r="CV9" s="63" t="str">
        <f t="shared" ca="1" si="192"/>
        <v>Consolidado!CV11:CV25</v>
      </c>
      <c r="CW9" s="63" t="str">
        <f t="shared" ca="1" si="192"/>
        <v>Consolidado!CW11:CW25</v>
      </c>
      <c r="CX9" s="63"/>
      <c r="CY9" s="63" t="str">
        <f t="shared" ca="1" si="192"/>
        <v>Consolidado!CY11:CY25</v>
      </c>
      <c r="CZ9" s="63" t="str">
        <f t="shared" ca="1" si="192"/>
        <v>Consolidado!CZ11:CZ25</v>
      </c>
      <c r="DA9" s="63" t="str">
        <f t="shared" ca="1" si="192"/>
        <v>Consolidado!DA11:DA25</v>
      </c>
      <c r="DB9" s="63" t="str">
        <f t="shared" ca="1" si="192"/>
        <v>Consolidado!DB11:DB25</v>
      </c>
      <c r="DC9" s="63" t="str">
        <f t="shared" ca="1" si="192"/>
        <v>Consolidado!DC11:DC25</v>
      </c>
      <c r="DD9" s="63" t="str">
        <f t="shared" ca="1" si="192"/>
        <v>Consolidado!DD11:DD25</v>
      </c>
      <c r="DE9" s="63" t="str">
        <f t="shared" ca="1" si="192"/>
        <v>Consolidado!DE11:DE25</v>
      </c>
      <c r="DF9" s="63" t="str">
        <f t="shared" ca="1" si="192"/>
        <v>Consolidado!DF11:DF25</v>
      </c>
      <c r="DG9" s="63" t="str">
        <f t="shared" ca="1" si="192"/>
        <v>Consolidado!DG11:DG25</v>
      </c>
      <c r="DH9" s="63" t="str">
        <f t="shared" ca="1" si="192"/>
        <v>Consolidado!DH11:DH25</v>
      </c>
      <c r="DI9" s="63" t="str">
        <f t="shared" ca="1" si="192"/>
        <v>Consolidado!DI11:DI25</v>
      </c>
      <c r="DJ9" s="63" t="str">
        <f t="shared" ca="1" si="192"/>
        <v>Consolidado!DJ11:DJ25</v>
      </c>
      <c r="DK9" s="63" t="str">
        <f t="shared" ca="1" si="192"/>
        <v>Consolidado!DK11:DK25</v>
      </c>
      <c r="DL9" s="63" t="str">
        <f t="shared" ca="1" si="192"/>
        <v>Consolidado!DL11:DL25</v>
      </c>
      <c r="DM9" s="63" t="str">
        <f t="shared" si="192"/>
        <v>Consolidado!DM11:DM10</v>
      </c>
      <c r="DN9" s="63" t="str">
        <f t="shared" si="192"/>
        <v>Consolidado!DN11:DN10</v>
      </c>
      <c r="DO9" s="63" t="str">
        <f t="shared" ca="1" si="192"/>
        <v>Consolidado!DO11:DO25</v>
      </c>
      <c r="DP9" s="63" t="str">
        <f t="shared" ca="1" si="192"/>
        <v>Consolidado!DP11:DP25</v>
      </c>
      <c r="DQ9" s="63" t="str">
        <f t="shared" ca="1" si="192"/>
        <v>Consolidado!DQ11:DQ25</v>
      </c>
      <c r="DR9" s="63" t="str">
        <f t="shared" si="192"/>
        <v>Consolidado!DR11:DR10</v>
      </c>
      <c r="DS9" s="63" t="str">
        <f t="shared" ca="1" si="192"/>
        <v>Consolidado!DS11:DS25</v>
      </c>
      <c r="DT9" s="63" t="str">
        <f t="shared" ca="1" si="192"/>
        <v>Consolidado!DT11:DT25</v>
      </c>
      <c r="DU9" s="63" t="str">
        <f t="shared" ca="1" si="192"/>
        <v>Consolidado!DU11:DU25</v>
      </c>
      <c r="DV9" s="63" t="str">
        <f t="shared" ca="1" si="192"/>
        <v>Consolidado!DV11:DV25</v>
      </c>
      <c r="DW9" s="63" t="str">
        <f t="shared" ca="1" si="192"/>
        <v>Consolidado!DW11:DW25</v>
      </c>
      <c r="DX9" s="63" t="str">
        <f t="shared" ca="1" si="192"/>
        <v>Consolidado!DX11:DX25</v>
      </c>
      <c r="DY9" s="63" t="str">
        <f t="shared" ca="1" si="192"/>
        <v>Consolidado!DY11:DY25</v>
      </c>
      <c r="DZ9" s="63" t="str">
        <f t="shared" ca="1" si="192"/>
        <v>Consolidado!DZ11:DZ25</v>
      </c>
      <c r="EA9" s="63" t="str">
        <f t="shared" ca="1" si="192"/>
        <v>Consolidado!EA11:EA25</v>
      </c>
      <c r="EB9" s="63" t="str">
        <f t="shared" ca="1" si="192"/>
        <v>Consolidado!EB11:EB25</v>
      </c>
      <c r="EC9" s="63" t="str">
        <f t="shared" ref="EC9:FU9" ca="1" si="193">+"Consolidado!"&amp;EC$10&amp;ROW($D$11)&amp;":"&amp;EC$10&amp;ROW($D$11)+COUNTA(EC$11:EC$300)-1</f>
        <v>Consolidado!EC11:EC25</v>
      </c>
      <c r="ED9" s="63" t="str">
        <f t="shared" ca="1" si="193"/>
        <v>Consolidado!ED11:ED25</v>
      </c>
      <c r="EE9" s="63" t="str">
        <f t="shared" ca="1" si="193"/>
        <v>Consolidado!EE11:EE25</v>
      </c>
      <c r="EF9" s="63" t="str">
        <f t="shared" ca="1" si="193"/>
        <v>Consolidado!EF11:EF25</v>
      </c>
      <c r="EG9" s="63" t="str">
        <f t="shared" ca="1" si="193"/>
        <v>Consolidado!EG11:EG25</v>
      </c>
      <c r="EH9" s="63" t="str">
        <f t="shared" si="193"/>
        <v>Consolidado!11:10</v>
      </c>
      <c r="EI9" s="63" t="str">
        <f t="shared" si="193"/>
        <v>Consolidado!11:10</v>
      </c>
      <c r="EJ9" s="63" t="str">
        <f t="shared" si="193"/>
        <v>Consolidado!11:10</v>
      </c>
      <c r="EK9" s="63" t="str">
        <f t="shared" si="193"/>
        <v>Consolidado!11:10</v>
      </c>
      <c r="EL9" s="63" t="str">
        <f t="shared" si="193"/>
        <v>Consolidado!11:10</v>
      </c>
      <c r="EM9" s="63" t="str">
        <f t="shared" si="193"/>
        <v>Consolidado!11:10</v>
      </c>
      <c r="EN9" s="63" t="str">
        <f t="shared" si="193"/>
        <v>Consolidado!11:10</v>
      </c>
      <c r="EO9" s="63" t="str">
        <f t="shared" si="193"/>
        <v>Consolidado!11:10</v>
      </c>
      <c r="EP9" s="63" t="str">
        <f t="shared" si="193"/>
        <v>Consolidado!11:10</v>
      </c>
      <c r="EQ9" s="63" t="str">
        <f t="shared" si="193"/>
        <v>Consolidado!11:10</v>
      </c>
      <c r="ER9" s="63" t="str">
        <f t="shared" si="193"/>
        <v>Consolidado!11:10</v>
      </c>
      <c r="ES9" s="63" t="str">
        <f t="shared" si="193"/>
        <v>Consolidado!11:10</v>
      </c>
      <c r="ET9" s="63" t="str">
        <f t="shared" si="193"/>
        <v>Consolidado!11:10</v>
      </c>
      <c r="EU9" s="63" t="str">
        <f t="shared" si="193"/>
        <v>Consolidado!11:10</v>
      </c>
      <c r="EV9" s="63" t="str">
        <f t="shared" si="193"/>
        <v>Consolidado!11:10</v>
      </c>
      <c r="EW9" s="63" t="str">
        <f t="shared" si="193"/>
        <v>Consolidado!11:10</v>
      </c>
      <c r="EX9" s="63" t="str">
        <f t="shared" si="193"/>
        <v>Consolidado!EX11:EX25</v>
      </c>
      <c r="EY9" s="63" t="str">
        <f t="shared" ca="1" si="193"/>
        <v>Consolidado!EY11:EY25</v>
      </c>
      <c r="EZ9" s="63" t="str">
        <f t="shared" ca="1" si="193"/>
        <v>Consolidado!EZ11:EZ25</v>
      </c>
      <c r="FA9" s="63" t="str">
        <f t="shared" ca="1" si="193"/>
        <v>Consolidado!FA11:FA25</v>
      </c>
      <c r="FB9" s="63" t="str">
        <f t="shared" ca="1" si="193"/>
        <v>Consolidado!FB11:FB25</v>
      </c>
      <c r="FC9" s="63" t="str">
        <f t="shared" ca="1" si="193"/>
        <v>Consolidado!FC11:FC25</v>
      </c>
      <c r="FD9" s="63" t="str">
        <f t="shared" ca="1" si="193"/>
        <v>Consolidado!11:25</v>
      </c>
      <c r="FE9" s="63" t="str">
        <f t="shared" ca="1" si="193"/>
        <v>Consolidado!FE11:FE25</v>
      </c>
      <c r="FF9" s="63" t="str">
        <f t="shared" ca="1" si="193"/>
        <v>Consolidado!FF11:FF25</v>
      </c>
      <c r="FG9" s="63" t="str">
        <f t="shared" ca="1" si="193"/>
        <v>Consolidado!FG11:FG25</v>
      </c>
      <c r="FH9" s="63" t="str">
        <f t="shared" ca="1" si="193"/>
        <v>Consolidado!FH11:FH25</v>
      </c>
      <c r="FI9" s="63" t="str">
        <f t="shared" ca="1" si="193"/>
        <v>Consolidado!FI11:FI25</v>
      </c>
      <c r="FJ9" s="63" t="str">
        <f t="shared" ca="1" si="193"/>
        <v>Consolidado!FJ11:FJ25</v>
      </c>
      <c r="FK9" s="63" t="str">
        <f t="shared" ca="1" si="193"/>
        <v>Consolidado!FK11:FK25</v>
      </c>
      <c r="FL9" s="63" t="str">
        <f t="shared" ca="1" si="193"/>
        <v>Consolidado!FL11:FL25</v>
      </c>
      <c r="FM9" s="63" t="str">
        <f t="shared" ca="1" si="193"/>
        <v>Consolidado!FM11:FM25</v>
      </c>
      <c r="FN9" s="63" t="str">
        <f t="shared" ca="1" si="193"/>
        <v>Consolidado!FN11:FN25</v>
      </c>
      <c r="FO9" s="63" t="str">
        <f t="shared" ca="1" si="193"/>
        <v>Consolidado!FO11:FO25</v>
      </c>
      <c r="FP9" s="63" t="str">
        <f t="shared" ca="1" si="193"/>
        <v>Consolidado!FP11:FP25</v>
      </c>
      <c r="FQ9" s="63" t="str">
        <f t="shared" ca="1" si="193"/>
        <v>Consolidado!FQ11:FQ25</v>
      </c>
      <c r="FR9" s="63" t="str">
        <f t="shared" ca="1" si="193"/>
        <v>Consolidado!FR11:FR25</v>
      </c>
      <c r="FS9" s="63" t="str">
        <f t="shared" si="193"/>
        <v>Consolidado!FS11:FS25</v>
      </c>
      <c r="FT9" s="63" t="str">
        <f t="shared" ca="1" si="193"/>
        <v>Consolidado!FT11:FT25</v>
      </c>
      <c r="FU9" s="63" t="str">
        <f t="shared" ca="1" si="193"/>
        <v>Consolidado!FU11:FU25</v>
      </c>
    </row>
    <row r="10" spans="1:177" s="74" customFormat="1" ht="9.75" customHeight="1" x14ac:dyDescent="0.35">
      <c r="A10" s="75" t="str">
        <f>+VLOOKUP(A$1,Validaciones!$AD$3:$AE$167,2,FALSE)</f>
        <v>A</v>
      </c>
      <c r="B10" s="75" t="str">
        <f>+VLOOKUP(B$1,Validaciones!$AD$3:$AE$167,2,FALSE)</f>
        <v>B</v>
      </c>
      <c r="C10" s="75" t="str">
        <f>+VLOOKUP(C$1,Validaciones!$AD$3:$AE$167,2,FALSE)</f>
        <v>C</v>
      </c>
      <c r="D10" s="75" t="str">
        <f>+VLOOKUP(D$1,Validaciones!$AD$3:$AE$167,2,FALSE)</f>
        <v>D</v>
      </c>
      <c r="E10" s="75" t="str">
        <f>+VLOOKUP(E$1,Validaciones!$AD$3:$AE$167,2,FALSE)</f>
        <v>E</v>
      </c>
      <c r="F10" s="75" t="str">
        <f>+VLOOKUP(F$1,Validaciones!$AD$3:$AE$167,2,FALSE)</f>
        <v>F</v>
      </c>
      <c r="G10" s="75" t="str">
        <f>+VLOOKUP(G$1,Validaciones!$AD$3:$AE$167,2,FALSE)</f>
        <v>G</v>
      </c>
      <c r="H10" s="75" t="str">
        <f>+VLOOKUP(H$1,Validaciones!$AD$3:$AE$167,2,FALSE)</f>
        <v>H</v>
      </c>
      <c r="I10" s="75" t="str">
        <f>+VLOOKUP(I$1,Validaciones!$AD$3:$AE$167,2,FALSE)</f>
        <v>I</v>
      </c>
      <c r="J10" s="75" t="str">
        <f>+VLOOKUP(J$1,Validaciones!$AD$3:$AE$167,2,FALSE)</f>
        <v>J</v>
      </c>
      <c r="K10" s="75" t="str">
        <f>+VLOOKUP(K$1,Validaciones!$AD$3:$AE$167,2,FALSE)</f>
        <v>K</v>
      </c>
      <c r="L10" s="75" t="str">
        <f>+VLOOKUP(L$1,Validaciones!$AD$3:$AE$167,2,FALSE)</f>
        <v>L</v>
      </c>
      <c r="M10" s="75" t="str">
        <f>+VLOOKUP(M$1,Validaciones!$AD$3:$AE$167,2,FALSE)</f>
        <v>M</v>
      </c>
      <c r="N10" s="75" t="str">
        <f>+VLOOKUP(N$1,Validaciones!$AD$3:$AE$167,2,FALSE)</f>
        <v>N</v>
      </c>
      <c r="O10" s="75" t="str">
        <f>+VLOOKUP(O$1,Validaciones!$AD$3:$AE$167,2,FALSE)</f>
        <v>O</v>
      </c>
      <c r="P10" s="75" t="str">
        <f>+VLOOKUP(P$1,Validaciones!$AD$3:$AE$167,2,FALSE)</f>
        <v>P</v>
      </c>
      <c r="Q10" s="75" t="str">
        <f>+VLOOKUP(Q$1,Validaciones!$AD$3:$AE$167,2,FALSE)</f>
        <v>Q</v>
      </c>
      <c r="R10" s="75" t="str">
        <f>+VLOOKUP(R$1,Validaciones!$AD$3:$AE$167,2,FALSE)</f>
        <v>R</v>
      </c>
      <c r="S10" s="75" t="str">
        <f>+VLOOKUP(S$1,Validaciones!$AD$3:$AE$167,2,FALSE)</f>
        <v>S</v>
      </c>
      <c r="T10" s="75" t="str">
        <f>+VLOOKUP(T$1,Validaciones!$AD$3:$AE$167,2,FALSE)</f>
        <v>T</v>
      </c>
      <c r="U10" s="75" t="str">
        <f>+VLOOKUP(U$1,Validaciones!$AD$3:$AE$167,2,FALSE)</f>
        <v>U</v>
      </c>
      <c r="V10" s="75" t="str">
        <f>+VLOOKUP(V$1,Validaciones!$AD$3:$AE$167,2,FALSE)</f>
        <v>V</v>
      </c>
      <c r="W10" s="75" t="str">
        <f>+VLOOKUP(W$1,Validaciones!$AD$3:$AE$167,2,FALSE)</f>
        <v>W</v>
      </c>
      <c r="X10" s="75" t="str">
        <f>+VLOOKUP(X$1,Validaciones!$AD$3:$AE$167,2,FALSE)</f>
        <v>X</v>
      </c>
      <c r="Y10" s="75" t="str">
        <f>+VLOOKUP(Y$1,Validaciones!$AD$3:$AE$167,2,FALSE)</f>
        <v>Y</v>
      </c>
      <c r="Z10" s="75" t="str">
        <f>+VLOOKUP(Z$1,Validaciones!$AD$3:$AE$167,2,FALSE)</f>
        <v>Z</v>
      </c>
      <c r="AA10" s="75" t="str">
        <f>+VLOOKUP(AA$1,Validaciones!$AD$3:$AE$167,2,FALSE)</f>
        <v>AA</v>
      </c>
      <c r="AB10" s="75" t="str">
        <f>+VLOOKUP(AB$1,Validaciones!$AD$3:$AE$167,2,FALSE)</f>
        <v>AB</v>
      </c>
      <c r="AC10" s="75" t="str">
        <f>+VLOOKUP(AC$1,Validaciones!$AD$3:$AE$167,2,FALSE)</f>
        <v>AC</v>
      </c>
      <c r="AD10" s="75" t="str">
        <f>+VLOOKUP(AD$1,Validaciones!$AD$3:$AE$167,2,FALSE)</f>
        <v>AD</v>
      </c>
      <c r="AE10" s="75" t="str">
        <f>+VLOOKUP(AE$1,Validaciones!$AD$3:$AE$167,2,FALSE)</f>
        <v>AE</v>
      </c>
      <c r="AF10" s="75" t="str">
        <f>+VLOOKUP(AF$1,Validaciones!$AD$3:$AE$167,2,FALSE)</f>
        <v>AF</v>
      </c>
      <c r="AG10" s="75" t="str">
        <f>+VLOOKUP(AG$1,Validaciones!$AD$3:$AE$167,2,FALSE)</f>
        <v>AG</v>
      </c>
      <c r="AH10" s="75" t="str">
        <f>+VLOOKUP(AH$1,Validaciones!$AD$3:$AE$167,2,FALSE)</f>
        <v>AH</v>
      </c>
      <c r="AI10" s="75" t="str">
        <f>+VLOOKUP(AI$1,Validaciones!$AD$3:$AE$167,2,FALSE)</f>
        <v>AI</v>
      </c>
      <c r="AJ10" s="75" t="str">
        <f>+VLOOKUP(AJ$1,Validaciones!$AD$3:$AE$167,2,FALSE)</f>
        <v>AJ</v>
      </c>
      <c r="AK10" s="75" t="str">
        <f>+VLOOKUP(AK$1,Validaciones!$AD$3:$AE$167,2,FALSE)</f>
        <v>AK</v>
      </c>
      <c r="AL10" s="75" t="str">
        <f>+VLOOKUP(AL$1,Validaciones!$AD$3:$AE$167,2,FALSE)</f>
        <v>AL</v>
      </c>
      <c r="AM10" s="75" t="str">
        <f>+VLOOKUP(AM$1,Validaciones!$AD$3:$AE$167,2,FALSE)</f>
        <v>AM</v>
      </c>
      <c r="AN10" s="75" t="str">
        <f>+VLOOKUP(AN$1,Validaciones!$AD$3:$AE$167,2,FALSE)</f>
        <v>AN</v>
      </c>
      <c r="AO10" s="75" t="str">
        <f>+VLOOKUP(AO$1,Validaciones!$AD$3:$AE$167,2,FALSE)</f>
        <v>AO</v>
      </c>
      <c r="AP10" s="75" t="str">
        <f>+VLOOKUP(AP$1,Validaciones!$AD$3:$AE$167,2,FALSE)</f>
        <v>AP</v>
      </c>
      <c r="AQ10" s="75" t="str">
        <f>+VLOOKUP(AQ$1,Validaciones!$AD$3:$AE$167,2,FALSE)</f>
        <v>AQ</v>
      </c>
      <c r="AR10" s="75" t="str">
        <f>+VLOOKUP(AR$1,Validaciones!$AD$3:$AE$167,2,FALSE)</f>
        <v>AR</v>
      </c>
      <c r="AS10" s="75" t="str">
        <f>+VLOOKUP(AS$1,Validaciones!$AD$3:$AE$167,2,FALSE)</f>
        <v>AS</v>
      </c>
      <c r="AT10" s="75" t="str">
        <f>+VLOOKUP(AT$1,Validaciones!$AD$3:$AE$167,2,FALSE)</f>
        <v>AT</v>
      </c>
      <c r="AU10" s="75" t="str">
        <f>+VLOOKUP(AU$1,Validaciones!$AD$3:$AE$167,2,FALSE)</f>
        <v>AU</v>
      </c>
      <c r="AV10" s="75" t="str">
        <f>+VLOOKUP(AV$1,Validaciones!$AD$3:$AE$167,2,FALSE)</f>
        <v>AV</v>
      </c>
      <c r="AW10" s="75" t="str">
        <f>+VLOOKUP(AW$1,Validaciones!$AD$3:$AE$167,2,FALSE)</f>
        <v>AW</v>
      </c>
      <c r="AX10" s="75" t="str">
        <f>+VLOOKUP(AX$1,Validaciones!$AD$3:$AE$167,2,FALSE)</f>
        <v>AX</v>
      </c>
      <c r="AY10" s="75" t="str">
        <f>+VLOOKUP(AY$1,Validaciones!$AD$3:$AE$167,2,FALSE)</f>
        <v>AY</v>
      </c>
      <c r="AZ10" s="75" t="str">
        <f>+VLOOKUP(AZ$1,Validaciones!$AD$3:$AE$167,2,FALSE)</f>
        <v>AZ</v>
      </c>
      <c r="BA10" s="75" t="str">
        <f>+VLOOKUP(BA$1,Validaciones!$AD$3:$AE$167,2,FALSE)</f>
        <v>BA</v>
      </c>
      <c r="BB10" s="75" t="str">
        <f>+VLOOKUP(BB$1,Validaciones!$AD$3:$AE$167,2,FALSE)</f>
        <v>BB</v>
      </c>
      <c r="BC10" s="75" t="str">
        <f>+VLOOKUP(BC$1,Validaciones!$AD$3:$AE$167,2,FALSE)</f>
        <v>BC</v>
      </c>
      <c r="BD10" s="75" t="str">
        <f>+VLOOKUP(BD$1,Validaciones!$AD$3:$AE$167,2,FALSE)</f>
        <v>BD</v>
      </c>
      <c r="BE10" s="75" t="str">
        <f>+VLOOKUP(BE$1,Validaciones!$AD$3:$AE$167,2,FALSE)</f>
        <v>BE</v>
      </c>
      <c r="BF10" s="75" t="str">
        <f>+VLOOKUP(BF$1,Validaciones!$AD$3:$AE$167,2,FALSE)</f>
        <v>BF</v>
      </c>
      <c r="BG10" s="75" t="str">
        <f>+VLOOKUP(BG$1,Validaciones!$AD$3:$AE$167,2,FALSE)</f>
        <v>BG</v>
      </c>
      <c r="BH10" s="75" t="str">
        <f>+VLOOKUP(BH$1,Validaciones!$AD$3:$AE$167,2,FALSE)</f>
        <v>BH</v>
      </c>
      <c r="BI10" s="75" t="str">
        <f>+VLOOKUP(BI$1,Validaciones!$AD$3:$AE$167,2,FALSE)</f>
        <v>BI</v>
      </c>
      <c r="BJ10" s="75" t="str">
        <f>+VLOOKUP(BJ$1,Validaciones!$AD$3:$AE$167,2,FALSE)</f>
        <v>BJ</v>
      </c>
      <c r="BK10" s="75" t="str">
        <f>+VLOOKUP(BK$1,Validaciones!$AD$3:$AE$167,2,FALSE)</f>
        <v>BK</v>
      </c>
      <c r="BL10" s="75" t="str">
        <f>+VLOOKUP(BL$1,Validaciones!$AD$3:$AE$167,2,FALSE)</f>
        <v>BL</v>
      </c>
      <c r="BM10" s="75" t="str">
        <f>+VLOOKUP(BM$1,Validaciones!$AD$3:$AE$167,2,FALSE)</f>
        <v>BM</v>
      </c>
      <c r="BN10" s="75" t="str">
        <f>+VLOOKUP(BN$1,Validaciones!$AD$3:$AE$167,2,FALSE)</f>
        <v>BN</v>
      </c>
      <c r="BO10" s="75" t="str">
        <f>+VLOOKUP(BO$1,Validaciones!$AD$3:$AE$167,2,FALSE)</f>
        <v>BO</v>
      </c>
      <c r="BP10" s="75" t="str">
        <f>+VLOOKUP(BP$1,Validaciones!$AD$3:$AE$167,2,FALSE)</f>
        <v>BP</v>
      </c>
      <c r="BQ10" s="75" t="str">
        <f>+VLOOKUP(BQ$1,Validaciones!$AD$3:$AE$167,2,FALSE)</f>
        <v>BQ</v>
      </c>
      <c r="BR10" s="75" t="str">
        <f>+VLOOKUP(BR$1,Validaciones!$AD$3:$AE$167,2,FALSE)</f>
        <v>BR</v>
      </c>
      <c r="BS10" s="75" t="str">
        <f>+VLOOKUP(BS$1,Validaciones!$AD$3:$AE$167,2,FALSE)</f>
        <v>BS</v>
      </c>
      <c r="BT10" s="75" t="str">
        <f>+VLOOKUP(BT$1,Validaciones!$AD$3:$AE$167,2,FALSE)</f>
        <v>BT</v>
      </c>
      <c r="BU10" s="75" t="str">
        <f>+VLOOKUP(BU$1,Validaciones!$AD$3:$AE$167,2,FALSE)</f>
        <v>BU</v>
      </c>
      <c r="BV10" s="75" t="str">
        <f>+VLOOKUP(BV$1,Validaciones!$AD$3:$AE$167,2,FALSE)</f>
        <v>BV</v>
      </c>
      <c r="BW10" s="75" t="str">
        <f>+VLOOKUP(BW$1,Validaciones!$AD$3:$AE$167,2,FALSE)</f>
        <v>BW</v>
      </c>
      <c r="BX10" s="75" t="str">
        <f>+VLOOKUP(BX$1,Validaciones!$AD$3:$AE$167,2,FALSE)</f>
        <v>BX</v>
      </c>
      <c r="BY10" s="75" t="str">
        <f>+VLOOKUP(BY$1,Validaciones!$AD$3:$AE$167,2,FALSE)</f>
        <v>BY</v>
      </c>
      <c r="BZ10" s="75" t="str">
        <f>+VLOOKUP(BZ$1,Validaciones!$AD$3:$AE$167,2,FALSE)</f>
        <v>BZ</v>
      </c>
      <c r="CA10" s="75" t="str">
        <f>+VLOOKUP(CA$1,Validaciones!$AD$3:$AE$167,2,FALSE)</f>
        <v>CA</v>
      </c>
      <c r="CB10" s="75" t="str">
        <f>+VLOOKUP(CB$1,Validaciones!$AD$3:$AE$167,2,FALSE)</f>
        <v>CB</v>
      </c>
      <c r="CC10" s="75" t="str">
        <f>+VLOOKUP(CC$1,Validaciones!$AD$3:$AE$167,2,FALSE)</f>
        <v>CC</v>
      </c>
      <c r="CD10" s="75" t="str">
        <f>+VLOOKUP(CD$1,Validaciones!$AD$3:$AE$167,2,FALSE)</f>
        <v>CD</v>
      </c>
      <c r="CE10" s="75" t="str">
        <f>+VLOOKUP(CE$1,Validaciones!$AD$3:$AE$167,2,FALSE)</f>
        <v>CE</v>
      </c>
      <c r="CF10" s="75" t="str">
        <f>+VLOOKUP(CF$1,Validaciones!$AD$3:$AE$167,2,FALSE)</f>
        <v>CF</v>
      </c>
      <c r="CG10" s="75" t="str">
        <f>+VLOOKUP(CG$1,Validaciones!$AD$3:$AE$167,2,FALSE)</f>
        <v>CG</v>
      </c>
      <c r="CH10" s="75" t="str">
        <f>+VLOOKUP(CH$1,Validaciones!$AD$3:$AE$167,2,FALSE)</f>
        <v>CH</v>
      </c>
      <c r="CI10" s="75" t="str">
        <f>+VLOOKUP(CI$1,Validaciones!$AD$3:$AE$167,2,FALSE)</f>
        <v>CI</v>
      </c>
      <c r="CJ10" s="75" t="str">
        <f>+VLOOKUP(CJ$1,Validaciones!$AD$3:$AE$167,2,FALSE)</f>
        <v>CJ</v>
      </c>
      <c r="CK10" s="75" t="str">
        <f>+VLOOKUP(CK$1,Validaciones!$AD$3:$AE$167,2,FALSE)</f>
        <v>CK</v>
      </c>
      <c r="CL10" s="75" t="str">
        <f>+VLOOKUP(CL$1,Validaciones!$AD$3:$AE$167,2,FALSE)</f>
        <v>CL</v>
      </c>
      <c r="CM10" s="75" t="str">
        <f>+VLOOKUP(CM$1,Validaciones!$AD$3:$AE$167,2,FALSE)</f>
        <v>CM</v>
      </c>
      <c r="CN10" s="75" t="str">
        <f>+VLOOKUP(CN$1,Validaciones!$AD$3:$AE$167,2,FALSE)</f>
        <v>CN</v>
      </c>
      <c r="CO10" s="75" t="str">
        <f>+VLOOKUP(CO$1,Validaciones!$AD$3:$AE$167,2,FALSE)</f>
        <v>CO</v>
      </c>
      <c r="CP10" s="75" t="str">
        <f>+VLOOKUP(CP$1,Validaciones!$AD$3:$AE$167,2,FALSE)</f>
        <v>CP</v>
      </c>
      <c r="CQ10" s="75" t="str">
        <f>+VLOOKUP(CQ$1,Validaciones!$AD$3:$AE$167,2,FALSE)</f>
        <v>CQ</v>
      </c>
      <c r="CR10" s="75" t="str">
        <f>+VLOOKUP(CR$1,Validaciones!$AD$3:$AE$167,2,FALSE)</f>
        <v>CR</v>
      </c>
      <c r="CS10" s="75" t="str">
        <f>+VLOOKUP(CS$1,Validaciones!$AD$3:$AE$167,2,FALSE)</f>
        <v>CS</v>
      </c>
      <c r="CT10" s="75" t="str">
        <f>+VLOOKUP(CT$1,Validaciones!$AD$3:$AE$167,2,FALSE)</f>
        <v>CT</v>
      </c>
      <c r="CU10" s="75" t="str">
        <f>+VLOOKUP(CU$1,Validaciones!$AD$3:$AE$167,2,FALSE)</f>
        <v>CU</v>
      </c>
      <c r="CV10" s="75" t="str">
        <f>+VLOOKUP(CV$1,Validaciones!$AD$3:$AE$167,2,FALSE)</f>
        <v>CV</v>
      </c>
      <c r="CW10" s="75" t="str">
        <f>+VLOOKUP(CW$1,Validaciones!$AD$3:$AE$167,2,FALSE)</f>
        <v>CW</v>
      </c>
      <c r="CX10" s="75"/>
      <c r="CY10" s="75" t="str">
        <f>+VLOOKUP(CY$1,Validaciones!$AD$3:$AE$167,2,FALSE)</f>
        <v>CY</v>
      </c>
      <c r="CZ10" s="75" t="str">
        <f>+VLOOKUP(CZ$1,Validaciones!$AD$3:$AE$167,2,FALSE)</f>
        <v>CZ</v>
      </c>
      <c r="DA10" s="75" t="str">
        <f>+VLOOKUP(DA$1,Validaciones!$AD$3:$AE$167,2,FALSE)</f>
        <v>DA</v>
      </c>
      <c r="DB10" s="75" t="str">
        <f>+VLOOKUP(DB$1,Validaciones!$AD$3:$AE$167,2,FALSE)</f>
        <v>DB</v>
      </c>
      <c r="DC10" s="75" t="str">
        <f>+VLOOKUP(DC$1,Validaciones!$AD$3:$AE$167,2,FALSE)</f>
        <v>DC</v>
      </c>
      <c r="DD10" s="75" t="str">
        <f>+VLOOKUP(DD$1,Validaciones!$AD$3:$AE$167,2,FALSE)</f>
        <v>DD</v>
      </c>
      <c r="DE10" s="75" t="str">
        <f>+VLOOKUP(DE$1,Validaciones!$AD$3:$AE$167,2,FALSE)</f>
        <v>DE</v>
      </c>
      <c r="DF10" s="75" t="str">
        <f>+VLOOKUP(DF$1,Validaciones!$AD$3:$AE$167,2,FALSE)</f>
        <v>DF</v>
      </c>
      <c r="DG10" s="75" t="str">
        <f>+VLOOKUP(DG$1,Validaciones!$AD$3:$AE$167,2,FALSE)</f>
        <v>DG</v>
      </c>
      <c r="DH10" s="75" t="str">
        <f>+VLOOKUP(DH$1,Validaciones!$AD$3:$AE$167,2,FALSE)</f>
        <v>DH</v>
      </c>
      <c r="DI10" s="75" t="str">
        <f>+VLOOKUP(DI$1,Validaciones!$AD$3:$AE$167,2,FALSE)</f>
        <v>DI</v>
      </c>
      <c r="DJ10" s="75" t="str">
        <f>+VLOOKUP(DJ$1,Validaciones!$AD$3:$AE$167,2,FALSE)</f>
        <v>DJ</v>
      </c>
      <c r="DK10" s="75" t="str">
        <f>+VLOOKUP(DK$1,Validaciones!$AD$3:$AE$167,2,FALSE)</f>
        <v>DK</v>
      </c>
      <c r="DL10" s="75" t="str">
        <f>+VLOOKUP(DL$1,Validaciones!$AD$3:$AE$167,2,FALSE)</f>
        <v>DL</v>
      </c>
      <c r="DM10" s="75" t="str">
        <f>+VLOOKUP(DM$1,Validaciones!$AD$3:$AE$167,2,FALSE)</f>
        <v>DM</v>
      </c>
      <c r="DN10" s="75" t="str">
        <f>+VLOOKUP(DN$1,Validaciones!$AD$3:$AE$167,2,FALSE)</f>
        <v>DN</v>
      </c>
      <c r="DO10" s="75" t="str">
        <f>+VLOOKUP(DO$1,Validaciones!$AD$3:$AE$167,2,FALSE)</f>
        <v>DO</v>
      </c>
      <c r="DP10" s="75" t="str">
        <f>+VLOOKUP(DP$1,Validaciones!$AD$3:$AE$167,2,FALSE)</f>
        <v>DP</v>
      </c>
      <c r="DQ10" s="75" t="str">
        <f>+VLOOKUP(DQ$1,Validaciones!$AD$3:$AE$167,2,FALSE)</f>
        <v>DQ</v>
      </c>
      <c r="DR10" s="75" t="str">
        <f>+VLOOKUP(DR$1,Validaciones!$AD$3:$AE$167,2,FALSE)</f>
        <v>DR</v>
      </c>
      <c r="DS10" s="75" t="str">
        <f>+VLOOKUP(DS$1,Validaciones!$AD$3:$AE$167,2,FALSE)</f>
        <v>DS</v>
      </c>
      <c r="DT10" s="75" t="str">
        <f>+VLOOKUP(DT$1,Validaciones!$AD$3:$AE$167,2,FALSE)</f>
        <v>DT</v>
      </c>
      <c r="DU10" s="75" t="str">
        <f>+VLOOKUP(DU$1,Validaciones!$AD$3:$AE$167,2,FALSE)</f>
        <v>DU</v>
      </c>
      <c r="DV10" s="75" t="str">
        <f>+VLOOKUP(DV$1,Validaciones!$AD$3:$AE$167,2,FALSE)</f>
        <v>DV</v>
      </c>
      <c r="DW10" s="75" t="str">
        <f>+VLOOKUP(DW$1,Validaciones!$AD$3:$AE$167,2,FALSE)</f>
        <v>DW</v>
      </c>
      <c r="DX10" s="75" t="str">
        <f>+VLOOKUP(DX$1,Validaciones!$AD$3:$AE$167,2,FALSE)</f>
        <v>DX</v>
      </c>
      <c r="DY10" s="75" t="str">
        <f>+VLOOKUP(DY$1,Validaciones!$AD$3:$AE$167,2,FALSE)</f>
        <v>DY</v>
      </c>
      <c r="DZ10" s="75" t="str">
        <f>+VLOOKUP(DZ$1,Validaciones!$AD$3:$AE$167,2,FALSE)</f>
        <v>DZ</v>
      </c>
      <c r="EA10" s="75" t="str">
        <f>+VLOOKUP(EA$1,Validaciones!$AD$3:$AE$167,2,FALSE)</f>
        <v>EA</v>
      </c>
      <c r="EB10" s="75" t="str">
        <f>+VLOOKUP(EB$1,Validaciones!$AD$3:$AE$167,2,FALSE)</f>
        <v>EB</v>
      </c>
      <c r="EC10" s="75" t="str">
        <f>+VLOOKUP(EC$1,Validaciones!$AD$3:$AE$167,2,FALSE)</f>
        <v>EC</v>
      </c>
      <c r="ED10" s="75" t="str">
        <f>+VLOOKUP(ED$1,Validaciones!$AD$3:$AE$167,2,FALSE)</f>
        <v>ED</v>
      </c>
      <c r="EE10" s="75" t="str">
        <f>+VLOOKUP(EE$1,Validaciones!$AD$3:$AE$167,2,FALSE)</f>
        <v>EE</v>
      </c>
      <c r="EF10" s="75" t="str">
        <f>+VLOOKUP(EF$1,Validaciones!$AD$3:$AE$167,2,FALSE)</f>
        <v>EF</v>
      </c>
      <c r="EG10" s="75" t="str">
        <f>+VLOOKUP(EG$1,Validaciones!$AD$3:$AE$167,2,FALSE)</f>
        <v>EG</v>
      </c>
      <c r="EH10" s="75"/>
      <c r="EI10" s="75"/>
      <c r="EJ10" s="75"/>
      <c r="EK10" s="75"/>
      <c r="EX10" s="75" t="str">
        <f>+VLOOKUP(EX$1,Validaciones!$AD$3:$AE$167,2,FALSE)</f>
        <v>EX</v>
      </c>
      <c r="EY10" s="75" t="str">
        <f>+VLOOKUP(EY$1,Validaciones!$AD$3:$AE$167,2,FALSE)</f>
        <v>EY</v>
      </c>
      <c r="EZ10" s="75" t="str">
        <f>+VLOOKUP(EZ$1,Validaciones!$AD$3:$AE$167,2,FALSE)</f>
        <v>EZ</v>
      </c>
      <c r="FA10" s="75" t="str">
        <f>+VLOOKUP(FA$1,Validaciones!$AD$3:$AE$167,2,FALSE)</f>
        <v>FA</v>
      </c>
      <c r="FB10" s="75" t="str">
        <f>+VLOOKUP(FB$1,Validaciones!$AD$3:$AE$167,2,FALSE)</f>
        <v>FB</v>
      </c>
      <c r="FC10" s="75" t="str">
        <f>+VLOOKUP(FC$1,Validaciones!$AD$3:$AE$167,2,FALSE)</f>
        <v>FC</v>
      </c>
      <c r="FD10" s="75"/>
      <c r="FE10" s="75" t="str">
        <f>+VLOOKUP(FE$1,Validaciones!$AD$3:$AE$167,2,FALSE)</f>
        <v>FE</v>
      </c>
      <c r="FF10" s="75" t="str">
        <f>+VLOOKUP(FF$1,Validaciones!$AD$3:$AE$167,2,FALSE)</f>
        <v>FF</v>
      </c>
      <c r="FG10" s="75" t="str">
        <f>+VLOOKUP(FG$1,Validaciones!$AD$3:$AE$167,2,FALSE)</f>
        <v>FG</v>
      </c>
      <c r="FH10" s="75" t="str">
        <f>+VLOOKUP(FH$1,Validaciones!$AD$3:$AE$167,2,FALSE)</f>
        <v>FH</v>
      </c>
      <c r="FI10" s="75" t="str">
        <f>+VLOOKUP(FI$1,Validaciones!$AD$3:$AE$167,2,FALSE)</f>
        <v>FI</v>
      </c>
      <c r="FJ10" s="75" t="str">
        <f>+VLOOKUP(FJ$1,Validaciones!$AD$3:$AE$188,2,FALSE)</f>
        <v>FJ</v>
      </c>
      <c r="FK10" s="75" t="str">
        <f>+VLOOKUP(FK$1,Validaciones!$AD$3:$AE$188,2,FALSE)</f>
        <v>FK</v>
      </c>
      <c r="FL10" s="75" t="str">
        <f>+VLOOKUP(FL$1,Validaciones!$AD$3:$AE$188,2,FALSE)</f>
        <v>FL</v>
      </c>
      <c r="FM10" s="75" t="str">
        <f>+VLOOKUP(FM$1,Validaciones!$AD$3:$AE$188,2,FALSE)</f>
        <v>FM</v>
      </c>
      <c r="FN10" s="75" t="str">
        <f>+VLOOKUP(FN$1,Validaciones!$AD$3:$AE$188,2,FALSE)</f>
        <v>FN</v>
      </c>
      <c r="FO10" s="75" t="str">
        <f>+VLOOKUP(FO$1,Validaciones!$AD$3:$AE$188,2,FALSE)</f>
        <v>FO</v>
      </c>
      <c r="FP10" s="75" t="str">
        <f>+VLOOKUP(FP$1,Validaciones!$AD$3:$AE$188,2,FALSE)</f>
        <v>FP</v>
      </c>
      <c r="FQ10" s="75" t="str">
        <f>+VLOOKUP(FQ$1,Validaciones!$AD$3:$AE$188,2,FALSE)</f>
        <v>FQ</v>
      </c>
      <c r="FR10" s="75" t="str">
        <f>+VLOOKUP(FR$1,Validaciones!$AD$3:$AE$188,2,FALSE)</f>
        <v>FR</v>
      </c>
      <c r="FS10" s="75" t="str">
        <f>+VLOOKUP(FS$1,Validaciones!$AD$3:$AE$188,2,FALSE)</f>
        <v>FS</v>
      </c>
      <c r="FT10" s="75" t="str">
        <f>+VLOOKUP(FT$1,Validaciones!$AD$3:$AE$188,2,FALSE)</f>
        <v>FT</v>
      </c>
      <c r="FU10" s="75" t="str">
        <f>+VLOOKUP(FU$1,Validaciones!$AD$3:$AE$188,2,FALSE)</f>
        <v>FU</v>
      </c>
    </row>
    <row r="11" spans="1:177" s="79" customFormat="1" x14ac:dyDescent="0.35">
      <c r="A11" s="79">
        <v>1</v>
      </c>
      <c r="C11" s="287" t="str">
        <f t="shared" ref="C11:C14" si="194">+CONCATENATE("'",A11,"'!")</f>
        <v>'1'!</v>
      </c>
      <c r="D11" s="288" t="str">
        <f t="shared" ref="D11:D25" ca="1" si="195">+IFERROR(VLOOKUP(D$7,(INDIRECT($C11&amp;$C$8)),D$4,FALSE),"")</f>
        <v>2016-2017</v>
      </c>
      <c r="E11" s="64" t="str">
        <f ca="1">IF(VLOOKUP(E$7,(INDIRECT($C11&amp;$C$8)),E$4,FALSE)&gt;0,VLOOKUP(E$7,(INDIRECT($C11&amp;$C$8)),E$4,FALSE),"")</f>
        <v/>
      </c>
      <c r="F11" s="64" t="str">
        <f t="shared" ref="F11:BN17" ca="1" si="196">IF(VLOOKUP(F$7,(INDIRECT($C11&amp;$C$8)),F$4,FALSE)&gt;0,VLOOKUP(F$7,(INDIRECT($C11&amp;$C$8)),F$4,FALSE),"")</f>
        <v/>
      </c>
      <c r="G11" s="64" t="str">
        <f t="shared" ca="1" si="196"/>
        <v/>
      </c>
      <c r="H11" s="64" t="str">
        <f ca="1">IF(VLOOKUP(H$7,(INDIRECT($C11&amp;$C$8)),H$4,FALSE)&gt;0,VLOOKUP(H$7,(INDIRECT($C11&amp;$C$8)),H$4,FALSE),"")</f>
        <v/>
      </c>
      <c r="I11" s="64" t="str">
        <f ca="1">IF(VLOOKUP(I$7,(INDIRECT($C11&amp;$C$8)),I$4,FALSE)&gt;0,VLOOKUP(I$7,(INDIRECT($C11&amp;$C$8)),I$4,FALSE),"")</f>
        <v/>
      </c>
      <c r="J11" s="64" t="str">
        <f t="shared" ca="1" si="196"/>
        <v/>
      </c>
      <c r="K11" s="64" t="str">
        <f t="shared" ca="1" si="196"/>
        <v/>
      </c>
      <c r="L11" s="64" t="str">
        <f t="shared" ca="1" si="196"/>
        <v/>
      </c>
      <c r="M11" s="64" t="str">
        <f t="shared" ca="1" si="196"/>
        <v/>
      </c>
      <c r="N11" s="64" t="str">
        <f t="shared" ca="1" si="196"/>
        <v/>
      </c>
      <c r="O11" s="64" t="str">
        <f t="shared" ca="1" si="196"/>
        <v/>
      </c>
      <c r="P11" s="64" t="str">
        <f t="shared" ca="1" si="196"/>
        <v/>
      </c>
      <c r="Q11" s="64" t="str">
        <f t="shared" ca="1" si="196"/>
        <v/>
      </c>
      <c r="R11" s="64" t="str">
        <f t="shared" ca="1" si="196"/>
        <v/>
      </c>
      <c r="S11" s="64" t="str">
        <f ca="1">IF(VLOOKUP(S$7,(INDIRECT($C11&amp;$C$8)),S$4,FALSE)&gt;0,VLOOKUP(S$7,(INDIRECT($C11&amp;$C$8)),S$4,FALSE),"")</f>
        <v/>
      </c>
      <c r="T11" s="64" t="str">
        <f t="shared" ca="1" si="196"/>
        <v/>
      </c>
      <c r="U11" s="64" t="str">
        <f t="shared" ca="1" si="196"/>
        <v/>
      </c>
      <c r="V11" s="64" t="str">
        <f t="shared" ca="1" si="196"/>
        <v/>
      </c>
      <c r="W11" s="64" t="str">
        <f t="shared" ca="1" si="196"/>
        <v/>
      </c>
      <c r="X11" s="64" t="str">
        <f t="shared" ca="1" si="196"/>
        <v/>
      </c>
      <c r="Y11" s="64" t="str">
        <f t="shared" ca="1" si="196"/>
        <v/>
      </c>
      <c r="Z11" s="64" t="str">
        <f t="shared" ca="1" si="196"/>
        <v/>
      </c>
      <c r="AA11" s="64" t="str">
        <f t="shared" ca="1" si="196"/>
        <v/>
      </c>
      <c r="AB11" s="64" t="str">
        <f t="shared" ca="1" si="196"/>
        <v/>
      </c>
      <c r="AC11" s="64" t="str">
        <f t="shared" ca="1" si="196"/>
        <v/>
      </c>
      <c r="AD11" s="64" t="str">
        <f t="shared" ca="1" si="196"/>
        <v/>
      </c>
      <c r="AE11" s="64" t="str">
        <f t="shared" ca="1" si="196"/>
        <v/>
      </c>
      <c r="AF11" s="64" t="str">
        <f t="shared" ca="1" si="196"/>
        <v/>
      </c>
      <c r="AG11" s="64" t="str">
        <f t="shared" ca="1" si="196"/>
        <v/>
      </c>
      <c r="AH11" s="64" t="str">
        <f t="shared" ca="1" si="196"/>
        <v/>
      </c>
      <c r="AI11" s="64" t="str">
        <f t="shared" ca="1" si="196"/>
        <v/>
      </c>
      <c r="AJ11" s="64" t="str">
        <f t="shared" ca="1" si="196"/>
        <v/>
      </c>
      <c r="AK11" s="64" t="str">
        <f t="shared" ca="1" si="196"/>
        <v/>
      </c>
      <c r="AL11" s="64" t="str">
        <f t="shared" ca="1" si="196"/>
        <v/>
      </c>
      <c r="AM11" s="64" t="str">
        <f t="shared" ca="1" si="196"/>
        <v/>
      </c>
      <c r="AN11" s="64" t="str">
        <f t="shared" ca="1" si="196"/>
        <v/>
      </c>
      <c r="AO11" s="64" t="str">
        <f t="shared" ca="1" si="196"/>
        <v/>
      </c>
      <c r="AP11" s="64" t="str">
        <f t="shared" ca="1" si="196"/>
        <v/>
      </c>
      <c r="AQ11" s="64" t="str">
        <f t="shared" ca="1" si="196"/>
        <v/>
      </c>
      <c r="AR11" s="64" t="str">
        <f t="shared" ca="1" si="196"/>
        <v/>
      </c>
      <c r="AS11" s="64" t="str">
        <f t="shared" ca="1" si="196"/>
        <v/>
      </c>
      <c r="AT11" s="64" t="str">
        <f t="shared" ca="1" si="196"/>
        <v/>
      </c>
      <c r="AU11" s="64" t="str">
        <f t="shared" ca="1" si="196"/>
        <v/>
      </c>
      <c r="AV11" s="64" t="str">
        <f t="shared" ca="1" si="196"/>
        <v/>
      </c>
      <c r="AW11" s="64" t="str">
        <f t="shared" ca="1" si="196"/>
        <v/>
      </c>
      <c r="AX11" s="64" t="str">
        <f t="shared" ca="1" si="196"/>
        <v/>
      </c>
      <c r="AY11" s="64" t="str">
        <f t="shared" ca="1" si="196"/>
        <v/>
      </c>
      <c r="AZ11" s="64" t="str">
        <f t="shared" ca="1" si="196"/>
        <v/>
      </c>
      <c r="BA11" s="64" t="str">
        <f t="shared" ca="1" si="196"/>
        <v/>
      </c>
      <c r="BB11" s="64" t="str">
        <f t="shared" ref="BB11" ca="1" si="197">IF(VLOOKUP(BB$7,(INDIRECT($C11&amp;$C$8)),BB$4,FALSE)&gt;0,VLOOKUP(BB$7,(INDIRECT($C11&amp;$C$8)),BB$4,FALSE),"")</f>
        <v/>
      </c>
      <c r="BC11" s="64" t="str">
        <f t="shared" ca="1" si="196"/>
        <v/>
      </c>
      <c r="BD11" s="64" t="str">
        <f t="shared" ca="1" si="196"/>
        <v/>
      </c>
      <c r="BE11" s="64" t="str">
        <f t="shared" ca="1" si="196"/>
        <v/>
      </c>
      <c r="BF11" s="64" t="str">
        <f t="shared" ca="1" si="196"/>
        <v/>
      </c>
      <c r="BG11" s="64" t="str">
        <f t="shared" ca="1" si="196"/>
        <v/>
      </c>
      <c r="BH11" s="64" t="str">
        <f t="shared" ca="1" si="196"/>
        <v/>
      </c>
      <c r="BI11" s="64" t="str">
        <f t="shared" ca="1" si="196"/>
        <v/>
      </c>
      <c r="BJ11" s="64" t="str">
        <f t="shared" ca="1" si="196"/>
        <v/>
      </c>
      <c r="BK11" s="64" t="str">
        <f t="shared" ca="1" si="196"/>
        <v/>
      </c>
      <c r="BL11" s="64" t="str">
        <f t="shared" ca="1" si="196"/>
        <v/>
      </c>
      <c r="BM11" s="64" t="str">
        <f t="shared" ca="1" si="196"/>
        <v/>
      </c>
      <c r="BN11" s="64" t="str">
        <f t="shared" ca="1" si="196"/>
        <v/>
      </c>
      <c r="BO11" s="64" t="str">
        <f t="shared" ref="BO11:BP18" ca="1" si="198">IF(VLOOKUP(BO$7,(INDIRECT($C11&amp;$C$8)),BO$4,FALSE)&gt;0,VLOOKUP(BO$7,(INDIRECT($C11&amp;$C$8)),BO$4,FALSE),"")</f>
        <v/>
      </c>
      <c r="BP11" s="64" t="str">
        <f t="shared" ca="1" si="198"/>
        <v/>
      </c>
      <c r="BQ11" s="64" t="str">
        <f t="shared" ref="BQ11:CU25" ca="1" si="199">IF(VLOOKUP(BQ$7,(INDIRECT($C11&amp;$C$8)),BQ$4,FALSE)&gt;0,VLOOKUP(BQ$7,(INDIRECT($C11&amp;$C$8)),BQ$4,FALSE),"")</f>
        <v/>
      </c>
      <c r="BR11" s="64" t="str">
        <f t="shared" ca="1" si="199"/>
        <v/>
      </c>
      <c r="BS11" s="64" t="e">
        <f t="shared" ref="BS11" ca="1" si="200">+BW11*BR11+120*BR11</f>
        <v>#DIV/0!</v>
      </c>
      <c r="BT11" s="64" t="str">
        <f t="shared" ca="1" si="199"/>
        <v/>
      </c>
      <c r="BU11" s="64" t="e">
        <f t="shared" ref="BU11:BW25" ca="1" si="201">IF(VLOOKUP(BU$7,(INDIRECT($C11&amp;$C$8)),BU$4,FALSE)&gt;0,VLOOKUP(BU$7,(INDIRECT($C11&amp;$C$8)),BU$4,FALSE),0)</f>
        <v>#DIV/0!</v>
      </c>
      <c r="BV11" s="64" t="e">
        <f t="shared" ca="1" si="201"/>
        <v>#DIV/0!</v>
      </c>
      <c r="BW11" s="64" t="e">
        <f t="shared" ca="1" si="201"/>
        <v>#DIV/0!</v>
      </c>
      <c r="BX11" s="64" t="str">
        <f t="shared" ca="1" si="199"/>
        <v/>
      </c>
      <c r="BY11" s="64" t="str">
        <f t="shared" ca="1" si="199"/>
        <v/>
      </c>
      <c r="BZ11" s="64" t="str">
        <f t="shared" ca="1" si="199"/>
        <v/>
      </c>
      <c r="CA11" s="64">
        <f t="shared" ref="CA11:CC25" ca="1" si="202">IF(VLOOKUP(CA$7,(INDIRECT($C11&amp;$C$8)),CA$4,FALSE)&lt;&gt;"",VLOOKUP(CA$7,(INDIRECT($C11&amp;$C$8)),CA$4,FALSE),0)</f>
        <v>0</v>
      </c>
      <c r="CB11" s="64">
        <f t="shared" ca="1" si="202"/>
        <v>0</v>
      </c>
      <c r="CC11" s="64">
        <f t="shared" ca="1" si="202"/>
        <v>0</v>
      </c>
      <c r="CD11" s="64" t="str">
        <f t="shared" ca="1" si="199"/>
        <v/>
      </c>
      <c r="CE11" s="64" t="str">
        <f t="shared" ca="1" si="199"/>
        <v/>
      </c>
      <c r="CF11" s="64">
        <f t="shared" ref="CF11:CH25" ca="1" si="203">IF(VLOOKUP(CF$7,(INDIRECT($C11&amp;$C$8)),CF$4,FALSE)&gt;0,VLOOKUP(CF$7,(INDIRECT($C11&amp;$C$8)),CF$4,FALSE),0)</f>
        <v>0</v>
      </c>
      <c r="CG11" s="64" t="e">
        <f t="shared" ca="1" si="203"/>
        <v>#DIV/0!</v>
      </c>
      <c r="CH11" s="64" t="e">
        <f t="shared" ca="1" si="203"/>
        <v>#DIV/0!</v>
      </c>
      <c r="CI11" s="64" t="e">
        <f t="shared" ca="1" si="199"/>
        <v>#DIV/0!</v>
      </c>
      <c r="CJ11" s="64">
        <f ca="1">IF(VLOOKUP(CJ$7,(INDIRECT($C11&amp;$C$8)),CJ$4,FALSE)&gt;0,VLOOKUP(CJ$7,(INDIRECT($C11&amp;$C$8)),CJ$4,FALSE),0)</f>
        <v>0</v>
      </c>
      <c r="CK11" s="64">
        <f t="shared" ref="CK11:CM25" ca="1" si="204">IF(VLOOKUP(CK$7,(INDIRECT($C11&amp;$C$8)),CK$4,FALSE)&lt;&gt;"",VLOOKUP(CK$7,(INDIRECT($C11&amp;$C$8)),CK$4,FALSE),0)</f>
        <v>0</v>
      </c>
      <c r="CL11" s="64">
        <f t="shared" ca="1" si="204"/>
        <v>0</v>
      </c>
      <c r="CM11" s="64">
        <f t="shared" ca="1" si="204"/>
        <v>0</v>
      </c>
      <c r="CN11" s="64" t="str">
        <f t="shared" ca="1" si="199"/>
        <v/>
      </c>
      <c r="CO11" s="64" t="str">
        <f t="shared" ca="1" si="199"/>
        <v/>
      </c>
      <c r="CP11" s="64" t="str">
        <f t="shared" ca="1" si="199"/>
        <v/>
      </c>
      <c r="CQ11" s="64">
        <f t="shared" ref="CQ11:CR25" ca="1" si="205">IF(VLOOKUP(CQ$7,(INDIRECT($C11&amp;$C$8)),CQ$4,FALSE)&gt;0,VLOOKUP(CQ$7,(INDIRECT($C11&amp;$C$8)),CQ$4,FALSE),0)</f>
        <v>0</v>
      </c>
      <c r="CR11" s="64">
        <f t="shared" ca="1" si="205"/>
        <v>0</v>
      </c>
      <c r="CS11" s="64"/>
      <c r="CT11" s="64"/>
      <c r="CU11" s="64" t="str">
        <f t="shared" ca="1" si="199"/>
        <v/>
      </c>
      <c r="CV11" s="64">
        <f t="shared" ref="CV11:CY25" ca="1" si="206">IF(VLOOKUP(CV$7,(INDIRECT($C11&amp;$C$8)),CV$4,FALSE)&lt;&gt;"",VLOOKUP(CV$7,(INDIRECT($C11&amp;$C$8)),CV$4,FALSE),0)</f>
        <v>0</v>
      </c>
      <c r="CW11" s="64">
        <f t="shared" ca="1" si="206"/>
        <v>0</v>
      </c>
      <c r="CX11" s="64"/>
      <c r="CY11" s="64">
        <f t="shared" ca="1" si="206"/>
        <v>0</v>
      </c>
      <c r="CZ11" s="64" t="e">
        <f t="shared" ref="CZ11:DI25" ca="1" si="207">IF(VLOOKUP(CZ$7,(INDIRECT($C11&amp;$C$8)),CZ$4,FALSE)&gt;0,VLOOKUP(CZ$7,(INDIRECT($C11&amp;$C$8)),CZ$4,FALSE),"")</f>
        <v>#DIV/0!</v>
      </c>
      <c r="DA11" s="64" t="str">
        <f t="shared" ca="1" si="207"/>
        <v/>
      </c>
      <c r="DB11" s="64" t="str">
        <f t="shared" ca="1" si="207"/>
        <v/>
      </c>
      <c r="DC11" s="64" t="str">
        <f t="shared" ca="1" si="207"/>
        <v/>
      </c>
      <c r="DD11" s="64" t="str">
        <f t="shared" ca="1" si="207"/>
        <v/>
      </c>
      <c r="DE11" s="64" t="str">
        <f t="shared" ca="1" si="207"/>
        <v/>
      </c>
      <c r="DF11" s="64" t="str">
        <f t="shared" ca="1" si="207"/>
        <v/>
      </c>
      <c r="DG11" s="64" t="str">
        <f ca="1">IF(VLOOKUP(DG$7,(INDIRECT($C11&amp;$C$8)),DG$4,FALSE)&gt;0,VLOOKUP(DG$7,(INDIRECT($C11&amp;$C$8)),DG$4,FALSE),"")</f>
        <v/>
      </c>
      <c r="DH11" s="64" t="str">
        <f t="shared" ca="1" si="207"/>
        <v/>
      </c>
      <c r="DI11" s="64" t="str">
        <f t="shared" ca="1" si="207"/>
        <v/>
      </c>
      <c r="DJ11" s="64" t="str">
        <f t="shared" ref="DJ11:DJ25" ca="1" si="208">IF(VLOOKUP(DJ$7,(INDIRECT($C11&amp;$C$8)),DJ$4,FALSE)&gt;0,VLOOKUP(DJ$7,(INDIRECT($C11&amp;$C$8)),DJ$4,FALSE),"")</f>
        <v/>
      </c>
      <c r="DK11" s="64" t="str">
        <f t="shared" ref="DK11:DK25" ca="1" si="209">IF(VLOOKUP(DK$7,(INDIRECT($C11&amp;$C$8)),DK$4,FALSE)&gt;0,VLOOKUP(DK$7,(INDIRECT($C11&amp;$C$8)),DK$4,FALSE),"")</f>
        <v/>
      </c>
      <c r="DL11" s="64" t="str">
        <f t="shared" ref="DL11:DL25" ca="1" si="210">IF(VLOOKUP(DL$7,(INDIRECT($C11&amp;$C$8)),DL$4,FALSE)&gt;0,VLOOKUP(DL$7,(INDIRECT($C11&amp;$C$8)),DL$4,FALSE),"")</f>
        <v/>
      </c>
      <c r="DM11" s="64"/>
      <c r="DN11" s="64"/>
      <c r="DO11" s="64">
        <f ca="1">IF(VLOOKUP(DO$7,(INDIRECT($C11&amp;$C$8)),DO$4,FALSE)&gt;0,VLOOKUP(DO$7,(INDIRECT($C11&amp;$C$8)),DO$4,FALSE),0)</f>
        <v>0</v>
      </c>
      <c r="DP11" s="64">
        <f t="shared" ref="DO11:DQ25" ca="1" si="211">IF(VLOOKUP(DP$7,(INDIRECT($C11&amp;$C$8)),DP$4,FALSE)&gt;0,VLOOKUP(DP$7,(INDIRECT($C11&amp;$C$8)),DP$4,FALSE),0)</f>
        <v>0</v>
      </c>
      <c r="DQ11" s="64">
        <f t="shared" ca="1" si="211"/>
        <v>0</v>
      </c>
      <c r="DR11" s="64"/>
      <c r="DS11" s="64" t="str">
        <f t="shared" ref="DS11:DS25" ca="1" si="212">IF(VLOOKUP(DS$7,(INDIRECT($C11&amp;$C$8)),DS$4,FALSE)&gt;0,VLOOKUP(DS$7,(INDIRECT($C11&amp;$C$8)),DS$4,FALSE),"")</f>
        <v/>
      </c>
      <c r="DT11" s="64" t="e">
        <f t="shared" ref="DT11:DW25" ca="1" si="213">IF(VLOOKUP(DT$7,(INDIRECT($C11&amp;$C$8)),DT$4,FALSE)&lt;&gt;"",VLOOKUP(DT$7,(INDIRECT($C11&amp;$C$8)),DT$4,FALSE),0)</f>
        <v>#DIV/0!</v>
      </c>
      <c r="DU11" s="64">
        <f t="shared" ca="1" si="213"/>
        <v>0</v>
      </c>
      <c r="DV11" s="64">
        <f t="shared" ca="1" si="213"/>
        <v>0</v>
      </c>
      <c r="DW11" s="64">
        <f t="shared" ca="1" si="213"/>
        <v>0</v>
      </c>
      <c r="DX11" s="64" t="str">
        <f t="shared" ref="DX11:EG25" ca="1" si="214">IF(VLOOKUP(DX$7,(INDIRECT($C11&amp;$C$8)),DX$4,FALSE)&gt;0,VLOOKUP(DX$7,(INDIRECT($C11&amp;$C$8)),DX$4,FALSE),"")</f>
        <v/>
      </c>
      <c r="DY11" s="64" t="str">
        <f t="shared" ca="1" si="214"/>
        <v/>
      </c>
      <c r="DZ11" s="64" t="str">
        <f t="shared" ca="1" si="214"/>
        <v/>
      </c>
      <c r="EA11" s="64" t="str">
        <f t="shared" ca="1" si="214"/>
        <v/>
      </c>
      <c r="EB11" s="64" t="str">
        <f t="shared" ca="1" si="214"/>
        <v/>
      </c>
      <c r="EC11" s="64" t="str">
        <f t="shared" ca="1" si="214"/>
        <v/>
      </c>
      <c r="ED11" s="64" t="str">
        <f t="shared" ca="1" si="214"/>
        <v/>
      </c>
      <c r="EE11" s="64" t="str">
        <f t="shared" ca="1" si="214"/>
        <v/>
      </c>
      <c r="EF11" s="64" t="str">
        <f t="shared" ca="1" si="214"/>
        <v/>
      </c>
      <c r="EG11" s="64" t="str">
        <f t="shared" ca="1" si="214"/>
        <v/>
      </c>
      <c r="EH11" s="64"/>
      <c r="EI11" s="64"/>
      <c r="EJ11" s="64"/>
      <c r="EK11" s="64"/>
      <c r="EX11" s="79">
        <v>1</v>
      </c>
      <c r="EY11" s="283" t="str">
        <f ca="1">IF(AX11="","Error Dato",IF(AY11="","",(IF((AY11-AX11)&gt;0,AY11-AX11,"Error Dato"))))</f>
        <v>Error Dato</v>
      </c>
      <c r="EZ11" s="283" t="str">
        <f t="shared" ref="EZ11" ca="1" si="215">+IF(EY11="Error Dato","",EY11)</f>
        <v/>
      </c>
      <c r="FA11" s="79" t="str">
        <f ca="1">IFERROR(IF((AZ11*AX11)&gt;1,AZ11*AX11,""),"")</f>
        <v/>
      </c>
      <c r="FB11" s="79">
        <f ca="1">+COUNTIF(BI11:BP11,$FB$7)</f>
        <v>0</v>
      </c>
      <c r="FC11" s="79" t="e">
        <f ca="1">+AD11*AE11</f>
        <v>#VALUE!</v>
      </c>
      <c r="FD11" s="79" t="str">
        <f ca="1">+BX11&amp;BY11&amp;BZ11&amp;CA11&amp;CB11</f>
        <v>00</v>
      </c>
      <c r="FE11" s="79" t="str">
        <f ca="1">+IF($FD11=Gráficos!$A$302,Consolidado!BU11,"")</f>
        <v/>
      </c>
      <c r="FF11" s="79" t="str">
        <f ca="1">+IF($FD11=Gráficos!$A$302,Consolidado!BV11,"")</f>
        <v/>
      </c>
      <c r="FG11" s="79" t="str">
        <f ca="1">+IF($FD11=Gráficos!$A$302,Consolidado!BW11,"")</f>
        <v/>
      </c>
      <c r="FH11" s="79" t="str">
        <f ca="1">+CJ11&amp;CK11&amp;CL11&amp;CM11&amp;CN11&amp;CO11</f>
        <v>0000</v>
      </c>
      <c r="FI11" s="79" t="str">
        <f ca="1">+IF($FH11=Gráficos!$A$335,Consolidado!CG11,"")</f>
        <v/>
      </c>
      <c r="FJ11" s="79" t="str">
        <f ca="1">+IF($FH11=Gráficos!$A$335,Consolidado!CH11,"")</f>
        <v/>
      </c>
      <c r="FK11" s="79" t="str">
        <f ca="1">+IF($FH11=Gráficos!$A$335,Consolidado!CI11,"")</f>
        <v/>
      </c>
      <c r="FL11" s="79" t="str">
        <f ca="1">+DA11&amp;DB11&amp;DC11&amp;DD11</f>
        <v/>
      </c>
      <c r="FM11" s="79">
        <f ca="1">+IF($FL11=Gráficos!$A$366,Consolidado!CW11,"")</f>
        <v>0</v>
      </c>
      <c r="FN11" s="79">
        <f ca="1">+IF($FL11=Gráficos!$A$366,Consolidado!CX11,"")</f>
        <v>0</v>
      </c>
      <c r="FO11" s="79">
        <f ca="1">+IF($FL11=Gráficos!$A$366,Consolidado!CY11,"")</f>
        <v>0</v>
      </c>
      <c r="FP11" s="79" t="e">
        <f ca="1">+IF($FL11=Gráficos!$A$366,Consolidado!CZ11,"")</f>
        <v>#DIV/0!</v>
      </c>
      <c r="FQ11" s="79" t="str">
        <f ca="1">+DU11&amp;DV11&amp;DW11&amp;DX11&amp;DY11</f>
        <v>000</v>
      </c>
      <c r="FR11" s="283">
        <f t="shared" ref="FR11:FU11" ca="1" si="216">+DQ11</f>
        <v>0</v>
      </c>
      <c r="FS11" s="283">
        <f t="shared" si="216"/>
        <v>0</v>
      </c>
      <c r="FT11" s="283" t="str">
        <f t="shared" ca="1" si="216"/>
        <v/>
      </c>
      <c r="FU11" s="283" t="e">
        <f t="shared" ca="1" si="216"/>
        <v>#DIV/0!</v>
      </c>
    </row>
    <row r="12" spans="1:177" x14ac:dyDescent="0.35">
      <c r="A12" s="79">
        <v>2</v>
      </c>
      <c r="B12" s="79"/>
      <c r="C12" s="287" t="str">
        <f t="shared" si="194"/>
        <v>'2'!</v>
      </c>
      <c r="D12" s="288" t="str">
        <f t="shared" ca="1" si="195"/>
        <v>2016-2017</v>
      </c>
      <c r="E12" s="64" t="str">
        <f t="shared" ref="E12:T25" ca="1" si="217">IF(VLOOKUP(E$7,(INDIRECT($C12&amp;$C$8)),E$4,FALSE)&gt;0,VLOOKUP(E$7,(INDIRECT($C12&amp;$C$8)),E$4,FALSE),"")</f>
        <v/>
      </c>
      <c r="F12" s="64" t="str">
        <f t="shared" ca="1" si="196"/>
        <v/>
      </c>
      <c r="G12" s="64" t="str">
        <f t="shared" ca="1" si="196"/>
        <v/>
      </c>
      <c r="H12" s="64" t="str">
        <f t="shared" ca="1" si="196"/>
        <v/>
      </c>
      <c r="I12" s="64" t="str">
        <f t="shared" ca="1" si="196"/>
        <v/>
      </c>
      <c r="J12" s="64" t="str">
        <f t="shared" ca="1" si="196"/>
        <v/>
      </c>
      <c r="K12" s="64" t="str">
        <f t="shared" ca="1" si="196"/>
        <v/>
      </c>
      <c r="L12" s="64" t="str">
        <f t="shared" ca="1" si="196"/>
        <v/>
      </c>
      <c r="M12" s="64" t="str">
        <f t="shared" ca="1" si="196"/>
        <v/>
      </c>
      <c r="N12" s="64" t="str">
        <f t="shared" ca="1" si="196"/>
        <v/>
      </c>
      <c r="O12" s="64" t="str">
        <f t="shared" ca="1" si="196"/>
        <v/>
      </c>
      <c r="P12" s="64" t="str">
        <f t="shared" ca="1" si="196"/>
        <v/>
      </c>
      <c r="Q12" s="64" t="str">
        <f t="shared" ca="1" si="196"/>
        <v/>
      </c>
      <c r="R12" s="64" t="str">
        <f t="shared" ca="1" si="196"/>
        <v/>
      </c>
      <c r="S12" s="64" t="str">
        <f t="shared" ca="1" si="196"/>
        <v/>
      </c>
      <c r="T12" s="64" t="str">
        <f t="shared" ca="1" si="196"/>
        <v/>
      </c>
      <c r="U12" s="64" t="str">
        <f t="shared" ca="1" si="196"/>
        <v/>
      </c>
      <c r="V12" s="64" t="str">
        <f t="shared" ca="1" si="196"/>
        <v/>
      </c>
      <c r="W12" s="64" t="str">
        <f t="shared" ca="1" si="196"/>
        <v/>
      </c>
      <c r="X12" s="64" t="str">
        <f t="shared" ca="1" si="196"/>
        <v/>
      </c>
      <c r="Y12" s="64" t="str">
        <f t="shared" ca="1" si="196"/>
        <v/>
      </c>
      <c r="Z12" s="64" t="str">
        <f t="shared" ca="1" si="196"/>
        <v/>
      </c>
      <c r="AA12" s="64" t="str">
        <f t="shared" ca="1" si="196"/>
        <v/>
      </c>
      <c r="AB12" s="64" t="str">
        <f t="shared" ca="1" si="196"/>
        <v/>
      </c>
      <c r="AC12" s="64" t="str">
        <f t="shared" ca="1" si="196"/>
        <v/>
      </c>
      <c r="AD12" s="64" t="str">
        <f t="shared" ca="1" si="196"/>
        <v/>
      </c>
      <c r="AE12" s="64" t="str">
        <f t="shared" ca="1" si="196"/>
        <v/>
      </c>
      <c r="AF12" s="64" t="str">
        <f t="shared" ca="1" si="196"/>
        <v/>
      </c>
      <c r="AG12" s="64" t="str">
        <f t="shared" ca="1" si="196"/>
        <v/>
      </c>
      <c r="AH12" s="64" t="str">
        <f t="shared" ca="1" si="196"/>
        <v/>
      </c>
      <c r="AI12" s="64" t="str">
        <f t="shared" ca="1" si="196"/>
        <v/>
      </c>
      <c r="AJ12" s="64" t="str">
        <f t="shared" ca="1" si="196"/>
        <v/>
      </c>
      <c r="AK12" s="64" t="str">
        <f t="shared" ca="1" si="196"/>
        <v/>
      </c>
      <c r="AL12" s="64" t="str">
        <f t="shared" ca="1" si="196"/>
        <v/>
      </c>
      <c r="AM12" s="64" t="str">
        <f t="shared" ca="1" si="196"/>
        <v/>
      </c>
      <c r="AN12" s="64" t="str">
        <f t="shared" ca="1" si="196"/>
        <v/>
      </c>
      <c r="AO12" s="64" t="str">
        <f t="shared" ca="1" si="196"/>
        <v/>
      </c>
      <c r="AP12" s="64" t="str">
        <f t="shared" ca="1" si="196"/>
        <v/>
      </c>
      <c r="AQ12" s="64" t="str">
        <f t="shared" ca="1" si="196"/>
        <v/>
      </c>
      <c r="AR12" s="64" t="str">
        <f t="shared" ca="1" si="196"/>
        <v/>
      </c>
      <c r="AS12" s="64" t="str">
        <f t="shared" ca="1" si="196"/>
        <v/>
      </c>
      <c r="AT12" s="64" t="str">
        <f t="shared" ca="1" si="196"/>
        <v/>
      </c>
      <c r="AU12" s="64" t="str">
        <f t="shared" ca="1" si="196"/>
        <v/>
      </c>
      <c r="AV12" s="64" t="str">
        <f t="shared" ca="1" si="196"/>
        <v/>
      </c>
      <c r="AW12" s="64" t="str">
        <f t="shared" ca="1" si="196"/>
        <v/>
      </c>
      <c r="AX12" s="64" t="str">
        <f t="shared" ca="1" si="196"/>
        <v/>
      </c>
      <c r="AY12" s="64" t="str">
        <f t="shared" ca="1" si="196"/>
        <v/>
      </c>
      <c r="AZ12" s="64" t="str">
        <f t="shared" ca="1" si="196"/>
        <v/>
      </c>
      <c r="BA12" s="64" t="str">
        <f t="shared" ca="1" si="196"/>
        <v/>
      </c>
      <c r="BB12" s="64" t="str">
        <f t="shared" ca="1" si="196"/>
        <v/>
      </c>
      <c r="BC12" s="64" t="str">
        <f t="shared" ca="1" si="196"/>
        <v/>
      </c>
      <c r="BD12" s="64" t="str">
        <f t="shared" ca="1" si="196"/>
        <v/>
      </c>
      <c r="BE12" s="64" t="str">
        <f t="shared" ca="1" si="196"/>
        <v/>
      </c>
      <c r="BF12" s="64" t="str">
        <f t="shared" ca="1" si="196"/>
        <v/>
      </c>
      <c r="BG12" s="64" t="str">
        <f t="shared" ca="1" si="196"/>
        <v/>
      </c>
      <c r="BH12" s="64" t="str">
        <f t="shared" ca="1" si="196"/>
        <v/>
      </c>
      <c r="BI12" s="64" t="str">
        <f t="shared" ca="1" si="196"/>
        <v/>
      </c>
      <c r="BJ12" s="64" t="str">
        <f t="shared" ca="1" si="196"/>
        <v/>
      </c>
      <c r="BK12" s="64" t="str">
        <f t="shared" ca="1" si="196"/>
        <v/>
      </c>
      <c r="BL12" s="64" t="str">
        <f t="shared" ref="BL12:BL14" ca="1" si="218">IF(VLOOKUP(BL$7,(INDIRECT($C12&amp;$C$8)),BL$4,FALSE)&gt;0,VLOOKUP(BL$7,(INDIRECT($C12&amp;$C$8)),BL$4,FALSE),"")</f>
        <v/>
      </c>
      <c r="BM12" s="64" t="str">
        <f t="shared" ca="1" si="196"/>
        <v/>
      </c>
      <c r="BN12" s="64" t="str">
        <f t="shared" ca="1" si="196"/>
        <v/>
      </c>
      <c r="BO12" s="64" t="str">
        <f t="shared" ca="1" si="198"/>
        <v/>
      </c>
      <c r="BP12" s="64" t="str">
        <f t="shared" ca="1" si="198"/>
        <v/>
      </c>
      <c r="BQ12" s="64" t="str">
        <f t="shared" ca="1" si="199"/>
        <v/>
      </c>
      <c r="BR12" s="64" t="str">
        <f t="shared" ca="1" si="199"/>
        <v/>
      </c>
      <c r="BS12" s="64" t="e">
        <f t="shared" ref="BS12:BS14" ca="1" si="219">+BW12*BR12+120*BR12</f>
        <v>#DIV/0!</v>
      </c>
      <c r="BT12" s="64" t="str">
        <f t="shared" ca="1" si="199"/>
        <v/>
      </c>
      <c r="BU12" s="64" t="e">
        <f t="shared" ca="1" si="201"/>
        <v>#DIV/0!</v>
      </c>
      <c r="BV12" s="64" t="e">
        <f t="shared" ca="1" si="201"/>
        <v>#DIV/0!</v>
      </c>
      <c r="BW12" s="64" t="e">
        <f t="shared" ca="1" si="201"/>
        <v>#DIV/0!</v>
      </c>
      <c r="BX12" s="64" t="str">
        <f t="shared" ca="1" si="199"/>
        <v/>
      </c>
      <c r="BY12" s="64" t="str">
        <f t="shared" ca="1" si="199"/>
        <v/>
      </c>
      <c r="BZ12" s="64" t="str">
        <f t="shared" ca="1" si="199"/>
        <v/>
      </c>
      <c r="CA12" s="64">
        <f t="shared" ca="1" si="202"/>
        <v>0</v>
      </c>
      <c r="CB12" s="64">
        <f t="shared" ca="1" si="202"/>
        <v>0</v>
      </c>
      <c r="CC12" s="64">
        <f t="shared" ca="1" si="202"/>
        <v>0</v>
      </c>
      <c r="CD12" s="64" t="str">
        <f t="shared" ca="1" si="199"/>
        <v/>
      </c>
      <c r="CE12" s="64" t="str">
        <f t="shared" ca="1" si="199"/>
        <v/>
      </c>
      <c r="CF12" s="64">
        <f t="shared" ca="1" si="203"/>
        <v>0</v>
      </c>
      <c r="CG12" s="64" t="e">
        <f t="shared" ca="1" si="203"/>
        <v>#DIV/0!</v>
      </c>
      <c r="CH12" s="64" t="e">
        <f t="shared" ca="1" si="203"/>
        <v>#DIV/0!</v>
      </c>
      <c r="CI12" s="64" t="e">
        <f t="shared" ca="1" si="199"/>
        <v>#DIV/0!</v>
      </c>
      <c r="CJ12" s="64">
        <f t="shared" ref="CJ12:CJ25" ca="1" si="220">IF(VLOOKUP(CJ$7,(INDIRECT($C12&amp;$C$8)),CJ$4,FALSE)&gt;0,VLOOKUP(CJ$7,(INDIRECT($C12&amp;$C$8)),CJ$4,FALSE),0)</f>
        <v>0</v>
      </c>
      <c r="CK12" s="64">
        <f t="shared" ca="1" si="204"/>
        <v>0</v>
      </c>
      <c r="CL12" s="64">
        <f t="shared" ca="1" si="204"/>
        <v>0</v>
      </c>
      <c r="CM12" s="64">
        <f t="shared" ca="1" si="204"/>
        <v>0</v>
      </c>
      <c r="CN12" s="64" t="str">
        <f t="shared" ca="1" si="199"/>
        <v/>
      </c>
      <c r="CO12" s="64" t="str">
        <f t="shared" ca="1" si="199"/>
        <v/>
      </c>
      <c r="CP12" s="64" t="str">
        <f t="shared" ca="1" si="199"/>
        <v/>
      </c>
      <c r="CQ12" s="64">
        <f t="shared" ca="1" si="205"/>
        <v>0</v>
      </c>
      <c r="CR12" s="64">
        <f t="shared" ca="1" si="205"/>
        <v>0</v>
      </c>
      <c r="CS12" s="64"/>
      <c r="CT12" s="64"/>
      <c r="CU12" s="64" t="str">
        <f t="shared" ca="1" si="199"/>
        <v/>
      </c>
      <c r="CV12" s="64">
        <f t="shared" ca="1" si="206"/>
        <v>0</v>
      </c>
      <c r="CW12" s="64">
        <f t="shared" ca="1" si="206"/>
        <v>0</v>
      </c>
      <c r="CX12" s="64"/>
      <c r="CY12" s="64">
        <f t="shared" ca="1" si="206"/>
        <v>0</v>
      </c>
      <c r="CZ12" s="64" t="e">
        <f t="shared" ca="1" si="207"/>
        <v>#DIV/0!</v>
      </c>
      <c r="DA12" s="64" t="str">
        <f t="shared" ca="1" si="207"/>
        <v/>
      </c>
      <c r="DB12" s="64" t="str">
        <f t="shared" ca="1" si="207"/>
        <v/>
      </c>
      <c r="DC12" s="64" t="str">
        <f t="shared" ca="1" si="207"/>
        <v/>
      </c>
      <c r="DD12" s="64" t="str">
        <f t="shared" ca="1" si="207"/>
        <v/>
      </c>
      <c r="DE12" s="64" t="str">
        <f t="shared" ca="1" si="207"/>
        <v/>
      </c>
      <c r="DF12" s="64" t="str">
        <f t="shared" ca="1" si="207"/>
        <v/>
      </c>
      <c r="DG12" s="64" t="str">
        <f t="shared" ca="1" si="207"/>
        <v/>
      </c>
      <c r="DH12" s="64" t="str">
        <f t="shared" ca="1" si="207"/>
        <v/>
      </c>
      <c r="DI12" s="64" t="str">
        <f t="shared" ca="1" si="207"/>
        <v/>
      </c>
      <c r="DJ12" s="64" t="str">
        <f t="shared" ca="1" si="208"/>
        <v/>
      </c>
      <c r="DK12" s="64" t="str">
        <f t="shared" ca="1" si="209"/>
        <v/>
      </c>
      <c r="DL12" s="64" t="str">
        <f t="shared" ca="1" si="210"/>
        <v/>
      </c>
      <c r="DM12" s="64"/>
      <c r="DN12" s="64"/>
      <c r="DO12" s="64">
        <f t="shared" ca="1" si="211"/>
        <v>0</v>
      </c>
      <c r="DP12" s="64">
        <f t="shared" ca="1" si="211"/>
        <v>0</v>
      </c>
      <c r="DQ12" s="64">
        <f t="shared" ca="1" si="211"/>
        <v>0</v>
      </c>
      <c r="DR12" s="64"/>
      <c r="DS12" s="64" t="str">
        <f t="shared" ca="1" si="212"/>
        <v/>
      </c>
      <c r="DT12" s="64" t="e">
        <f t="shared" ca="1" si="213"/>
        <v>#DIV/0!</v>
      </c>
      <c r="DU12" s="64">
        <f t="shared" ca="1" si="213"/>
        <v>0</v>
      </c>
      <c r="DV12" s="64">
        <f t="shared" ca="1" si="213"/>
        <v>0</v>
      </c>
      <c r="DW12" s="64">
        <f t="shared" ca="1" si="213"/>
        <v>0</v>
      </c>
      <c r="DX12" s="64" t="str">
        <f t="shared" ca="1" si="214"/>
        <v/>
      </c>
      <c r="DY12" s="64" t="str">
        <f t="shared" ca="1" si="214"/>
        <v/>
      </c>
      <c r="DZ12" s="64" t="str">
        <f t="shared" ca="1" si="214"/>
        <v/>
      </c>
      <c r="EA12" s="64" t="str">
        <f t="shared" ca="1" si="214"/>
        <v/>
      </c>
      <c r="EB12" s="64" t="str">
        <f t="shared" ca="1" si="214"/>
        <v/>
      </c>
      <c r="EC12" s="64" t="str">
        <f t="shared" ca="1" si="214"/>
        <v/>
      </c>
      <c r="ED12" s="64" t="str">
        <f t="shared" ca="1" si="214"/>
        <v/>
      </c>
      <c r="EE12" s="64" t="str">
        <f t="shared" ca="1" si="214"/>
        <v/>
      </c>
      <c r="EF12" s="64" t="str">
        <f t="shared" ca="1" si="214"/>
        <v/>
      </c>
      <c r="EG12" s="64" t="str">
        <f t="shared" ca="1" si="214"/>
        <v/>
      </c>
      <c r="EH12" s="64"/>
      <c r="EI12" s="64"/>
      <c r="EJ12" s="64"/>
      <c r="EK12" s="64"/>
      <c r="EL12" s="79"/>
      <c r="EM12" s="79"/>
      <c r="EN12" s="79"/>
      <c r="EO12" s="79"/>
      <c r="EP12" s="79"/>
      <c r="EQ12" s="79"/>
      <c r="ER12" s="79"/>
      <c r="ES12" s="79"/>
      <c r="ET12" s="79"/>
      <c r="EU12" s="79"/>
      <c r="EV12" s="79"/>
      <c r="EW12" s="79"/>
      <c r="EX12" s="79">
        <v>2</v>
      </c>
      <c r="EY12" s="283" t="str">
        <f t="shared" ref="EY12:EY14" ca="1" si="221">IF(AX12="","Error Dato",IF(AY12="","",(IF((AY12-AX12)&gt;0,AY12-AX12,"Error Dato"))))</f>
        <v>Error Dato</v>
      </c>
      <c r="EZ12" s="283" t="str">
        <f t="shared" ref="EZ12:EZ14" ca="1" si="222">+IF(EY12="Error Dato","",EY12)</f>
        <v/>
      </c>
      <c r="FA12" s="79" t="str">
        <f t="shared" ref="FA12:FA14" ca="1" si="223">IFERROR(IF((AZ12*AX12)&gt;1,AZ12*AX12,""),"")</f>
        <v/>
      </c>
      <c r="FB12" s="79">
        <f t="shared" ref="FB12:FB14" ca="1" si="224">+COUNTIF(BI12:BP12,$FB$7)</f>
        <v>0</v>
      </c>
      <c r="FC12" s="79" t="e">
        <f t="shared" ref="FC12:FC14" ca="1" si="225">+AD12*AE12</f>
        <v>#VALUE!</v>
      </c>
      <c r="FD12" s="79" t="str">
        <f t="shared" ref="FD12:FD14" ca="1" si="226">+BX12&amp;BY12&amp;BZ12&amp;CA12&amp;CB12</f>
        <v>00</v>
      </c>
      <c r="FE12" s="79" t="str">
        <f ca="1">+IF($FD12=Gráficos!$A$302,Consolidado!BU12,"")</f>
        <v/>
      </c>
      <c r="FF12" s="79" t="str">
        <f ca="1">+IF($FD12=Gráficos!$A$302,Consolidado!BV12,"")</f>
        <v/>
      </c>
      <c r="FG12" s="79" t="str">
        <f ca="1">+IF($FD12=Gráficos!$A$302,Consolidado!BW12,"")</f>
        <v/>
      </c>
      <c r="FH12" s="79" t="str">
        <f t="shared" ref="FH12:FH14" ca="1" si="227">+CJ12&amp;CK12&amp;CL12&amp;CM12&amp;CN12&amp;CO12</f>
        <v>0000</v>
      </c>
      <c r="FI12" s="79" t="str">
        <f ca="1">+IF($FH12=Gráficos!$A$335,Consolidado!CG12,"")</f>
        <v/>
      </c>
      <c r="FJ12" s="79" t="str">
        <f ca="1">+IF($FH12=Gráficos!$A$335,Consolidado!CH12,"")</f>
        <v/>
      </c>
      <c r="FK12" s="79" t="str">
        <f ca="1">+IF($FH12=Gráficos!$A$335,Consolidado!CI12,"")</f>
        <v/>
      </c>
      <c r="FL12" s="79" t="str">
        <f t="shared" ref="FL12:FL14" ca="1" si="228">+DA12&amp;DB12&amp;DC12&amp;DD12</f>
        <v/>
      </c>
      <c r="FM12" s="79">
        <f ca="1">+IF($FL12=Gráficos!$A$366,Consolidado!CW12,"")</f>
        <v>0</v>
      </c>
      <c r="FN12" s="79">
        <f ca="1">+IF($FL12=Gráficos!$A$366,Consolidado!CX12,"")</f>
        <v>0</v>
      </c>
      <c r="FO12" s="79">
        <f ca="1">+IF($FL12=Gráficos!$A$366,Consolidado!CY12,"")</f>
        <v>0</v>
      </c>
      <c r="FP12" s="79" t="e">
        <f ca="1">+IF($FL12=Gráficos!$A$366,Consolidado!CZ12,"")</f>
        <v>#DIV/0!</v>
      </c>
      <c r="FQ12" s="79" t="str">
        <f t="shared" ref="FQ12:FQ14" ca="1" si="229">+DU12&amp;DV12&amp;DW12&amp;DX12&amp;DY12</f>
        <v>000</v>
      </c>
      <c r="FR12" s="283">
        <f t="shared" ref="FR12:FR14" ca="1" si="230">+DQ12</f>
        <v>0</v>
      </c>
      <c r="FS12" s="283">
        <f t="shared" ref="FS12:FS14" si="231">+DR12</f>
        <v>0</v>
      </c>
      <c r="FT12" s="283" t="str">
        <f t="shared" ref="FT12:FT14" ca="1" si="232">+DS12</f>
        <v/>
      </c>
      <c r="FU12" s="283" t="e">
        <f t="shared" ref="FU12:FU14" ca="1" si="233">+DT12</f>
        <v>#DIV/0!</v>
      </c>
    </row>
    <row r="13" spans="1:177" x14ac:dyDescent="0.35">
      <c r="A13" s="79">
        <v>3</v>
      </c>
      <c r="B13" s="79"/>
      <c r="C13" s="287" t="str">
        <f t="shared" si="194"/>
        <v>'3'!</v>
      </c>
      <c r="D13" s="288" t="str">
        <f t="shared" ca="1" si="195"/>
        <v>2016-2017</v>
      </c>
      <c r="E13" s="64" t="str">
        <f t="shared" ca="1" si="217"/>
        <v/>
      </c>
      <c r="F13" s="64" t="str">
        <f t="shared" ca="1" si="196"/>
        <v/>
      </c>
      <c r="G13" s="64" t="str">
        <f t="shared" ca="1" si="196"/>
        <v/>
      </c>
      <c r="H13" s="64" t="str">
        <f t="shared" ca="1" si="196"/>
        <v/>
      </c>
      <c r="I13" s="64" t="str">
        <f t="shared" ca="1" si="196"/>
        <v/>
      </c>
      <c r="J13" s="64" t="str">
        <f t="shared" ca="1" si="196"/>
        <v/>
      </c>
      <c r="K13" s="64" t="str">
        <f t="shared" ca="1" si="196"/>
        <v/>
      </c>
      <c r="L13" s="64" t="str">
        <f t="shared" ca="1" si="196"/>
        <v/>
      </c>
      <c r="M13" s="64" t="str">
        <f t="shared" ca="1" si="196"/>
        <v/>
      </c>
      <c r="N13" s="64" t="str">
        <f t="shared" ca="1" si="196"/>
        <v/>
      </c>
      <c r="O13" s="64" t="str">
        <f t="shared" ca="1" si="196"/>
        <v/>
      </c>
      <c r="P13" s="64" t="str">
        <f t="shared" ca="1" si="196"/>
        <v/>
      </c>
      <c r="Q13" s="64" t="str">
        <f t="shared" ca="1" si="196"/>
        <v/>
      </c>
      <c r="R13" s="64" t="str">
        <f t="shared" ca="1" si="196"/>
        <v/>
      </c>
      <c r="S13" s="64" t="str">
        <f t="shared" ca="1" si="196"/>
        <v/>
      </c>
      <c r="T13" s="64" t="str">
        <f t="shared" ca="1" si="196"/>
        <v/>
      </c>
      <c r="U13" s="64" t="str">
        <f t="shared" ca="1" si="196"/>
        <v/>
      </c>
      <c r="V13" s="64" t="str">
        <f t="shared" ca="1" si="196"/>
        <v/>
      </c>
      <c r="W13" s="64" t="str">
        <f t="shared" ca="1" si="196"/>
        <v/>
      </c>
      <c r="X13" s="64" t="str">
        <f t="shared" ca="1" si="196"/>
        <v/>
      </c>
      <c r="Y13" s="64" t="str">
        <f t="shared" ca="1" si="196"/>
        <v/>
      </c>
      <c r="Z13" s="64" t="str">
        <f t="shared" ca="1" si="196"/>
        <v/>
      </c>
      <c r="AA13" s="64" t="str">
        <f t="shared" ca="1" si="196"/>
        <v/>
      </c>
      <c r="AB13" s="64" t="str">
        <f t="shared" ca="1" si="196"/>
        <v/>
      </c>
      <c r="AC13" s="64" t="str">
        <f t="shared" ca="1" si="196"/>
        <v/>
      </c>
      <c r="AD13" s="64" t="str">
        <f t="shared" ca="1" si="196"/>
        <v/>
      </c>
      <c r="AE13" s="64" t="str">
        <f t="shared" ca="1" si="196"/>
        <v/>
      </c>
      <c r="AF13" s="64" t="str">
        <f t="shared" ca="1" si="196"/>
        <v/>
      </c>
      <c r="AG13" s="64" t="str">
        <f t="shared" ca="1" si="196"/>
        <v/>
      </c>
      <c r="AH13" s="64" t="str">
        <f t="shared" ca="1" si="196"/>
        <v/>
      </c>
      <c r="AI13" s="64" t="str">
        <f t="shared" ca="1" si="196"/>
        <v/>
      </c>
      <c r="AJ13" s="64" t="str">
        <f t="shared" ca="1" si="196"/>
        <v/>
      </c>
      <c r="AK13" s="64" t="str">
        <f t="shared" ca="1" si="196"/>
        <v/>
      </c>
      <c r="AL13" s="64" t="str">
        <f t="shared" ca="1" si="196"/>
        <v/>
      </c>
      <c r="AM13" s="64" t="str">
        <f t="shared" ca="1" si="196"/>
        <v/>
      </c>
      <c r="AN13" s="64" t="str">
        <f t="shared" ca="1" si="196"/>
        <v/>
      </c>
      <c r="AO13" s="64" t="str">
        <f t="shared" ca="1" si="196"/>
        <v/>
      </c>
      <c r="AP13" s="64" t="str">
        <f t="shared" ca="1" si="196"/>
        <v/>
      </c>
      <c r="AQ13" s="64" t="str">
        <f t="shared" ca="1" si="196"/>
        <v/>
      </c>
      <c r="AR13" s="64" t="str">
        <f t="shared" ca="1" si="196"/>
        <v/>
      </c>
      <c r="AS13" s="64" t="str">
        <f t="shared" ca="1" si="196"/>
        <v/>
      </c>
      <c r="AT13" s="64" t="str">
        <f t="shared" ca="1" si="196"/>
        <v/>
      </c>
      <c r="AU13" s="64" t="str">
        <f t="shared" ca="1" si="196"/>
        <v/>
      </c>
      <c r="AV13" s="64" t="str">
        <f t="shared" ca="1" si="196"/>
        <v/>
      </c>
      <c r="AW13" s="64" t="str">
        <f t="shared" ca="1" si="196"/>
        <v/>
      </c>
      <c r="AX13" s="64" t="str">
        <f t="shared" ca="1" si="196"/>
        <v/>
      </c>
      <c r="AY13" s="64" t="str">
        <f t="shared" ca="1" si="196"/>
        <v/>
      </c>
      <c r="AZ13" s="64" t="str">
        <f t="shared" ca="1" si="196"/>
        <v/>
      </c>
      <c r="BA13" s="64" t="str">
        <f t="shared" ca="1" si="196"/>
        <v/>
      </c>
      <c r="BB13" s="64" t="str">
        <f t="shared" ca="1" si="196"/>
        <v/>
      </c>
      <c r="BC13" s="64" t="str">
        <f t="shared" ca="1" si="196"/>
        <v/>
      </c>
      <c r="BD13" s="64" t="str">
        <f t="shared" ca="1" si="196"/>
        <v/>
      </c>
      <c r="BE13" s="64" t="str">
        <f t="shared" ca="1" si="196"/>
        <v/>
      </c>
      <c r="BF13" s="64" t="str">
        <f t="shared" ca="1" si="196"/>
        <v/>
      </c>
      <c r="BG13" s="64" t="str">
        <f t="shared" ca="1" si="196"/>
        <v/>
      </c>
      <c r="BH13" s="64" t="str">
        <f t="shared" ca="1" si="196"/>
        <v/>
      </c>
      <c r="BI13" s="64" t="str">
        <f t="shared" ca="1" si="196"/>
        <v/>
      </c>
      <c r="BJ13" s="64" t="str">
        <f t="shared" ca="1" si="196"/>
        <v/>
      </c>
      <c r="BK13" s="64" t="str">
        <f t="shared" ca="1" si="196"/>
        <v/>
      </c>
      <c r="BL13" s="64" t="str">
        <f t="shared" ca="1" si="218"/>
        <v/>
      </c>
      <c r="BM13" s="64" t="str">
        <f t="shared" ca="1" si="196"/>
        <v/>
      </c>
      <c r="BN13" s="64" t="str">
        <f t="shared" ca="1" si="196"/>
        <v/>
      </c>
      <c r="BO13" s="64" t="str">
        <f t="shared" ca="1" si="198"/>
        <v/>
      </c>
      <c r="BP13" s="64" t="str">
        <f t="shared" ca="1" si="198"/>
        <v/>
      </c>
      <c r="BQ13" s="64" t="str">
        <f t="shared" ca="1" si="199"/>
        <v/>
      </c>
      <c r="BR13" s="64" t="str">
        <f t="shared" ca="1" si="199"/>
        <v/>
      </c>
      <c r="BS13" s="64" t="e">
        <f t="shared" ca="1" si="219"/>
        <v>#DIV/0!</v>
      </c>
      <c r="BT13" s="64" t="str">
        <f t="shared" ca="1" si="199"/>
        <v/>
      </c>
      <c r="BU13" s="64" t="e">
        <f t="shared" ca="1" si="201"/>
        <v>#DIV/0!</v>
      </c>
      <c r="BV13" s="64" t="e">
        <f t="shared" ca="1" si="201"/>
        <v>#DIV/0!</v>
      </c>
      <c r="BW13" s="64" t="e">
        <f t="shared" ca="1" si="201"/>
        <v>#DIV/0!</v>
      </c>
      <c r="BX13" s="64" t="str">
        <f t="shared" ca="1" si="199"/>
        <v/>
      </c>
      <c r="BY13" s="64" t="str">
        <f t="shared" ca="1" si="199"/>
        <v/>
      </c>
      <c r="BZ13" s="64" t="str">
        <f t="shared" ca="1" si="199"/>
        <v/>
      </c>
      <c r="CA13" s="64">
        <f t="shared" ca="1" si="202"/>
        <v>0</v>
      </c>
      <c r="CB13" s="64">
        <f t="shared" ca="1" si="202"/>
        <v>0</v>
      </c>
      <c r="CC13" s="64">
        <f t="shared" ca="1" si="202"/>
        <v>0</v>
      </c>
      <c r="CD13" s="64" t="str">
        <f t="shared" ca="1" si="199"/>
        <v/>
      </c>
      <c r="CE13" s="64" t="str">
        <f t="shared" ca="1" si="199"/>
        <v/>
      </c>
      <c r="CF13" s="64">
        <f t="shared" ca="1" si="203"/>
        <v>0</v>
      </c>
      <c r="CG13" s="64" t="e">
        <f t="shared" ca="1" si="203"/>
        <v>#DIV/0!</v>
      </c>
      <c r="CH13" s="64" t="e">
        <f t="shared" ca="1" si="203"/>
        <v>#DIV/0!</v>
      </c>
      <c r="CI13" s="64" t="e">
        <f t="shared" ca="1" si="199"/>
        <v>#DIV/0!</v>
      </c>
      <c r="CJ13" s="64">
        <f t="shared" ca="1" si="220"/>
        <v>0</v>
      </c>
      <c r="CK13" s="64">
        <f t="shared" ca="1" si="204"/>
        <v>0</v>
      </c>
      <c r="CL13" s="64">
        <f t="shared" ca="1" si="204"/>
        <v>0</v>
      </c>
      <c r="CM13" s="64">
        <f t="shared" ca="1" si="204"/>
        <v>0</v>
      </c>
      <c r="CN13" s="64" t="str">
        <f t="shared" ca="1" si="199"/>
        <v/>
      </c>
      <c r="CO13" s="64" t="str">
        <f t="shared" ca="1" si="199"/>
        <v/>
      </c>
      <c r="CP13" s="64" t="str">
        <f t="shared" ca="1" si="199"/>
        <v/>
      </c>
      <c r="CQ13" s="64">
        <f t="shared" ca="1" si="205"/>
        <v>0</v>
      </c>
      <c r="CR13" s="64">
        <f t="shared" ca="1" si="205"/>
        <v>0</v>
      </c>
      <c r="CS13" s="64"/>
      <c r="CT13" s="64"/>
      <c r="CU13" s="64" t="str">
        <f t="shared" ca="1" si="199"/>
        <v/>
      </c>
      <c r="CV13" s="64">
        <f t="shared" ca="1" si="206"/>
        <v>0</v>
      </c>
      <c r="CW13" s="64">
        <f t="shared" ca="1" si="206"/>
        <v>0</v>
      </c>
      <c r="CX13" s="64"/>
      <c r="CY13" s="64">
        <f t="shared" ca="1" si="206"/>
        <v>0</v>
      </c>
      <c r="CZ13" s="64" t="e">
        <f t="shared" ca="1" si="207"/>
        <v>#DIV/0!</v>
      </c>
      <c r="DA13" s="64" t="str">
        <f t="shared" ca="1" si="207"/>
        <v/>
      </c>
      <c r="DB13" s="64" t="str">
        <f t="shared" ca="1" si="207"/>
        <v/>
      </c>
      <c r="DC13" s="64" t="str">
        <f t="shared" ca="1" si="207"/>
        <v/>
      </c>
      <c r="DD13" s="64" t="str">
        <f t="shared" ca="1" si="207"/>
        <v/>
      </c>
      <c r="DE13" s="64" t="str">
        <f t="shared" ca="1" si="207"/>
        <v/>
      </c>
      <c r="DF13" s="64" t="str">
        <f t="shared" ca="1" si="207"/>
        <v/>
      </c>
      <c r="DG13" s="64" t="str">
        <f t="shared" ca="1" si="207"/>
        <v/>
      </c>
      <c r="DH13" s="64" t="str">
        <f t="shared" ca="1" si="207"/>
        <v/>
      </c>
      <c r="DI13" s="64" t="str">
        <f t="shared" ca="1" si="207"/>
        <v/>
      </c>
      <c r="DJ13" s="64" t="str">
        <f t="shared" ca="1" si="208"/>
        <v/>
      </c>
      <c r="DK13" s="64" t="str">
        <f t="shared" ca="1" si="209"/>
        <v/>
      </c>
      <c r="DL13" s="64" t="str">
        <f t="shared" ca="1" si="210"/>
        <v/>
      </c>
      <c r="DM13" s="64"/>
      <c r="DN13" s="64"/>
      <c r="DO13" s="64">
        <f t="shared" ca="1" si="211"/>
        <v>0</v>
      </c>
      <c r="DP13" s="64">
        <f t="shared" ca="1" si="211"/>
        <v>0</v>
      </c>
      <c r="DQ13" s="64">
        <f t="shared" ca="1" si="211"/>
        <v>0</v>
      </c>
      <c r="DR13" s="64"/>
      <c r="DS13" s="64" t="str">
        <f t="shared" ca="1" si="212"/>
        <v/>
      </c>
      <c r="DT13" s="64" t="e">
        <f t="shared" ca="1" si="213"/>
        <v>#DIV/0!</v>
      </c>
      <c r="DU13" s="64">
        <f t="shared" ca="1" si="213"/>
        <v>0</v>
      </c>
      <c r="DV13" s="64">
        <f t="shared" ca="1" si="213"/>
        <v>0</v>
      </c>
      <c r="DW13" s="64">
        <f t="shared" ca="1" si="213"/>
        <v>0</v>
      </c>
      <c r="DX13" s="64" t="str">
        <f t="shared" ca="1" si="214"/>
        <v/>
      </c>
      <c r="DY13" s="64" t="str">
        <f t="shared" ca="1" si="214"/>
        <v/>
      </c>
      <c r="DZ13" s="64" t="str">
        <f t="shared" ca="1" si="214"/>
        <v/>
      </c>
      <c r="EA13" s="64" t="str">
        <f t="shared" ca="1" si="214"/>
        <v/>
      </c>
      <c r="EB13" s="64" t="str">
        <f t="shared" ca="1" si="214"/>
        <v/>
      </c>
      <c r="EC13" s="64" t="str">
        <f t="shared" ca="1" si="214"/>
        <v/>
      </c>
      <c r="ED13" s="64" t="str">
        <f t="shared" ca="1" si="214"/>
        <v/>
      </c>
      <c r="EE13" s="64" t="str">
        <f t="shared" ca="1" si="214"/>
        <v/>
      </c>
      <c r="EF13" s="64" t="str">
        <f t="shared" ca="1" si="214"/>
        <v/>
      </c>
      <c r="EG13" s="64" t="str">
        <f t="shared" ca="1" si="214"/>
        <v/>
      </c>
      <c r="EH13" s="64"/>
      <c r="EI13" s="64"/>
      <c r="EJ13" s="64"/>
      <c r="EK13" s="64"/>
      <c r="EL13" s="79"/>
      <c r="EM13" s="79"/>
      <c r="EN13" s="79"/>
      <c r="EO13" s="79"/>
      <c r="EP13" s="79"/>
      <c r="EQ13" s="79"/>
      <c r="ER13" s="79"/>
      <c r="ES13" s="79"/>
      <c r="ET13" s="79"/>
      <c r="EU13" s="79"/>
      <c r="EV13" s="79"/>
      <c r="EW13" s="79"/>
      <c r="EX13" s="79">
        <v>3</v>
      </c>
      <c r="EY13" s="283" t="str">
        <f t="shared" ca="1" si="221"/>
        <v>Error Dato</v>
      </c>
      <c r="EZ13" s="283" t="str">
        <f t="shared" ca="1" si="222"/>
        <v/>
      </c>
      <c r="FA13" s="79" t="str">
        <f t="shared" ca="1" si="223"/>
        <v/>
      </c>
      <c r="FB13" s="79">
        <f t="shared" ca="1" si="224"/>
        <v>0</v>
      </c>
      <c r="FC13" s="79" t="e">
        <f t="shared" ca="1" si="225"/>
        <v>#VALUE!</v>
      </c>
      <c r="FD13" s="79" t="str">
        <f t="shared" ca="1" si="226"/>
        <v>00</v>
      </c>
      <c r="FE13" s="79" t="str">
        <f ca="1">+IF($FD13=Gráficos!$A$302,Consolidado!BU13,"")</f>
        <v/>
      </c>
      <c r="FF13" s="79" t="str">
        <f ca="1">+IF($FD13=Gráficos!$A$302,Consolidado!BV13,"")</f>
        <v/>
      </c>
      <c r="FG13" s="79" t="str">
        <f ca="1">+IF($FD13=Gráficos!$A$302,Consolidado!BW13,"")</f>
        <v/>
      </c>
      <c r="FH13" s="79" t="str">
        <f t="shared" ca="1" si="227"/>
        <v>0000</v>
      </c>
      <c r="FI13" s="79" t="str">
        <f ca="1">+IF($FH13=Gráficos!$A$335,Consolidado!CG13,"")</f>
        <v/>
      </c>
      <c r="FJ13" s="79" t="str">
        <f ca="1">+IF($FH13=Gráficos!$A$335,Consolidado!CH13,"")</f>
        <v/>
      </c>
      <c r="FK13" s="79" t="str">
        <f ca="1">+IF($FH13=Gráficos!$A$335,Consolidado!CI13,"")</f>
        <v/>
      </c>
      <c r="FL13" s="79" t="str">
        <f t="shared" ca="1" si="228"/>
        <v/>
      </c>
      <c r="FM13" s="79">
        <f ca="1">+IF($FL13=Gráficos!$A$366,Consolidado!CW13,"")</f>
        <v>0</v>
      </c>
      <c r="FN13" s="79">
        <f ca="1">+IF($FL13=Gráficos!$A$366,Consolidado!CX13,"")</f>
        <v>0</v>
      </c>
      <c r="FO13" s="79">
        <f ca="1">+IF($FL13=Gráficos!$A$366,Consolidado!CY13,"")</f>
        <v>0</v>
      </c>
      <c r="FP13" s="79" t="e">
        <f ca="1">+IF($FL13=Gráficos!$A$366,Consolidado!CZ13,"")</f>
        <v>#DIV/0!</v>
      </c>
      <c r="FQ13" s="79" t="str">
        <f t="shared" ca="1" si="229"/>
        <v>000</v>
      </c>
      <c r="FR13" s="283">
        <f t="shared" ca="1" si="230"/>
        <v>0</v>
      </c>
      <c r="FS13" s="283">
        <f t="shared" si="231"/>
        <v>0</v>
      </c>
      <c r="FT13" s="283" t="str">
        <f t="shared" ca="1" si="232"/>
        <v/>
      </c>
      <c r="FU13" s="283" t="e">
        <f t="shared" ca="1" si="233"/>
        <v>#DIV/0!</v>
      </c>
    </row>
    <row r="14" spans="1:177" x14ac:dyDescent="0.35">
      <c r="A14" s="79">
        <v>4</v>
      </c>
      <c r="B14" s="79"/>
      <c r="C14" s="287" t="str">
        <f t="shared" si="194"/>
        <v>'4'!</v>
      </c>
      <c r="D14" s="288" t="str">
        <f t="shared" ca="1" si="195"/>
        <v>2016-2017</v>
      </c>
      <c r="E14" s="64" t="str">
        <f t="shared" ca="1" si="217"/>
        <v/>
      </c>
      <c r="F14" s="64" t="str">
        <f t="shared" ca="1" si="196"/>
        <v/>
      </c>
      <c r="G14" s="64" t="str">
        <f t="shared" ca="1" si="196"/>
        <v/>
      </c>
      <c r="H14" s="64" t="str">
        <f t="shared" ca="1" si="196"/>
        <v/>
      </c>
      <c r="I14" s="64" t="str">
        <f t="shared" ca="1" si="196"/>
        <v/>
      </c>
      <c r="J14" s="64" t="str">
        <f t="shared" ca="1" si="196"/>
        <v/>
      </c>
      <c r="K14" s="64" t="str">
        <f t="shared" ca="1" si="196"/>
        <v/>
      </c>
      <c r="L14" s="64" t="str">
        <f t="shared" ca="1" si="196"/>
        <v/>
      </c>
      <c r="M14" s="64" t="str">
        <f t="shared" ca="1" si="196"/>
        <v/>
      </c>
      <c r="N14" s="64" t="str">
        <f t="shared" ca="1" si="196"/>
        <v/>
      </c>
      <c r="O14" s="64" t="str">
        <f t="shared" ca="1" si="196"/>
        <v/>
      </c>
      <c r="P14" s="64" t="str">
        <f t="shared" ca="1" si="196"/>
        <v/>
      </c>
      <c r="Q14" s="64" t="str">
        <f t="shared" ca="1" si="196"/>
        <v/>
      </c>
      <c r="R14" s="64" t="str">
        <f t="shared" ca="1" si="196"/>
        <v/>
      </c>
      <c r="S14" s="64" t="str">
        <f t="shared" ca="1" si="196"/>
        <v/>
      </c>
      <c r="T14" s="64" t="str">
        <f t="shared" ca="1" si="196"/>
        <v/>
      </c>
      <c r="U14" s="64" t="str">
        <f t="shared" ca="1" si="196"/>
        <v/>
      </c>
      <c r="V14" s="64" t="str">
        <f t="shared" ca="1" si="196"/>
        <v/>
      </c>
      <c r="W14" s="64" t="str">
        <f t="shared" ca="1" si="196"/>
        <v/>
      </c>
      <c r="X14" s="64" t="str">
        <f t="shared" ca="1" si="196"/>
        <v/>
      </c>
      <c r="Y14" s="64" t="str">
        <f t="shared" ca="1" si="196"/>
        <v/>
      </c>
      <c r="Z14" s="64" t="str">
        <f t="shared" ca="1" si="196"/>
        <v/>
      </c>
      <c r="AA14" s="64" t="str">
        <f t="shared" ca="1" si="196"/>
        <v/>
      </c>
      <c r="AB14" s="64" t="str">
        <f t="shared" ca="1" si="196"/>
        <v/>
      </c>
      <c r="AC14" s="64" t="str">
        <f t="shared" ca="1" si="196"/>
        <v/>
      </c>
      <c r="AD14" s="64" t="str">
        <f t="shared" ca="1" si="196"/>
        <v/>
      </c>
      <c r="AE14" s="64" t="str">
        <f t="shared" ca="1" si="196"/>
        <v/>
      </c>
      <c r="AF14" s="64" t="str">
        <f t="shared" ca="1" si="196"/>
        <v/>
      </c>
      <c r="AG14" s="64" t="str">
        <f t="shared" ca="1" si="196"/>
        <v/>
      </c>
      <c r="AH14" s="64" t="str">
        <f t="shared" ca="1" si="196"/>
        <v/>
      </c>
      <c r="AI14" s="64" t="str">
        <f t="shared" ca="1" si="196"/>
        <v/>
      </c>
      <c r="AJ14" s="64" t="str">
        <f t="shared" ca="1" si="196"/>
        <v/>
      </c>
      <c r="AK14" s="64" t="str">
        <f t="shared" ca="1" si="196"/>
        <v/>
      </c>
      <c r="AL14" s="64" t="str">
        <f t="shared" ca="1" si="196"/>
        <v/>
      </c>
      <c r="AM14" s="64" t="str">
        <f t="shared" ca="1" si="196"/>
        <v/>
      </c>
      <c r="AN14" s="64" t="str">
        <f t="shared" ca="1" si="196"/>
        <v/>
      </c>
      <c r="AO14" s="64" t="str">
        <f t="shared" ca="1" si="196"/>
        <v/>
      </c>
      <c r="AP14" s="64" t="str">
        <f t="shared" ca="1" si="196"/>
        <v/>
      </c>
      <c r="AQ14" s="64" t="str">
        <f t="shared" ca="1" si="196"/>
        <v/>
      </c>
      <c r="AR14" s="64" t="str">
        <f t="shared" ca="1" si="196"/>
        <v/>
      </c>
      <c r="AS14" s="64" t="str">
        <f t="shared" ca="1" si="196"/>
        <v/>
      </c>
      <c r="AT14" s="64" t="str">
        <f t="shared" ca="1" si="196"/>
        <v/>
      </c>
      <c r="AU14" s="64" t="str">
        <f t="shared" ca="1" si="196"/>
        <v/>
      </c>
      <c r="AV14" s="64" t="str">
        <f t="shared" ca="1" si="196"/>
        <v/>
      </c>
      <c r="AW14" s="64" t="str">
        <f t="shared" ca="1" si="196"/>
        <v/>
      </c>
      <c r="AX14" s="64" t="str">
        <f t="shared" ca="1" si="196"/>
        <v/>
      </c>
      <c r="AY14" s="64" t="str">
        <f t="shared" ca="1" si="196"/>
        <v/>
      </c>
      <c r="AZ14" s="64" t="str">
        <f t="shared" ca="1" si="196"/>
        <v/>
      </c>
      <c r="BA14" s="64" t="str">
        <f t="shared" ca="1" si="196"/>
        <v/>
      </c>
      <c r="BB14" s="64" t="str">
        <f t="shared" ca="1" si="196"/>
        <v/>
      </c>
      <c r="BC14" s="64" t="str">
        <f t="shared" ca="1" si="196"/>
        <v/>
      </c>
      <c r="BD14" s="64" t="str">
        <f t="shared" ca="1" si="196"/>
        <v/>
      </c>
      <c r="BE14" s="64" t="str">
        <f t="shared" ca="1" si="196"/>
        <v/>
      </c>
      <c r="BF14" s="64" t="str">
        <f t="shared" ca="1" si="196"/>
        <v/>
      </c>
      <c r="BG14" s="64" t="str">
        <f t="shared" ca="1" si="196"/>
        <v/>
      </c>
      <c r="BH14" s="64" t="str">
        <f t="shared" ca="1" si="196"/>
        <v/>
      </c>
      <c r="BI14" s="64" t="str">
        <f t="shared" ca="1" si="196"/>
        <v/>
      </c>
      <c r="BJ14" s="64" t="str">
        <f t="shared" ca="1" si="196"/>
        <v/>
      </c>
      <c r="BK14" s="64" t="str">
        <f t="shared" ca="1" si="196"/>
        <v/>
      </c>
      <c r="BL14" s="64" t="str">
        <f t="shared" ca="1" si="218"/>
        <v/>
      </c>
      <c r="BM14" s="64" t="str">
        <f t="shared" ca="1" si="196"/>
        <v/>
      </c>
      <c r="BN14" s="64" t="str">
        <f t="shared" ca="1" si="196"/>
        <v/>
      </c>
      <c r="BO14" s="64" t="str">
        <f t="shared" ca="1" si="198"/>
        <v/>
      </c>
      <c r="BP14" s="64" t="str">
        <f t="shared" ca="1" si="198"/>
        <v/>
      </c>
      <c r="BQ14" s="64" t="str">
        <f t="shared" ca="1" si="199"/>
        <v/>
      </c>
      <c r="BR14" s="64" t="str">
        <f t="shared" ca="1" si="199"/>
        <v/>
      </c>
      <c r="BS14" s="64" t="e">
        <f t="shared" ca="1" si="219"/>
        <v>#DIV/0!</v>
      </c>
      <c r="BT14" s="64" t="str">
        <f t="shared" ca="1" si="199"/>
        <v/>
      </c>
      <c r="BU14" s="64" t="e">
        <f t="shared" ca="1" si="201"/>
        <v>#DIV/0!</v>
      </c>
      <c r="BV14" s="64" t="e">
        <f t="shared" ca="1" si="201"/>
        <v>#DIV/0!</v>
      </c>
      <c r="BW14" s="64" t="e">
        <f t="shared" ca="1" si="201"/>
        <v>#DIV/0!</v>
      </c>
      <c r="BX14" s="64" t="str">
        <f t="shared" ca="1" si="199"/>
        <v/>
      </c>
      <c r="BY14" s="64" t="str">
        <f t="shared" ca="1" si="199"/>
        <v/>
      </c>
      <c r="BZ14" s="64" t="str">
        <f t="shared" ca="1" si="199"/>
        <v/>
      </c>
      <c r="CA14" s="64">
        <f t="shared" ca="1" si="202"/>
        <v>0</v>
      </c>
      <c r="CB14" s="64">
        <f t="shared" ca="1" si="202"/>
        <v>0</v>
      </c>
      <c r="CC14" s="64">
        <f t="shared" ca="1" si="202"/>
        <v>0</v>
      </c>
      <c r="CD14" s="64" t="str">
        <f t="shared" ca="1" si="199"/>
        <v/>
      </c>
      <c r="CE14" s="64" t="str">
        <f t="shared" ca="1" si="199"/>
        <v/>
      </c>
      <c r="CF14" s="64">
        <f t="shared" ca="1" si="203"/>
        <v>0</v>
      </c>
      <c r="CG14" s="64" t="e">
        <f t="shared" ca="1" si="203"/>
        <v>#DIV/0!</v>
      </c>
      <c r="CH14" s="64" t="e">
        <f t="shared" ca="1" si="203"/>
        <v>#DIV/0!</v>
      </c>
      <c r="CI14" s="64" t="e">
        <f t="shared" ca="1" si="199"/>
        <v>#DIV/0!</v>
      </c>
      <c r="CJ14" s="64">
        <f t="shared" ca="1" si="220"/>
        <v>0</v>
      </c>
      <c r="CK14" s="64">
        <f t="shared" ca="1" si="204"/>
        <v>0</v>
      </c>
      <c r="CL14" s="64">
        <f t="shared" ca="1" si="204"/>
        <v>0</v>
      </c>
      <c r="CM14" s="64">
        <f t="shared" ca="1" si="204"/>
        <v>0</v>
      </c>
      <c r="CN14" s="64" t="str">
        <f t="shared" ca="1" si="199"/>
        <v/>
      </c>
      <c r="CO14" s="64" t="str">
        <f t="shared" ca="1" si="199"/>
        <v/>
      </c>
      <c r="CP14" s="64" t="str">
        <f t="shared" ca="1" si="199"/>
        <v/>
      </c>
      <c r="CQ14" s="64">
        <f t="shared" ca="1" si="205"/>
        <v>0</v>
      </c>
      <c r="CR14" s="64">
        <f t="shared" ca="1" si="205"/>
        <v>0</v>
      </c>
      <c r="CS14" s="64"/>
      <c r="CT14" s="64"/>
      <c r="CU14" s="64" t="str">
        <f t="shared" ca="1" si="199"/>
        <v/>
      </c>
      <c r="CV14" s="64">
        <f t="shared" ca="1" si="206"/>
        <v>0</v>
      </c>
      <c r="CW14" s="64">
        <f t="shared" ca="1" si="206"/>
        <v>0</v>
      </c>
      <c r="CX14" s="64"/>
      <c r="CY14" s="64">
        <f t="shared" ca="1" si="206"/>
        <v>0</v>
      </c>
      <c r="CZ14" s="64" t="e">
        <f t="shared" ca="1" si="207"/>
        <v>#DIV/0!</v>
      </c>
      <c r="DA14" s="64" t="str">
        <f t="shared" ca="1" si="207"/>
        <v/>
      </c>
      <c r="DB14" s="64" t="str">
        <f t="shared" ca="1" si="207"/>
        <v/>
      </c>
      <c r="DC14" s="64" t="str">
        <f t="shared" ca="1" si="207"/>
        <v/>
      </c>
      <c r="DD14" s="64" t="str">
        <f t="shared" ca="1" si="207"/>
        <v/>
      </c>
      <c r="DE14" s="64" t="str">
        <f t="shared" ca="1" si="207"/>
        <v/>
      </c>
      <c r="DF14" s="64" t="str">
        <f t="shared" ca="1" si="207"/>
        <v/>
      </c>
      <c r="DG14" s="64" t="str">
        <f t="shared" ca="1" si="207"/>
        <v/>
      </c>
      <c r="DH14" s="64" t="str">
        <f t="shared" ca="1" si="207"/>
        <v/>
      </c>
      <c r="DI14" s="64" t="str">
        <f t="shared" ca="1" si="207"/>
        <v/>
      </c>
      <c r="DJ14" s="64" t="str">
        <f t="shared" ca="1" si="208"/>
        <v/>
      </c>
      <c r="DK14" s="64" t="str">
        <f t="shared" ca="1" si="209"/>
        <v/>
      </c>
      <c r="DL14" s="64" t="str">
        <f t="shared" ca="1" si="210"/>
        <v/>
      </c>
      <c r="DM14" s="64"/>
      <c r="DN14" s="64"/>
      <c r="DO14" s="64">
        <f t="shared" ca="1" si="211"/>
        <v>0</v>
      </c>
      <c r="DP14" s="64">
        <f t="shared" ca="1" si="211"/>
        <v>0</v>
      </c>
      <c r="DQ14" s="64">
        <f t="shared" ca="1" si="211"/>
        <v>0</v>
      </c>
      <c r="DR14" s="64"/>
      <c r="DS14" s="64" t="str">
        <f t="shared" ca="1" si="212"/>
        <v/>
      </c>
      <c r="DT14" s="64" t="e">
        <f t="shared" ca="1" si="213"/>
        <v>#DIV/0!</v>
      </c>
      <c r="DU14" s="64">
        <f t="shared" ca="1" si="213"/>
        <v>0</v>
      </c>
      <c r="DV14" s="64">
        <f t="shared" ca="1" si="213"/>
        <v>0</v>
      </c>
      <c r="DW14" s="64">
        <f t="shared" ca="1" si="213"/>
        <v>0</v>
      </c>
      <c r="DX14" s="64" t="str">
        <f t="shared" ca="1" si="214"/>
        <v/>
      </c>
      <c r="DY14" s="64" t="str">
        <f t="shared" ca="1" si="214"/>
        <v/>
      </c>
      <c r="DZ14" s="64" t="str">
        <f t="shared" ca="1" si="214"/>
        <v/>
      </c>
      <c r="EA14" s="64" t="str">
        <f t="shared" ca="1" si="214"/>
        <v/>
      </c>
      <c r="EB14" s="64" t="str">
        <f t="shared" ca="1" si="214"/>
        <v/>
      </c>
      <c r="EC14" s="64" t="str">
        <f t="shared" ca="1" si="214"/>
        <v/>
      </c>
      <c r="ED14" s="64" t="str">
        <f t="shared" ca="1" si="214"/>
        <v/>
      </c>
      <c r="EE14" s="64" t="str">
        <f t="shared" ca="1" si="214"/>
        <v/>
      </c>
      <c r="EF14" s="64" t="str">
        <f t="shared" ca="1" si="214"/>
        <v/>
      </c>
      <c r="EG14" s="64" t="str">
        <f t="shared" ca="1" si="214"/>
        <v/>
      </c>
      <c r="EH14" s="64"/>
      <c r="EI14" s="64"/>
      <c r="EJ14" s="64"/>
      <c r="EK14" s="64"/>
      <c r="EL14" s="79"/>
      <c r="EM14" s="79"/>
      <c r="EN14" s="79"/>
      <c r="EO14" s="79"/>
      <c r="EP14" s="79"/>
      <c r="EQ14" s="79"/>
      <c r="ER14" s="79"/>
      <c r="ES14" s="79"/>
      <c r="ET14" s="79"/>
      <c r="EU14" s="79"/>
      <c r="EV14" s="79"/>
      <c r="EW14" s="79"/>
      <c r="EX14" s="79">
        <v>4</v>
      </c>
      <c r="EY14" s="283" t="str">
        <f t="shared" ca="1" si="221"/>
        <v>Error Dato</v>
      </c>
      <c r="EZ14" s="283" t="str">
        <f t="shared" ca="1" si="222"/>
        <v/>
      </c>
      <c r="FA14" s="79" t="str">
        <f t="shared" ca="1" si="223"/>
        <v/>
      </c>
      <c r="FB14" s="79">
        <f t="shared" ca="1" si="224"/>
        <v>0</v>
      </c>
      <c r="FC14" s="79" t="e">
        <f t="shared" ca="1" si="225"/>
        <v>#VALUE!</v>
      </c>
      <c r="FD14" s="79" t="str">
        <f t="shared" ca="1" si="226"/>
        <v>00</v>
      </c>
      <c r="FE14" s="79" t="str">
        <f ca="1">+IF($FD14=Gráficos!$A$302,Consolidado!BU14,"")</f>
        <v/>
      </c>
      <c r="FF14" s="79" t="str">
        <f ca="1">+IF($FD14=Gráficos!$A$302,Consolidado!BV14,"")</f>
        <v/>
      </c>
      <c r="FG14" s="79" t="str">
        <f ca="1">+IF($FD14=Gráficos!$A$302,Consolidado!BW14,"")</f>
        <v/>
      </c>
      <c r="FH14" s="79" t="str">
        <f t="shared" ca="1" si="227"/>
        <v>0000</v>
      </c>
      <c r="FI14" s="79" t="str">
        <f ca="1">+IF($FH14=Gráficos!$A$335,Consolidado!CG14,"")</f>
        <v/>
      </c>
      <c r="FJ14" s="79" t="str">
        <f ca="1">+IF($FH14=Gráficos!$A$335,Consolidado!CH14,"")</f>
        <v/>
      </c>
      <c r="FK14" s="79" t="str">
        <f ca="1">+IF($FH14=Gráficos!$A$335,Consolidado!CI14,"")</f>
        <v/>
      </c>
      <c r="FL14" s="79" t="str">
        <f t="shared" ca="1" si="228"/>
        <v/>
      </c>
      <c r="FM14" s="79">
        <f ca="1">+IF($FL14=Gráficos!$A$366,Consolidado!CW14,"")</f>
        <v>0</v>
      </c>
      <c r="FN14" s="79">
        <f ca="1">+IF($FL14=Gráficos!$A$366,Consolidado!CX14,"")</f>
        <v>0</v>
      </c>
      <c r="FO14" s="79">
        <f ca="1">+IF($FL14=Gráficos!$A$366,Consolidado!CY14,"")</f>
        <v>0</v>
      </c>
      <c r="FP14" s="79" t="e">
        <f ca="1">+IF($FL14=Gráficos!$A$366,Consolidado!CZ14,"")</f>
        <v>#DIV/0!</v>
      </c>
      <c r="FQ14" s="79" t="str">
        <f t="shared" ca="1" si="229"/>
        <v>000</v>
      </c>
      <c r="FR14" s="283">
        <f t="shared" ca="1" si="230"/>
        <v>0</v>
      </c>
      <c r="FS14" s="283">
        <f t="shared" si="231"/>
        <v>0</v>
      </c>
      <c r="FT14" s="283" t="str">
        <f t="shared" ca="1" si="232"/>
        <v/>
      </c>
      <c r="FU14" s="283" t="e">
        <f t="shared" ca="1" si="233"/>
        <v>#DIV/0!</v>
      </c>
    </row>
    <row r="15" spans="1:177" x14ac:dyDescent="0.35">
      <c r="A15" s="79">
        <v>5</v>
      </c>
      <c r="B15" s="79"/>
      <c r="C15" s="287" t="str">
        <f t="shared" ref="C15" si="234">+CONCATENATE("'",A15,"'!")</f>
        <v>'5'!</v>
      </c>
      <c r="D15" s="288" t="str">
        <f t="shared" ca="1" si="195"/>
        <v>2016-2017</v>
      </c>
      <c r="E15" s="64" t="str">
        <f t="shared" ca="1" si="217"/>
        <v/>
      </c>
      <c r="F15" s="64" t="str">
        <f t="shared" ca="1" si="196"/>
        <v/>
      </c>
      <c r="G15" s="64" t="str">
        <f t="shared" ca="1" si="196"/>
        <v/>
      </c>
      <c r="H15" s="64" t="str">
        <f t="shared" ca="1" si="196"/>
        <v/>
      </c>
      <c r="I15" s="64" t="str">
        <f t="shared" ca="1" si="196"/>
        <v/>
      </c>
      <c r="J15" s="64" t="str">
        <f t="shared" ca="1" si="196"/>
        <v/>
      </c>
      <c r="K15" s="64" t="str">
        <f t="shared" ca="1" si="196"/>
        <v/>
      </c>
      <c r="L15" s="64" t="str">
        <f t="shared" ref="L15:BN19" ca="1" si="235">IF(VLOOKUP(L$7,(INDIRECT($C15&amp;$C$8)),L$4,FALSE)&gt;0,VLOOKUP(L$7,(INDIRECT($C15&amp;$C$8)),L$4,FALSE),"")</f>
        <v/>
      </c>
      <c r="M15" s="64" t="str">
        <f t="shared" ca="1" si="235"/>
        <v/>
      </c>
      <c r="N15" s="64" t="str">
        <f t="shared" ca="1" si="235"/>
        <v/>
      </c>
      <c r="O15" s="64" t="str">
        <f t="shared" ca="1" si="235"/>
        <v/>
      </c>
      <c r="P15" s="64" t="str">
        <f t="shared" ca="1" si="235"/>
        <v/>
      </c>
      <c r="Q15" s="64" t="str">
        <f t="shared" ca="1" si="235"/>
        <v/>
      </c>
      <c r="R15" s="64" t="str">
        <f t="shared" ca="1" si="235"/>
        <v/>
      </c>
      <c r="S15" s="64" t="str">
        <f t="shared" ca="1" si="235"/>
        <v/>
      </c>
      <c r="T15" s="64" t="str">
        <f t="shared" ca="1" si="235"/>
        <v/>
      </c>
      <c r="U15" s="64" t="str">
        <f t="shared" ca="1" si="235"/>
        <v/>
      </c>
      <c r="V15" s="64" t="str">
        <f t="shared" ca="1" si="235"/>
        <v/>
      </c>
      <c r="W15" s="64" t="str">
        <f t="shared" ca="1" si="235"/>
        <v/>
      </c>
      <c r="X15" s="64" t="str">
        <f t="shared" ca="1" si="235"/>
        <v/>
      </c>
      <c r="Y15" s="64" t="str">
        <f t="shared" ca="1" si="235"/>
        <v/>
      </c>
      <c r="Z15" s="64" t="str">
        <f t="shared" ca="1" si="235"/>
        <v/>
      </c>
      <c r="AA15" s="64" t="str">
        <f t="shared" ca="1" si="235"/>
        <v/>
      </c>
      <c r="AB15" s="64" t="str">
        <f t="shared" ca="1" si="235"/>
        <v/>
      </c>
      <c r="AC15" s="64" t="str">
        <f t="shared" ca="1" si="235"/>
        <v/>
      </c>
      <c r="AD15" s="64" t="str">
        <f t="shared" ca="1" si="235"/>
        <v/>
      </c>
      <c r="AE15" s="64" t="str">
        <f t="shared" ca="1" si="235"/>
        <v/>
      </c>
      <c r="AF15" s="64" t="str">
        <f t="shared" ca="1" si="235"/>
        <v/>
      </c>
      <c r="AG15" s="64" t="str">
        <f t="shared" ca="1" si="235"/>
        <v/>
      </c>
      <c r="AH15" s="64" t="str">
        <f t="shared" ca="1" si="235"/>
        <v/>
      </c>
      <c r="AI15" s="64" t="str">
        <f t="shared" ca="1" si="235"/>
        <v/>
      </c>
      <c r="AJ15" s="64" t="str">
        <f t="shared" ca="1" si="235"/>
        <v/>
      </c>
      <c r="AK15" s="64" t="str">
        <f t="shared" ca="1" si="235"/>
        <v/>
      </c>
      <c r="AL15" s="64" t="str">
        <f t="shared" ca="1" si="235"/>
        <v/>
      </c>
      <c r="AM15" s="64" t="str">
        <f t="shared" ca="1" si="235"/>
        <v/>
      </c>
      <c r="AN15" s="64" t="str">
        <f t="shared" ca="1" si="235"/>
        <v/>
      </c>
      <c r="AO15" s="64" t="str">
        <f t="shared" ca="1" si="235"/>
        <v/>
      </c>
      <c r="AP15" s="64" t="str">
        <f t="shared" ca="1" si="235"/>
        <v/>
      </c>
      <c r="AQ15" s="64" t="str">
        <f t="shared" ca="1" si="235"/>
        <v/>
      </c>
      <c r="AR15" s="64" t="str">
        <f t="shared" ca="1" si="235"/>
        <v/>
      </c>
      <c r="AS15" s="64" t="str">
        <f t="shared" ca="1" si="235"/>
        <v/>
      </c>
      <c r="AT15" s="64" t="str">
        <f t="shared" ca="1" si="235"/>
        <v/>
      </c>
      <c r="AU15" s="64" t="str">
        <f t="shared" ca="1" si="235"/>
        <v/>
      </c>
      <c r="AV15" s="64" t="str">
        <f t="shared" ca="1" si="235"/>
        <v/>
      </c>
      <c r="AW15" s="64" t="str">
        <f t="shared" ca="1" si="235"/>
        <v/>
      </c>
      <c r="AX15" s="64" t="str">
        <f t="shared" ca="1" si="235"/>
        <v/>
      </c>
      <c r="AY15" s="64" t="str">
        <f t="shared" ca="1" si="235"/>
        <v/>
      </c>
      <c r="AZ15" s="64" t="str">
        <f t="shared" ca="1" si="235"/>
        <v/>
      </c>
      <c r="BA15" s="64" t="str">
        <f t="shared" ca="1" si="235"/>
        <v/>
      </c>
      <c r="BB15" s="64" t="str">
        <f t="shared" ca="1" si="235"/>
        <v/>
      </c>
      <c r="BC15" s="64" t="str">
        <f t="shared" ca="1" si="235"/>
        <v/>
      </c>
      <c r="BD15" s="64" t="str">
        <f t="shared" ca="1" si="235"/>
        <v/>
      </c>
      <c r="BE15" s="64" t="str">
        <f t="shared" ca="1" si="235"/>
        <v/>
      </c>
      <c r="BF15" s="64" t="str">
        <f t="shared" ca="1" si="235"/>
        <v/>
      </c>
      <c r="BG15" s="64" t="str">
        <f t="shared" ca="1" si="235"/>
        <v/>
      </c>
      <c r="BH15" s="64" t="str">
        <f t="shared" ca="1" si="235"/>
        <v/>
      </c>
      <c r="BI15" s="64" t="str">
        <f t="shared" ca="1" si="235"/>
        <v/>
      </c>
      <c r="BJ15" s="64" t="str">
        <f t="shared" ca="1" si="235"/>
        <v/>
      </c>
      <c r="BK15" s="64" t="str">
        <f t="shared" ca="1" si="235"/>
        <v/>
      </c>
      <c r="BL15" s="64" t="str">
        <f t="shared" ca="1" si="235"/>
        <v/>
      </c>
      <c r="BM15" s="64" t="str">
        <f t="shared" ca="1" si="235"/>
        <v/>
      </c>
      <c r="BN15" s="64" t="str">
        <f t="shared" ca="1" si="235"/>
        <v/>
      </c>
      <c r="BO15" s="64" t="str">
        <f t="shared" ca="1" si="198"/>
        <v/>
      </c>
      <c r="BP15" s="64" t="str">
        <f t="shared" ca="1" si="198"/>
        <v/>
      </c>
      <c r="BQ15" s="64" t="str">
        <f t="shared" ca="1" si="199"/>
        <v/>
      </c>
      <c r="BR15" s="64" t="str">
        <f t="shared" ca="1" si="199"/>
        <v/>
      </c>
      <c r="BS15" s="64" t="e">
        <f t="shared" ref="BS15" ca="1" si="236">+BW15*BR15+120*BR15</f>
        <v>#DIV/0!</v>
      </c>
      <c r="BT15" s="64" t="str">
        <f t="shared" ca="1" si="199"/>
        <v/>
      </c>
      <c r="BU15" s="64" t="e">
        <f t="shared" ca="1" si="201"/>
        <v>#DIV/0!</v>
      </c>
      <c r="BV15" s="64" t="e">
        <f t="shared" ca="1" si="201"/>
        <v>#DIV/0!</v>
      </c>
      <c r="BW15" s="64" t="e">
        <f t="shared" ca="1" si="201"/>
        <v>#DIV/0!</v>
      </c>
      <c r="BX15" s="64" t="str">
        <f t="shared" ca="1" si="199"/>
        <v/>
      </c>
      <c r="BY15" s="64" t="str">
        <f t="shared" ca="1" si="199"/>
        <v/>
      </c>
      <c r="BZ15" s="64" t="str">
        <f t="shared" ca="1" si="199"/>
        <v/>
      </c>
      <c r="CA15" s="64">
        <f t="shared" ca="1" si="202"/>
        <v>0</v>
      </c>
      <c r="CB15" s="64">
        <f t="shared" ca="1" si="202"/>
        <v>0</v>
      </c>
      <c r="CC15" s="64">
        <f t="shared" ca="1" si="202"/>
        <v>0</v>
      </c>
      <c r="CD15" s="64" t="str">
        <f t="shared" ca="1" si="199"/>
        <v/>
      </c>
      <c r="CE15" s="64" t="str">
        <f t="shared" ca="1" si="199"/>
        <v/>
      </c>
      <c r="CF15" s="64">
        <f t="shared" ca="1" si="203"/>
        <v>0</v>
      </c>
      <c r="CG15" s="64" t="e">
        <f t="shared" ca="1" si="203"/>
        <v>#DIV/0!</v>
      </c>
      <c r="CH15" s="64" t="e">
        <f t="shared" ca="1" si="203"/>
        <v>#DIV/0!</v>
      </c>
      <c r="CI15" s="64" t="e">
        <f t="shared" ca="1" si="199"/>
        <v>#DIV/0!</v>
      </c>
      <c r="CJ15" s="64">
        <f t="shared" ca="1" si="220"/>
        <v>0</v>
      </c>
      <c r="CK15" s="64">
        <f t="shared" ca="1" si="204"/>
        <v>0</v>
      </c>
      <c r="CL15" s="64">
        <f t="shared" ca="1" si="204"/>
        <v>0</v>
      </c>
      <c r="CM15" s="64">
        <f t="shared" ca="1" si="204"/>
        <v>0</v>
      </c>
      <c r="CN15" s="64" t="str">
        <f t="shared" ca="1" si="199"/>
        <v/>
      </c>
      <c r="CO15" s="64" t="str">
        <f t="shared" ca="1" si="199"/>
        <v/>
      </c>
      <c r="CP15" s="64" t="str">
        <f t="shared" ca="1" si="199"/>
        <v/>
      </c>
      <c r="CQ15" s="64">
        <f t="shared" ca="1" si="205"/>
        <v>0</v>
      </c>
      <c r="CR15" s="64">
        <f t="shared" ca="1" si="205"/>
        <v>0</v>
      </c>
      <c r="CS15" s="64"/>
      <c r="CT15" s="64"/>
      <c r="CU15" s="64" t="str">
        <f t="shared" ca="1" si="199"/>
        <v/>
      </c>
      <c r="CV15" s="64">
        <f t="shared" ca="1" si="206"/>
        <v>0</v>
      </c>
      <c r="CW15" s="64">
        <f t="shared" ca="1" si="206"/>
        <v>0</v>
      </c>
      <c r="CX15" s="64"/>
      <c r="CY15" s="64">
        <f t="shared" ca="1" si="206"/>
        <v>0</v>
      </c>
      <c r="CZ15" s="64" t="e">
        <f t="shared" ca="1" si="207"/>
        <v>#DIV/0!</v>
      </c>
      <c r="DA15" s="64" t="str">
        <f t="shared" ca="1" si="207"/>
        <v/>
      </c>
      <c r="DB15" s="64" t="str">
        <f t="shared" ca="1" si="207"/>
        <v/>
      </c>
      <c r="DC15" s="64" t="str">
        <f t="shared" ca="1" si="207"/>
        <v/>
      </c>
      <c r="DD15" s="64" t="str">
        <f t="shared" ca="1" si="207"/>
        <v/>
      </c>
      <c r="DE15" s="64" t="str">
        <f t="shared" ca="1" si="207"/>
        <v/>
      </c>
      <c r="DF15" s="64" t="str">
        <f t="shared" ca="1" si="207"/>
        <v/>
      </c>
      <c r="DG15" s="64" t="str">
        <f t="shared" ca="1" si="207"/>
        <v/>
      </c>
      <c r="DH15" s="64" t="str">
        <f t="shared" ca="1" si="207"/>
        <v/>
      </c>
      <c r="DI15" s="64" t="str">
        <f t="shared" ca="1" si="207"/>
        <v/>
      </c>
      <c r="DJ15" s="64" t="str">
        <f t="shared" ca="1" si="208"/>
        <v/>
      </c>
      <c r="DK15" s="64" t="str">
        <f t="shared" ca="1" si="209"/>
        <v/>
      </c>
      <c r="DL15" s="64" t="str">
        <f t="shared" ca="1" si="210"/>
        <v/>
      </c>
      <c r="DM15" s="64"/>
      <c r="DN15" s="64"/>
      <c r="DO15" s="64">
        <f t="shared" ca="1" si="211"/>
        <v>0</v>
      </c>
      <c r="DP15" s="64">
        <f t="shared" ca="1" si="211"/>
        <v>0</v>
      </c>
      <c r="DQ15" s="64">
        <f t="shared" ca="1" si="211"/>
        <v>0</v>
      </c>
      <c r="DR15" s="64"/>
      <c r="DS15" s="64" t="str">
        <f t="shared" ca="1" si="212"/>
        <v/>
      </c>
      <c r="DT15" s="64" t="e">
        <f t="shared" ca="1" si="213"/>
        <v>#DIV/0!</v>
      </c>
      <c r="DU15" s="64">
        <f t="shared" ca="1" si="213"/>
        <v>0</v>
      </c>
      <c r="DV15" s="64">
        <f t="shared" ca="1" si="213"/>
        <v>0</v>
      </c>
      <c r="DW15" s="64">
        <f t="shared" ca="1" si="213"/>
        <v>0</v>
      </c>
      <c r="DX15" s="64" t="str">
        <f t="shared" ca="1" si="214"/>
        <v/>
      </c>
      <c r="DY15" s="64" t="str">
        <f t="shared" ca="1" si="214"/>
        <v/>
      </c>
      <c r="DZ15" s="64" t="str">
        <f t="shared" ca="1" si="214"/>
        <v/>
      </c>
      <c r="EA15" s="64" t="str">
        <f t="shared" ca="1" si="214"/>
        <v/>
      </c>
      <c r="EB15" s="64" t="str">
        <f t="shared" ca="1" si="214"/>
        <v/>
      </c>
      <c r="EC15" s="64" t="str">
        <f t="shared" ca="1" si="214"/>
        <v/>
      </c>
      <c r="ED15" s="64" t="str">
        <f t="shared" ca="1" si="214"/>
        <v/>
      </c>
      <c r="EE15" s="64" t="str">
        <f t="shared" ca="1" si="214"/>
        <v/>
      </c>
      <c r="EF15" s="64" t="str">
        <f t="shared" ca="1" si="214"/>
        <v/>
      </c>
      <c r="EG15" s="64" t="str">
        <f t="shared" ca="1" si="214"/>
        <v/>
      </c>
      <c r="EH15" s="64"/>
      <c r="EI15" s="64"/>
      <c r="EJ15" s="64"/>
      <c r="EK15" s="64"/>
      <c r="EL15" s="79"/>
      <c r="EM15" s="79"/>
      <c r="EN15" s="79"/>
      <c r="EO15" s="79"/>
      <c r="EP15" s="79"/>
      <c r="EQ15" s="79"/>
      <c r="ER15" s="79"/>
      <c r="ES15" s="79"/>
      <c r="ET15" s="79"/>
      <c r="EU15" s="79"/>
      <c r="EV15" s="79"/>
      <c r="EW15" s="79"/>
      <c r="EX15" s="79">
        <v>5</v>
      </c>
      <c r="EY15" s="283" t="str">
        <f t="shared" ref="EY15" ca="1" si="237">IF(AX15="","Error Dato",IF(AY15="","",(IF((AY15-AX15)&gt;0,AY15-AX15,"Error Dato"))))</f>
        <v>Error Dato</v>
      </c>
      <c r="EZ15" s="283" t="str">
        <f t="shared" ref="EZ15" ca="1" si="238">+IF(EY15="Error Dato","",EY15)</f>
        <v/>
      </c>
      <c r="FA15" s="79" t="str">
        <f t="shared" ref="FA15" ca="1" si="239">IFERROR(IF((AZ15*AX15)&gt;1,AZ15*AX15,""),"")</f>
        <v/>
      </c>
      <c r="FB15" s="79">
        <f t="shared" ref="FB15" ca="1" si="240">+COUNTIF(BI15:BP15,$FB$7)</f>
        <v>0</v>
      </c>
      <c r="FC15" s="79" t="e">
        <f t="shared" ref="FC15" ca="1" si="241">+AD15*AE15</f>
        <v>#VALUE!</v>
      </c>
      <c r="FD15" s="79" t="str">
        <f t="shared" ref="FD15" ca="1" si="242">+BX15&amp;BY15&amp;BZ15&amp;CA15&amp;CB15</f>
        <v>00</v>
      </c>
      <c r="FE15" s="79" t="str">
        <f ca="1">+IF($FD15=Gráficos!$A$302,Consolidado!BU15,"")</f>
        <v/>
      </c>
      <c r="FF15" s="79" t="str">
        <f ca="1">+IF($FD15=Gráficos!$A$302,Consolidado!BV15,"")</f>
        <v/>
      </c>
      <c r="FG15" s="79" t="str">
        <f ca="1">+IF($FD15=Gráficos!$A$302,Consolidado!BW15,"")</f>
        <v/>
      </c>
      <c r="FH15" s="79" t="str">
        <f t="shared" ref="FH15" ca="1" si="243">+CJ15&amp;CK15&amp;CL15&amp;CM15&amp;CN15&amp;CO15</f>
        <v>0000</v>
      </c>
      <c r="FI15" s="79" t="str">
        <f ca="1">+IF($FH15=Gráficos!$A$335,Consolidado!CG15,"")</f>
        <v/>
      </c>
      <c r="FJ15" s="79" t="str">
        <f ca="1">+IF($FH15=Gráficos!$A$335,Consolidado!CH15,"")</f>
        <v/>
      </c>
      <c r="FK15" s="79" t="str">
        <f ca="1">+IF($FH15=Gráficos!$A$335,Consolidado!CI15,"")</f>
        <v/>
      </c>
      <c r="FL15" s="79" t="str">
        <f t="shared" ref="FL15" ca="1" si="244">+DA15&amp;DB15&amp;DC15&amp;DD15</f>
        <v/>
      </c>
      <c r="FM15" s="79">
        <f ca="1">+IF($FL15=Gráficos!$A$366,Consolidado!CW15,"")</f>
        <v>0</v>
      </c>
      <c r="FN15" s="79">
        <f ca="1">+IF($FL15=Gráficos!$A$366,Consolidado!CX15,"")</f>
        <v>0</v>
      </c>
      <c r="FO15" s="79">
        <f ca="1">+IF($FL15=Gráficos!$A$366,Consolidado!CY15,"")</f>
        <v>0</v>
      </c>
      <c r="FP15" s="79" t="e">
        <f ca="1">+IF($FL15=Gráficos!$A$366,Consolidado!CZ15,"")</f>
        <v>#DIV/0!</v>
      </c>
      <c r="FQ15" s="79" t="str">
        <f t="shared" ref="FQ15" ca="1" si="245">+DU15&amp;DV15&amp;DW15&amp;DX15&amp;DY15</f>
        <v>000</v>
      </c>
      <c r="FR15" s="283">
        <f t="shared" ref="FR15" ca="1" si="246">+DQ15</f>
        <v>0</v>
      </c>
      <c r="FS15" s="283">
        <f t="shared" ref="FS15" si="247">+DR15</f>
        <v>0</v>
      </c>
      <c r="FT15" s="283" t="str">
        <f t="shared" ref="FT15" ca="1" si="248">+DS15</f>
        <v/>
      </c>
      <c r="FU15" s="283" t="e">
        <f t="shared" ref="FU15" ca="1" si="249">+DT15</f>
        <v>#DIV/0!</v>
      </c>
    </row>
    <row r="16" spans="1:177" x14ac:dyDescent="0.35">
      <c r="A16" s="79">
        <v>6</v>
      </c>
      <c r="B16" s="79"/>
      <c r="C16" s="287" t="str">
        <f t="shared" ref="C16:C25" si="250">+CONCATENATE("'",A16,"'!")</f>
        <v>'6'!</v>
      </c>
      <c r="D16" s="288" t="str">
        <f t="shared" ca="1" si="195"/>
        <v>2016-2017</v>
      </c>
      <c r="E16" s="64" t="str">
        <f t="shared" ca="1" si="217"/>
        <v/>
      </c>
      <c r="F16" s="64" t="str">
        <f t="shared" ca="1" si="196"/>
        <v/>
      </c>
      <c r="G16" s="64" t="str">
        <f t="shared" ca="1" si="196"/>
        <v/>
      </c>
      <c r="H16" s="64" t="str">
        <f t="shared" ca="1" si="196"/>
        <v/>
      </c>
      <c r="I16" s="64" t="str">
        <f t="shared" ca="1" si="196"/>
        <v/>
      </c>
      <c r="J16" s="64" t="str">
        <f t="shared" ca="1" si="196"/>
        <v/>
      </c>
      <c r="K16" s="64" t="str">
        <f t="shared" ca="1" si="196"/>
        <v/>
      </c>
      <c r="L16" s="64" t="str">
        <f t="shared" ca="1" si="235"/>
        <v/>
      </c>
      <c r="M16" s="64" t="str">
        <f t="shared" ca="1" si="235"/>
        <v/>
      </c>
      <c r="N16" s="64" t="str">
        <f t="shared" ca="1" si="235"/>
        <v/>
      </c>
      <c r="O16" s="64" t="str">
        <f t="shared" ca="1" si="235"/>
        <v/>
      </c>
      <c r="P16" s="64" t="str">
        <f t="shared" ca="1" si="235"/>
        <v/>
      </c>
      <c r="Q16" s="64" t="str">
        <f t="shared" ca="1" si="235"/>
        <v/>
      </c>
      <c r="R16" s="64" t="str">
        <f t="shared" ca="1" si="235"/>
        <v/>
      </c>
      <c r="S16" s="64" t="str">
        <f t="shared" ca="1" si="235"/>
        <v/>
      </c>
      <c r="T16" s="64" t="str">
        <f t="shared" ca="1" si="235"/>
        <v/>
      </c>
      <c r="U16" s="64" t="str">
        <f t="shared" ca="1" si="235"/>
        <v/>
      </c>
      <c r="V16" s="64" t="str">
        <f t="shared" ca="1" si="235"/>
        <v/>
      </c>
      <c r="W16" s="64" t="str">
        <f t="shared" ca="1" si="235"/>
        <v/>
      </c>
      <c r="X16" s="64" t="str">
        <f t="shared" ca="1" si="235"/>
        <v/>
      </c>
      <c r="Y16" s="64" t="str">
        <f t="shared" ca="1" si="235"/>
        <v/>
      </c>
      <c r="Z16" s="64" t="str">
        <f t="shared" ca="1" si="235"/>
        <v/>
      </c>
      <c r="AA16" s="64" t="str">
        <f t="shared" ca="1" si="235"/>
        <v/>
      </c>
      <c r="AB16" s="64" t="str">
        <f t="shared" ca="1" si="235"/>
        <v/>
      </c>
      <c r="AC16" s="64" t="str">
        <f t="shared" ca="1" si="235"/>
        <v/>
      </c>
      <c r="AD16" s="64" t="str">
        <f t="shared" ca="1" si="235"/>
        <v/>
      </c>
      <c r="AE16" s="64" t="str">
        <f t="shared" ca="1" si="235"/>
        <v/>
      </c>
      <c r="AF16" s="64" t="str">
        <f t="shared" ca="1" si="235"/>
        <v/>
      </c>
      <c r="AG16" s="64" t="str">
        <f t="shared" ca="1" si="235"/>
        <v/>
      </c>
      <c r="AH16" s="64" t="str">
        <f t="shared" ca="1" si="235"/>
        <v/>
      </c>
      <c r="AI16" s="64" t="str">
        <f t="shared" ca="1" si="235"/>
        <v/>
      </c>
      <c r="AJ16" s="64" t="str">
        <f t="shared" ca="1" si="235"/>
        <v/>
      </c>
      <c r="AK16" s="64" t="str">
        <f t="shared" ca="1" si="235"/>
        <v/>
      </c>
      <c r="AL16" s="64" t="str">
        <f t="shared" ca="1" si="235"/>
        <v/>
      </c>
      <c r="AM16" s="64" t="str">
        <f t="shared" ca="1" si="235"/>
        <v/>
      </c>
      <c r="AN16" s="64" t="str">
        <f t="shared" ca="1" si="235"/>
        <v/>
      </c>
      <c r="AO16" s="64" t="str">
        <f t="shared" ca="1" si="235"/>
        <v/>
      </c>
      <c r="AP16" s="64" t="str">
        <f t="shared" ca="1" si="235"/>
        <v/>
      </c>
      <c r="AQ16" s="64" t="str">
        <f t="shared" ca="1" si="235"/>
        <v/>
      </c>
      <c r="AR16" s="64" t="str">
        <f t="shared" ca="1" si="235"/>
        <v/>
      </c>
      <c r="AS16" s="64" t="str">
        <f t="shared" ca="1" si="235"/>
        <v/>
      </c>
      <c r="AT16" s="64" t="str">
        <f t="shared" ca="1" si="235"/>
        <v/>
      </c>
      <c r="AU16" s="64" t="str">
        <f t="shared" ca="1" si="235"/>
        <v/>
      </c>
      <c r="AV16" s="64" t="str">
        <f t="shared" ca="1" si="235"/>
        <v/>
      </c>
      <c r="AW16" s="64" t="str">
        <f t="shared" ca="1" si="235"/>
        <v/>
      </c>
      <c r="AX16" s="64" t="str">
        <f t="shared" ca="1" si="235"/>
        <v/>
      </c>
      <c r="AY16" s="64" t="str">
        <f t="shared" ca="1" si="235"/>
        <v/>
      </c>
      <c r="AZ16" s="64" t="str">
        <f t="shared" ca="1" si="235"/>
        <v/>
      </c>
      <c r="BA16" s="64" t="str">
        <f t="shared" ca="1" si="235"/>
        <v/>
      </c>
      <c r="BB16" s="64" t="str">
        <f t="shared" ca="1" si="235"/>
        <v/>
      </c>
      <c r="BC16" s="64" t="str">
        <f t="shared" ca="1" si="235"/>
        <v/>
      </c>
      <c r="BD16" s="64" t="str">
        <f t="shared" ca="1" si="235"/>
        <v/>
      </c>
      <c r="BE16" s="64" t="str">
        <f t="shared" ca="1" si="235"/>
        <v/>
      </c>
      <c r="BF16" s="64" t="str">
        <f t="shared" ca="1" si="235"/>
        <v/>
      </c>
      <c r="BG16" s="64" t="str">
        <f t="shared" ca="1" si="235"/>
        <v/>
      </c>
      <c r="BH16" s="64" t="str">
        <f t="shared" ca="1" si="235"/>
        <v/>
      </c>
      <c r="BI16" s="64" t="str">
        <f t="shared" ca="1" si="235"/>
        <v/>
      </c>
      <c r="BJ16" s="64" t="str">
        <f t="shared" ca="1" si="235"/>
        <v/>
      </c>
      <c r="BK16" s="64" t="str">
        <f t="shared" ca="1" si="235"/>
        <v/>
      </c>
      <c r="BL16" s="64" t="str">
        <f t="shared" ca="1" si="235"/>
        <v/>
      </c>
      <c r="BM16" s="64" t="str">
        <f t="shared" ca="1" si="235"/>
        <v/>
      </c>
      <c r="BN16" s="64" t="str">
        <f t="shared" ca="1" si="235"/>
        <v/>
      </c>
      <c r="BO16" s="64" t="str">
        <f t="shared" ca="1" si="198"/>
        <v/>
      </c>
      <c r="BP16" s="64" t="str">
        <f t="shared" ca="1" si="198"/>
        <v/>
      </c>
      <c r="BQ16" s="64" t="str">
        <f t="shared" ca="1" si="199"/>
        <v/>
      </c>
      <c r="BR16" s="64" t="str">
        <f t="shared" ca="1" si="199"/>
        <v/>
      </c>
      <c r="BS16" s="64" t="e">
        <f t="shared" ref="BS16:BS25" ca="1" si="251">+BW16*BR16+120*BR16</f>
        <v>#DIV/0!</v>
      </c>
      <c r="BT16" s="64" t="str">
        <f t="shared" ca="1" si="199"/>
        <v/>
      </c>
      <c r="BU16" s="64" t="e">
        <f t="shared" ca="1" si="201"/>
        <v>#DIV/0!</v>
      </c>
      <c r="BV16" s="64" t="e">
        <f t="shared" ca="1" si="201"/>
        <v>#DIV/0!</v>
      </c>
      <c r="BW16" s="64" t="e">
        <f t="shared" ca="1" si="201"/>
        <v>#DIV/0!</v>
      </c>
      <c r="BX16" s="64" t="str">
        <f t="shared" ca="1" si="199"/>
        <v/>
      </c>
      <c r="BY16" s="64" t="str">
        <f t="shared" ca="1" si="199"/>
        <v/>
      </c>
      <c r="BZ16" s="64" t="str">
        <f t="shared" ca="1" si="199"/>
        <v/>
      </c>
      <c r="CA16" s="64">
        <f t="shared" ca="1" si="202"/>
        <v>0</v>
      </c>
      <c r="CB16" s="64">
        <f t="shared" ca="1" si="202"/>
        <v>0</v>
      </c>
      <c r="CC16" s="64">
        <f t="shared" ca="1" si="202"/>
        <v>0</v>
      </c>
      <c r="CD16" s="64" t="str">
        <f t="shared" ca="1" si="199"/>
        <v/>
      </c>
      <c r="CE16" s="64" t="str">
        <f t="shared" ca="1" si="199"/>
        <v/>
      </c>
      <c r="CF16" s="64">
        <f t="shared" ca="1" si="203"/>
        <v>0</v>
      </c>
      <c r="CG16" s="64" t="e">
        <f t="shared" ca="1" si="203"/>
        <v>#DIV/0!</v>
      </c>
      <c r="CH16" s="64" t="e">
        <f t="shared" ca="1" si="203"/>
        <v>#DIV/0!</v>
      </c>
      <c r="CI16" s="64" t="e">
        <f t="shared" ca="1" si="199"/>
        <v>#DIV/0!</v>
      </c>
      <c r="CJ16" s="64">
        <f t="shared" ca="1" si="220"/>
        <v>0</v>
      </c>
      <c r="CK16" s="64">
        <f t="shared" ca="1" si="204"/>
        <v>0</v>
      </c>
      <c r="CL16" s="64">
        <f t="shared" ca="1" si="204"/>
        <v>0</v>
      </c>
      <c r="CM16" s="64">
        <f t="shared" ca="1" si="204"/>
        <v>0</v>
      </c>
      <c r="CN16" s="64" t="str">
        <f t="shared" ca="1" si="199"/>
        <v/>
      </c>
      <c r="CO16" s="64" t="str">
        <f t="shared" ca="1" si="199"/>
        <v/>
      </c>
      <c r="CP16" s="64" t="str">
        <f t="shared" ca="1" si="199"/>
        <v/>
      </c>
      <c r="CQ16" s="64">
        <f t="shared" ca="1" si="205"/>
        <v>0</v>
      </c>
      <c r="CR16" s="64">
        <f t="shared" ca="1" si="205"/>
        <v>0</v>
      </c>
      <c r="CS16" s="64"/>
      <c r="CT16" s="64"/>
      <c r="CU16" s="64" t="str">
        <f t="shared" ca="1" si="199"/>
        <v/>
      </c>
      <c r="CV16" s="64">
        <f t="shared" ca="1" si="206"/>
        <v>0</v>
      </c>
      <c r="CW16" s="64">
        <f t="shared" ca="1" si="206"/>
        <v>0</v>
      </c>
      <c r="CX16" s="64"/>
      <c r="CY16" s="64">
        <f t="shared" ca="1" si="206"/>
        <v>0</v>
      </c>
      <c r="CZ16" s="64" t="e">
        <f t="shared" ca="1" si="207"/>
        <v>#DIV/0!</v>
      </c>
      <c r="DA16" s="64" t="str">
        <f t="shared" ca="1" si="207"/>
        <v/>
      </c>
      <c r="DB16" s="64" t="str">
        <f t="shared" ca="1" si="207"/>
        <v/>
      </c>
      <c r="DC16" s="64" t="str">
        <f t="shared" ca="1" si="207"/>
        <v/>
      </c>
      <c r="DD16" s="64" t="str">
        <f t="shared" ca="1" si="207"/>
        <v/>
      </c>
      <c r="DE16" s="64" t="str">
        <f t="shared" ca="1" si="207"/>
        <v/>
      </c>
      <c r="DF16" s="64" t="str">
        <f t="shared" ca="1" si="207"/>
        <v/>
      </c>
      <c r="DG16" s="64" t="str">
        <f t="shared" ca="1" si="207"/>
        <v/>
      </c>
      <c r="DH16" s="64" t="str">
        <f t="shared" ca="1" si="207"/>
        <v/>
      </c>
      <c r="DI16" s="64" t="str">
        <f t="shared" ca="1" si="207"/>
        <v/>
      </c>
      <c r="DJ16" s="64" t="str">
        <f t="shared" ca="1" si="208"/>
        <v/>
      </c>
      <c r="DK16" s="64" t="str">
        <f t="shared" ca="1" si="209"/>
        <v/>
      </c>
      <c r="DL16" s="64" t="str">
        <f t="shared" ca="1" si="210"/>
        <v/>
      </c>
      <c r="DM16" s="64"/>
      <c r="DN16" s="64"/>
      <c r="DO16" s="64">
        <f t="shared" ca="1" si="211"/>
        <v>0</v>
      </c>
      <c r="DP16" s="64">
        <f t="shared" ca="1" si="211"/>
        <v>0</v>
      </c>
      <c r="DQ16" s="64">
        <f t="shared" ca="1" si="211"/>
        <v>0</v>
      </c>
      <c r="DR16" s="64"/>
      <c r="DS16" s="64" t="str">
        <f t="shared" ca="1" si="212"/>
        <v/>
      </c>
      <c r="DT16" s="64" t="e">
        <f t="shared" ca="1" si="213"/>
        <v>#DIV/0!</v>
      </c>
      <c r="DU16" s="64">
        <f t="shared" ca="1" si="213"/>
        <v>0</v>
      </c>
      <c r="DV16" s="64">
        <f t="shared" ca="1" si="213"/>
        <v>0</v>
      </c>
      <c r="DW16" s="64">
        <f t="shared" ca="1" si="213"/>
        <v>0</v>
      </c>
      <c r="DX16" s="64" t="str">
        <f t="shared" ca="1" si="214"/>
        <v/>
      </c>
      <c r="DY16" s="64" t="str">
        <f t="shared" ca="1" si="214"/>
        <v/>
      </c>
      <c r="DZ16" s="64" t="str">
        <f t="shared" ca="1" si="214"/>
        <v/>
      </c>
      <c r="EA16" s="64" t="str">
        <f t="shared" ca="1" si="214"/>
        <v/>
      </c>
      <c r="EB16" s="64" t="str">
        <f t="shared" ca="1" si="214"/>
        <v/>
      </c>
      <c r="EC16" s="64" t="str">
        <f t="shared" ca="1" si="214"/>
        <v/>
      </c>
      <c r="ED16" s="64" t="str">
        <f t="shared" ca="1" si="214"/>
        <v/>
      </c>
      <c r="EE16" s="64" t="str">
        <f t="shared" ca="1" si="214"/>
        <v/>
      </c>
      <c r="EF16" s="64" t="str">
        <f t="shared" ca="1" si="214"/>
        <v/>
      </c>
      <c r="EG16" s="64" t="str">
        <f t="shared" ca="1" si="214"/>
        <v/>
      </c>
      <c r="EH16" s="64"/>
      <c r="EI16" s="64"/>
      <c r="EJ16" s="64"/>
      <c r="EK16" s="64"/>
      <c r="EL16" s="79"/>
      <c r="EM16" s="79"/>
      <c r="EN16" s="79"/>
      <c r="EO16" s="79"/>
      <c r="EP16" s="79"/>
      <c r="EQ16" s="79"/>
      <c r="ER16" s="79"/>
      <c r="ES16" s="79"/>
      <c r="ET16" s="79"/>
      <c r="EU16" s="79"/>
      <c r="EV16" s="79"/>
      <c r="EW16" s="79"/>
      <c r="EX16" s="79">
        <v>5</v>
      </c>
      <c r="EY16" s="283" t="str">
        <f t="shared" ref="EY16:EY25" ca="1" si="252">IF(AX16="","Error Dato",IF(AY16="","",(IF((AY16-AX16)&gt;0,AY16-AX16,"Error Dato"))))</f>
        <v>Error Dato</v>
      </c>
      <c r="EZ16" s="283" t="str">
        <f t="shared" ref="EZ16:EZ25" ca="1" si="253">+IF(EY16="Error Dato","",EY16)</f>
        <v/>
      </c>
      <c r="FA16" s="79" t="str">
        <f t="shared" ref="FA16:FA25" ca="1" si="254">IFERROR(IF((AZ16*AX16)&gt;1,AZ16*AX16,""),"")</f>
        <v/>
      </c>
      <c r="FB16" s="79">
        <f t="shared" ref="FB16:FB25" ca="1" si="255">+COUNTIF(BI16:BP16,$FB$7)</f>
        <v>0</v>
      </c>
      <c r="FC16" s="79" t="e">
        <f t="shared" ref="FC16:FC25" ca="1" si="256">+AD16*AE16</f>
        <v>#VALUE!</v>
      </c>
      <c r="FD16" s="79" t="str">
        <f t="shared" ref="FD16:FD25" ca="1" si="257">+BX16&amp;BY16&amp;BZ16&amp;CA16&amp;CB16</f>
        <v>00</v>
      </c>
      <c r="FE16" s="79" t="str">
        <f ca="1">+IF($FD16=Gráficos!$A$302,Consolidado!BU16,"")</f>
        <v/>
      </c>
      <c r="FF16" s="79" t="str">
        <f ca="1">+IF($FD16=Gráficos!$A$302,Consolidado!BV16,"")</f>
        <v/>
      </c>
      <c r="FG16" s="79" t="str">
        <f ca="1">+IF($FD16=Gráficos!$A$302,Consolidado!BW16,"")</f>
        <v/>
      </c>
      <c r="FH16" s="79" t="str">
        <f t="shared" ref="FH16:FH25" ca="1" si="258">+CJ16&amp;CK16&amp;CL16&amp;CM16&amp;CN16&amp;CO16</f>
        <v>0000</v>
      </c>
      <c r="FI16" s="79" t="str">
        <f ca="1">+IF($FH16=Gráficos!$A$335,Consolidado!CG16,"")</f>
        <v/>
      </c>
      <c r="FJ16" s="79" t="str">
        <f ca="1">+IF($FH16=Gráficos!$A$335,Consolidado!CH16,"")</f>
        <v/>
      </c>
      <c r="FK16" s="79" t="str">
        <f ca="1">+IF($FH16=Gráficos!$A$335,Consolidado!CI16,"")</f>
        <v/>
      </c>
      <c r="FL16" s="79" t="str">
        <f t="shared" ref="FL16:FL25" ca="1" si="259">+DA16&amp;DB16&amp;DC16&amp;DD16</f>
        <v/>
      </c>
      <c r="FM16" s="79">
        <f ca="1">+IF($FL16=Gráficos!$A$366,Consolidado!CW16,"")</f>
        <v>0</v>
      </c>
      <c r="FN16" s="79">
        <f ca="1">+IF($FL16=Gráficos!$A$366,Consolidado!CX16,"")</f>
        <v>0</v>
      </c>
      <c r="FO16" s="79">
        <f ca="1">+IF($FL16=Gráficos!$A$366,Consolidado!CY16,"")</f>
        <v>0</v>
      </c>
      <c r="FP16" s="79" t="e">
        <f ca="1">+IF($FL16=Gráficos!$A$366,Consolidado!CZ16,"")</f>
        <v>#DIV/0!</v>
      </c>
      <c r="FQ16" s="79" t="str">
        <f t="shared" ref="FQ16:FQ25" ca="1" si="260">+DU16&amp;DV16&amp;DW16&amp;DX16&amp;DY16</f>
        <v>000</v>
      </c>
      <c r="FR16" s="283">
        <f t="shared" ref="FR16:FR25" ca="1" si="261">+DQ16</f>
        <v>0</v>
      </c>
      <c r="FS16" s="283">
        <f t="shared" ref="FS16:FS25" si="262">+DR16</f>
        <v>0</v>
      </c>
      <c r="FT16" s="283" t="str">
        <f t="shared" ref="FT16:FT25" ca="1" si="263">+DS16</f>
        <v/>
      </c>
      <c r="FU16" s="283" t="e">
        <f t="shared" ref="FU16:FU25" ca="1" si="264">+DT16</f>
        <v>#DIV/0!</v>
      </c>
    </row>
    <row r="17" spans="1:177" x14ac:dyDescent="0.35">
      <c r="A17" s="79">
        <v>7</v>
      </c>
      <c r="B17" s="79"/>
      <c r="C17" s="287" t="str">
        <f t="shared" si="250"/>
        <v>'7'!</v>
      </c>
      <c r="D17" s="288" t="str">
        <f t="shared" ca="1" si="195"/>
        <v>2016-2017</v>
      </c>
      <c r="E17" s="64" t="str">
        <f t="shared" ca="1" si="217"/>
        <v/>
      </c>
      <c r="F17" s="64" t="str">
        <f t="shared" ca="1" si="196"/>
        <v/>
      </c>
      <c r="G17" s="64" t="str">
        <f t="shared" ca="1" si="196"/>
        <v/>
      </c>
      <c r="H17" s="64" t="str">
        <f t="shared" ca="1" si="196"/>
        <v/>
      </c>
      <c r="I17" s="64" t="str">
        <f t="shared" ca="1" si="196"/>
        <v/>
      </c>
      <c r="J17" s="64" t="str">
        <f t="shared" ca="1" si="196"/>
        <v/>
      </c>
      <c r="K17" s="64" t="str">
        <f t="shared" ca="1" si="196"/>
        <v/>
      </c>
      <c r="L17" s="64" t="str">
        <f t="shared" ca="1" si="235"/>
        <v/>
      </c>
      <c r="M17" s="64" t="str">
        <f t="shared" ca="1" si="235"/>
        <v/>
      </c>
      <c r="N17" s="64" t="str">
        <f t="shared" ca="1" si="235"/>
        <v/>
      </c>
      <c r="O17" s="64" t="str">
        <f t="shared" ca="1" si="235"/>
        <v/>
      </c>
      <c r="P17" s="64" t="str">
        <f t="shared" ca="1" si="235"/>
        <v/>
      </c>
      <c r="Q17" s="64" t="str">
        <f t="shared" ca="1" si="235"/>
        <v/>
      </c>
      <c r="R17" s="64" t="str">
        <f t="shared" ca="1" si="235"/>
        <v/>
      </c>
      <c r="S17" s="64" t="str">
        <f t="shared" ca="1" si="235"/>
        <v/>
      </c>
      <c r="T17" s="64" t="str">
        <f t="shared" ca="1" si="235"/>
        <v/>
      </c>
      <c r="U17" s="64" t="str">
        <f t="shared" ca="1" si="235"/>
        <v/>
      </c>
      <c r="V17" s="64" t="str">
        <f t="shared" ca="1" si="235"/>
        <v/>
      </c>
      <c r="W17" s="64" t="str">
        <f t="shared" ca="1" si="235"/>
        <v/>
      </c>
      <c r="X17" s="64" t="str">
        <f t="shared" ca="1" si="235"/>
        <v/>
      </c>
      <c r="Y17" s="64" t="str">
        <f t="shared" ca="1" si="235"/>
        <v/>
      </c>
      <c r="Z17" s="64" t="str">
        <f t="shared" ca="1" si="235"/>
        <v/>
      </c>
      <c r="AA17" s="64" t="str">
        <f t="shared" ca="1" si="235"/>
        <v/>
      </c>
      <c r="AB17" s="64" t="str">
        <f t="shared" ca="1" si="235"/>
        <v/>
      </c>
      <c r="AC17" s="64" t="str">
        <f t="shared" ca="1" si="235"/>
        <v/>
      </c>
      <c r="AD17" s="64" t="str">
        <f t="shared" ca="1" si="235"/>
        <v/>
      </c>
      <c r="AE17" s="64" t="str">
        <f t="shared" ca="1" si="235"/>
        <v/>
      </c>
      <c r="AF17" s="64" t="str">
        <f t="shared" ca="1" si="235"/>
        <v/>
      </c>
      <c r="AG17" s="64" t="str">
        <f t="shared" ca="1" si="235"/>
        <v/>
      </c>
      <c r="AH17" s="64" t="str">
        <f t="shared" ca="1" si="235"/>
        <v/>
      </c>
      <c r="AI17" s="64" t="str">
        <f t="shared" ca="1" si="235"/>
        <v/>
      </c>
      <c r="AJ17" s="64" t="str">
        <f t="shared" ca="1" si="235"/>
        <v/>
      </c>
      <c r="AK17" s="64" t="str">
        <f t="shared" ca="1" si="235"/>
        <v/>
      </c>
      <c r="AL17" s="64" t="str">
        <f t="shared" ca="1" si="235"/>
        <v/>
      </c>
      <c r="AM17" s="64" t="str">
        <f t="shared" ca="1" si="235"/>
        <v/>
      </c>
      <c r="AN17" s="64" t="str">
        <f t="shared" ca="1" si="235"/>
        <v/>
      </c>
      <c r="AO17" s="64" t="str">
        <f t="shared" ca="1" si="235"/>
        <v/>
      </c>
      <c r="AP17" s="64" t="str">
        <f t="shared" ca="1" si="235"/>
        <v/>
      </c>
      <c r="AQ17" s="64" t="str">
        <f t="shared" ca="1" si="235"/>
        <v/>
      </c>
      <c r="AR17" s="64" t="str">
        <f t="shared" ca="1" si="235"/>
        <v/>
      </c>
      <c r="AS17" s="64" t="str">
        <f t="shared" ca="1" si="235"/>
        <v/>
      </c>
      <c r="AT17" s="64" t="str">
        <f t="shared" ca="1" si="235"/>
        <v/>
      </c>
      <c r="AU17" s="64" t="str">
        <f t="shared" ca="1" si="235"/>
        <v/>
      </c>
      <c r="AV17" s="64" t="str">
        <f t="shared" ca="1" si="235"/>
        <v/>
      </c>
      <c r="AW17" s="64" t="str">
        <f t="shared" ca="1" si="235"/>
        <v/>
      </c>
      <c r="AX17" s="64" t="str">
        <f t="shared" ca="1" si="235"/>
        <v/>
      </c>
      <c r="AY17" s="64" t="str">
        <f t="shared" ca="1" si="235"/>
        <v/>
      </c>
      <c r="AZ17" s="64" t="str">
        <f t="shared" ca="1" si="235"/>
        <v/>
      </c>
      <c r="BA17" s="64" t="str">
        <f t="shared" ca="1" si="235"/>
        <v/>
      </c>
      <c r="BB17" s="64" t="str">
        <f t="shared" ca="1" si="235"/>
        <v/>
      </c>
      <c r="BC17" s="64" t="str">
        <f t="shared" ca="1" si="235"/>
        <v/>
      </c>
      <c r="BD17" s="64" t="str">
        <f t="shared" ca="1" si="235"/>
        <v/>
      </c>
      <c r="BE17" s="64" t="str">
        <f t="shared" ca="1" si="235"/>
        <v/>
      </c>
      <c r="BF17" s="64" t="str">
        <f t="shared" ca="1" si="235"/>
        <v/>
      </c>
      <c r="BG17" s="64" t="str">
        <f t="shared" ca="1" si="235"/>
        <v/>
      </c>
      <c r="BH17" s="64" t="str">
        <f t="shared" ca="1" si="235"/>
        <v/>
      </c>
      <c r="BI17" s="64" t="str">
        <f t="shared" ca="1" si="235"/>
        <v/>
      </c>
      <c r="BJ17" s="64" t="str">
        <f t="shared" ca="1" si="235"/>
        <v/>
      </c>
      <c r="BK17" s="64" t="str">
        <f t="shared" ca="1" si="235"/>
        <v/>
      </c>
      <c r="BL17" s="64" t="str">
        <f t="shared" ca="1" si="235"/>
        <v/>
      </c>
      <c r="BM17" s="64" t="str">
        <f t="shared" ca="1" si="235"/>
        <v/>
      </c>
      <c r="BN17" s="64" t="str">
        <f t="shared" ca="1" si="235"/>
        <v/>
      </c>
      <c r="BO17" s="64" t="str">
        <f t="shared" ca="1" si="198"/>
        <v/>
      </c>
      <c r="BP17" s="64" t="str">
        <f t="shared" ca="1" si="198"/>
        <v/>
      </c>
      <c r="BQ17" s="64" t="str">
        <f t="shared" ca="1" si="199"/>
        <v/>
      </c>
      <c r="BR17" s="64" t="str">
        <f t="shared" ca="1" si="199"/>
        <v/>
      </c>
      <c r="BS17" s="64" t="e">
        <f t="shared" ca="1" si="251"/>
        <v>#DIV/0!</v>
      </c>
      <c r="BT17" s="64" t="str">
        <f t="shared" ca="1" si="199"/>
        <v/>
      </c>
      <c r="BU17" s="64" t="e">
        <f t="shared" ca="1" si="201"/>
        <v>#DIV/0!</v>
      </c>
      <c r="BV17" s="64" t="e">
        <f t="shared" ca="1" si="201"/>
        <v>#DIV/0!</v>
      </c>
      <c r="BW17" s="64" t="e">
        <f t="shared" ca="1" si="201"/>
        <v>#DIV/0!</v>
      </c>
      <c r="BX17" s="64" t="str">
        <f t="shared" ca="1" si="199"/>
        <v/>
      </c>
      <c r="BY17" s="64" t="str">
        <f t="shared" ca="1" si="199"/>
        <v/>
      </c>
      <c r="BZ17" s="64" t="str">
        <f t="shared" ca="1" si="199"/>
        <v/>
      </c>
      <c r="CA17" s="64">
        <f t="shared" ca="1" si="202"/>
        <v>0</v>
      </c>
      <c r="CB17" s="64">
        <f t="shared" ca="1" si="202"/>
        <v>0</v>
      </c>
      <c r="CC17" s="64">
        <f t="shared" ca="1" si="202"/>
        <v>0</v>
      </c>
      <c r="CD17" s="64" t="str">
        <f t="shared" ca="1" si="199"/>
        <v/>
      </c>
      <c r="CE17" s="64" t="str">
        <f t="shared" ca="1" si="199"/>
        <v/>
      </c>
      <c r="CF17" s="64">
        <f t="shared" ca="1" si="203"/>
        <v>0</v>
      </c>
      <c r="CG17" s="64" t="e">
        <f t="shared" ca="1" si="203"/>
        <v>#DIV/0!</v>
      </c>
      <c r="CH17" s="64" t="e">
        <f t="shared" ca="1" si="203"/>
        <v>#DIV/0!</v>
      </c>
      <c r="CI17" s="64" t="e">
        <f t="shared" ca="1" si="199"/>
        <v>#DIV/0!</v>
      </c>
      <c r="CJ17" s="64">
        <f t="shared" ca="1" si="220"/>
        <v>0</v>
      </c>
      <c r="CK17" s="64">
        <f t="shared" ca="1" si="204"/>
        <v>0</v>
      </c>
      <c r="CL17" s="64">
        <f t="shared" ca="1" si="204"/>
        <v>0</v>
      </c>
      <c r="CM17" s="64">
        <f t="shared" ca="1" si="204"/>
        <v>0</v>
      </c>
      <c r="CN17" s="64" t="str">
        <f t="shared" ca="1" si="199"/>
        <v/>
      </c>
      <c r="CO17" s="64" t="str">
        <f t="shared" ca="1" si="199"/>
        <v/>
      </c>
      <c r="CP17" s="64" t="str">
        <f t="shared" ca="1" si="199"/>
        <v/>
      </c>
      <c r="CQ17" s="64">
        <f t="shared" ca="1" si="205"/>
        <v>0</v>
      </c>
      <c r="CR17" s="64">
        <f t="shared" ca="1" si="205"/>
        <v>0</v>
      </c>
      <c r="CS17" s="64"/>
      <c r="CT17" s="64"/>
      <c r="CU17" s="64" t="str">
        <f t="shared" ca="1" si="199"/>
        <v/>
      </c>
      <c r="CV17" s="64">
        <f t="shared" ca="1" si="206"/>
        <v>0</v>
      </c>
      <c r="CW17" s="64">
        <f t="shared" ca="1" si="206"/>
        <v>0</v>
      </c>
      <c r="CX17" s="64"/>
      <c r="CY17" s="64">
        <f t="shared" ca="1" si="206"/>
        <v>0</v>
      </c>
      <c r="CZ17" s="64" t="e">
        <f t="shared" ca="1" si="207"/>
        <v>#DIV/0!</v>
      </c>
      <c r="DA17" s="64" t="str">
        <f t="shared" ca="1" si="207"/>
        <v/>
      </c>
      <c r="DB17" s="64" t="str">
        <f t="shared" ca="1" si="207"/>
        <v/>
      </c>
      <c r="DC17" s="64" t="str">
        <f t="shared" ca="1" si="207"/>
        <v/>
      </c>
      <c r="DD17" s="64" t="str">
        <f t="shared" ca="1" si="207"/>
        <v/>
      </c>
      <c r="DE17" s="64" t="str">
        <f t="shared" ca="1" si="207"/>
        <v/>
      </c>
      <c r="DF17" s="64" t="str">
        <f t="shared" ca="1" si="207"/>
        <v/>
      </c>
      <c r="DG17" s="64" t="str">
        <f t="shared" ca="1" si="207"/>
        <v/>
      </c>
      <c r="DH17" s="64" t="str">
        <f t="shared" ca="1" si="207"/>
        <v/>
      </c>
      <c r="DI17" s="64" t="str">
        <f t="shared" ca="1" si="207"/>
        <v/>
      </c>
      <c r="DJ17" s="64" t="str">
        <f t="shared" ca="1" si="208"/>
        <v/>
      </c>
      <c r="DK17" s="64" t="str">
        <f t="shared" ca="1" si="209"/>
        <v/>
      </c>
      <c r="DL17" s="64" t="str">
        <f t="shared" ca="1" si="210"/>
        <v/>
      </c>
      <c r="DM17" s="64"/>
      <c r="DN17" s="64"/>
      <c r="DO17" s="64">
        <f t="shared" ca="1" si="211"/>
        <v>0</v>
      </c>
      <c r="DP17" s="64">
        <f t="shared" ca="1" si="211"/>
        <v>0</v>
      </c>
      <c r="DQ17" s="64">
        <f t="shared" ca="1" si="211"/>
        <v>0</v>
      </c>
      <c r="DR17" s="64"/>
      <c r="DS17" s="64" t="str">
        <f t="shared" ca="1" si="212"/>
        <v/>
      </c>
      <c r="DT17" s="64" t="e">
        <f t="shared" ca="1" si="213"/>
        <v>#DIV/0!</v>
      </c>
      <c r="DU17" s="64">
        <f t="shared" ca="1" si="213"/>
        <v>0</v>
      </c>
      <c r="DV17" s="64">
        <f t="shared" ca="1" si="213"/>
        <v>0</v>
      </c>
      <c r="DW17" s="64">
        <f t="shared" ca="1" si="213"/>
        <v>0</v>
      </c>
      <c r="DX17" s="64" t="str">
        <f t="shared" ca="1" si="214"/>
        <v/>
      </c>
      <c r="DY17" s="64" t="str">
        <f t="shared" ca="1" si="214"/>
        <v/>
      </c>
      <c r="DZ17" s="64" t="str">
        <f t="shared" ca="1" si="214"/>
        <v/>
      </c>
      <c r="EA17" s="64" t="str">
        <f t="shared" ca="1" si="214"/>
        <v/>
      </c>
      <c r="EB17" s="64" t="str">
        <f t="shared" ca="1" si="214"/>
        <v/>
      </c>
      <c r="EC17" s="64" t="str">
        <f t="shared" ca="1" si="214"/>
        <v/>
      </c>
      <c r="ED17" s="64" t="str">
        <f t="shared" ca="1" si="214"/>
        <v/>
      </c>
      <c r="EE17" s="64" t="str">
        <f t="shared" ca="1" si="214"/>
        <v/>
      </c>
      <c r="EF17" s="64" t="str">
        <f t="shared" ca="1" si="214"/>
        <v/>
      </c>
      <c r="EG17" s="64" t="str">
        <f t="shared" ca="1" si="214"/>
        <v/>
      </c>
      <c r="EH17" s="64"/>
      <c r="EI17" s="64"/>
      <c r="EJ17" s="64"/>
      <c r="EK17" s="64"/>
      <c r="EL17" s="79"/>
      <c r="EM17" s="79"/>
      <c r="EN17" s="79"/>
      <c r="EO17" s="79"/>
      <c r="EP17" s="79"/>
      <c r="EQ17" s="79"/>
      <c r="ER17" s="79"/>
      <c r="ES17" s="79"/>
      <c r="ET17" s="79"/>
      <c r="EU17" s="79"/>
      <c r="EV17" s="79"/>
      <c r="EW17" s="79"/>
      <c r="EX17" s="79">
        <v>5</v>
      </c>
      <c r="EY17" s="283" t="str">
        <f t="shared" ca="1" si="252"/>
        <v>Error Dato</v>
      </c>
      <c r="EZ17" s="283" t="str">
        <f t="shared" ca="1" si="253"/>
        <v/>
      </c>
      <c r="FA17" s="79" t="str">
        <f t="shared" ca="1" si="254"/>
        <v/>
      </c>
      <c r="FB17" s="79">
        <f t="shared" ca="1" si="255"/>
        <v>0</v>
      </c>
      <c r="FC17" s="79" t="e">
        <f t="shared" ca="1" si="256"/>
        <v>#VALUE!</v>
      </c>
      <c r="FD17" s="79" t="str">
        <f t="shared" ca="1" si="257"/>
        <v>00</v>
      </c>
      <c r="FE17" s="79" t="str">
        <f ca="1">+IF($FD17=Gráficos!$A$302,Consolidado!BU17,"")</f>
        <v/>
      </c>
      <c r="FF17" s="79" t="str">
        <f ca="1">+IF($FD17=Gráficos!$A$302,Consolidado!BV17,"")</f>
        <v/>
      </c>
      <c r="FG17" s="79" t="str">
        <f ca="1">+IF($FD17=Gráficos!$A$302,Consolidado!BW17,"")</f>
        <v/>
      </c>
      <c r="FH17" s="79" t="str">
        <f t="shared" ca="1" si="258"/>
        <v>0000</v>
      </c>
      <c r="FI17" s="79" t="str">
        <f ca="1">+IF($FH17=Gráficos!$A$335,Consolidado!CG17,"")</f>
        <v/>
      </c>
      <c r="FJ17" s="79" t="str">
        <f ca="1">+IF($FH17=Gráficos!$A$335,Consolidado!CH17,"")</f>
        <v/>
      </c>
      <c r="FK17" s="79" t="str">
        <f ca="1">+IF($FH17=Gráficos!$A$335,Consolidado!CI17,"")</f>
        <v/>
      </c>
      <c r="FL17" s="79" t="str">
        <f t="shared" ca="1" si="259"/>
        <v/>
      </c>
      <c r="FM17" s="79">
        <f ca="1">+IF($FL17=Gráficos!$A$366,Consolidado!CW17,"")</f>
        <v>0</v>
      </c>
      <c r="FN17" s="79">
        <f ca="1">+IF($FL17=Gráficos!$A$366,Consolidado!CX17,"")</f>
        <v>0</v>
      </c>
      <c r="FO17" s="79">
        <f ca="1">+IF($FL17=Gráficos!$A$366,Consolidado!CY17,"")</f>
        <v>0</v>
      </c>
      <c r="FP17" s="79" t="e">
        <f ca="1">+IF($FL17=Gráficos!$A$366,Consolidado!CZ17,"")</f>
        <v>#DIV/0!</v>
      </c>
      <c r="FQ17" s="79" t="str">
        <f t="shared" ca="1" si="260"/>
        <v>000</v>
      </c>
      <c r="FR17" s="283">
        <f t="shared" ca="1" si="261"/>
        <v>0</v>
      </c>
      <c r="FS17" s="283">
        <f t="shared" si="262"/>
        <v>0</v>
      </c>
      <c r="FT17" s="283" t="str">
        <f t="shared" ca="1" si="263"/>
        <v/>
      </c>
      <c r="FU17" s="283" t="e">
        <f t="shared" ca="1" si="264"/>
        <v>#DIV/0!</v>
      </c>
    </row>
    <row r="18" spans="1:177" x14ac:dyDescent="0.35">
      <c r="A18" s="79">
        <v>8</v>
      </c>
      <c r="B18" s="79"/>
      <c r="C18" s="287" t="str">
        <f t="shared" si="250"/>
        <v>'8'!</v>
      </c>
      <c r="D18" s="288" t="str">
        <f t="shared" ca="1" si="195"/>
        <v>2016-2017</v>
      </c>
      <c r="E18" s="64" t="str">
        <f t="shared" ca="1" si="217"/>
        <v/>
      </c>
      <c r="F18" s="64" t="str">
        <f t="shared" ca="1" si="217"/>
        <v/>
      </c>
      <c r="G18" s="64" t="str">
        <f t="shared" ca="1" si="217"/>
        <v/>
      </c>
      <c r="H18" s="64" t="str">
        <f t="shared" ca="1" si="217"/>
        <v/>
      </c>
      <c r="I18" s="64" t="str">
        <f t="shared" ca="1" si="217"/>
        <v/>
      </c>
      <c r="J18" s="64" t="str">
        <f t="shared" ca="1" si="217"/>
        <v/>
      </c>
      <c r="K18" s="64" t="str">
        <f t="shared" ca="1" si="217"/>
        <v/>
      </c>
      <c r="L18" s="64" t="str">
        <f t="shared" ca="1" si="235"/>
        <v/>
      </c>
      <c r="M18" s="64" t="str">
        <f t="shared" ca="1" si="235"/>
        <v/>
      </c>
      <c r="N18" s="64" t="str">
        <f t="shared" ca="1" si="235"/>
        <v/>
      </c>
      <c r="O18" s="64" t="str">
        <f t="shared" ca="1" si="235"/>
        <v/>
      </c>
      <c r="P18" s="64" t="str">
        <f t="shared" ca="1" si="235"/>
        <v/>
      </c>
      <c r="Q18" s="64" t="str">
        <f t="shared" ca="1" si="235"/>
        <v/>
      </c>
      <c r="R18" s="64" t="str">
        <f t="shared" ca="1" si="235"/>
        <v/>
      </c>
      <c r="S18" s="64" t="str">
        <f t="shared" ca="1" si="235"/>
        <v/>
      </c>
      <c r="T18" s="64" t="str">
        <f t="shared" ca="1" si="235"/>
        <v/>
      </c>
      <c r="U18" s="64" t="str">
        <f t="shared" ca="1" si="235"/>
        <v/>
      </c>
      <c r="V18" s="64" t="str">
        <f t="shared" ca="1" si="235"/>
        <v/>
      </c>
      <c r="W18" s="64" t="str">
        <f t="shared" ca="1" si="235"/>
        <v/>
      </c>
      <c r="X18" s="64" t="str">
        <f t="shared" ca="1" si="235"/>
        <v/>
      </c>
      <c r="Y18" s="64" t="str">
        <f t="shared" ca="1" si="235"/>
        <v/>
      </c>
      <c r="Z18" s="64" t="str">
        <f t="shared" ca="1" si="235"/>
        <v/>
      </c>
      <c r="AA18" s="64" t="str">
        <f t="shared" ca="1" si="235"/>
        <v/>
      </c>
      <c r="AB18" s="64" t="str">
        <f t="shared" ca="1" si="235"/>
        <v/>
      </c>
      <c r="AC18" s="64" t="str">
        <f t="shared" ca="1" si="235"/>
        <v/>
      </c>
      <c r="AD18" s="64" t="str">
        <f t="shared" ca="1" si="235"/>
        <v/>
      </c>
      <c r="AE18" s="64" t="str">
        <f t="shared" ca="1" si="235"/>
        <v/>
      </c>
      <c r="AF18" s="64" t="str">
        <f t="shared" ca="1" si="235"/>
        <v/>
      </c>
      <c r="AG18" s="64" t="str">
        <f t="shared" ca="1" si="235"/>
        <v/>
      </c>
      <c r="AH18" s="64" t="str">
        <f t="shared" ca="1" si="235"/>
        <v/>
      </c>
      <c r="AI18" s="64" t="str">
        <f t="shared" ca="1" si="235"/>
        <v/>
      </c>
      <c r="AJ18" s="64" t="str">
        <f t="shared" ca="1" si="235"/>
        <v/>
      </c>
      <c r="AK18" s="64" t="str">
        <f t="shared" ca="1" si="235"/>
        <v/>
      </c>
      <c r="AL18" s="64" t="str">
        <f t="shared" ca="1" si="235"/>
        <v/>
      </c>
      <c r="AM18" s="64" t="str">
        <f t="shared" ca="1" si="235"/>
        <v/>
      </c>
      <c r="AN18" s="64" t="str">
        <f t="shared" ca="1" si="235"/>
        <v/>
      </c>
      <c r="AO18" s="64" t="str">
        <f t="shared" ca="1" si="235"/>
        <v/>
      </c>
      <c r="AP18" s="64" t="str">
        <f t="shared" ca="1" si="235"/>
        <v/>
      </c>
      <c r="AQ18" s="64" t="str">
        <f t="shared" ca="1" si="235"/>
        <v/>
      </c>
      <c r="AR18" s="64" t="str">
        <f t="shared" ca="1" si="235"/>
        <v/>
      </c>
      <c r="AS18" s="64" t="str">
        <f t="shared" ca="1" si="235"/>
        <v/>
      </c>
      <c r="AT18" s="64" t="str">
        <f t="shared" ca="1" si="235"/>
        <v/>
      </c>
      <c r="AU18" s="64" t="str">
        <f t="shared" ca="1" si="235"/>
        <v/>
      </c>
      <c r="AV18" s="64" t="str">
        <f t="shared" ca="1" si="235"/>
        <v/>
      </c>
      <c r="AW18" s="64" t="str">
        <f t="shared" ca="1" si="235"/>
        <v/>
      </c>
      <c r="AX18" s="64" t="str">
        <f t="shared" ca="1" si="235"/>
        <v/>
      </c>
      <c r="AY18" s="64" t="str">
        <f t="shared" ca="1" si="235"/>
        <v/>
      </c>
      <c r="AZ18" s="64" t="str">
        <f t="shared" ca="1" si="235"/>
        <v/>
      </c>
      <c r="BA18" s="64" t="str">
        <f t="shared" ca="1" si="235"/>
        <v/>
      </c>
      <c r="BB18" s="64" t="str">
        <f t="shared" ca="1" si="235"/>
        <v/>
      </c>
      <c r="BC18" s="64" t="str">
        <f t="shared" ca="1" si="235"/>
        <v/>
      </c>
      <c r="BD18" s="64" t="str">
        <f t="shared" ca="1" si="235"/>
        <v/>
      </c>
      <c r="BE18" s="64" t="str">
        <f t="shared" ca="1" si="235"/>
        <v/>
      </c>
      <c r="BF18" s="64" t="str">
        <f t="shared" ca="1" si="235"/>
        <v/>
      </c>
      <c r="BG18" s="64" t="str">
        <f t="shared" ca="1" si="235"/>
        <v/>
      </c>
      <c r="BH18" s="64" t="str">
        <f t="shared" ca="1" si="235"/>
        <v/>
      </c>
      <c r="BI18" s="64" t="str">
        <f t="shared" ca="1" si="235"/>
        <v/>
      </c>
      <c r="BJ18" s="64" t="str">
        <f t="shared" ca="1" si="235"/>
        <v/>
      </c>
      <c r="BK18" s="64" t="str">
        <f t="shared" ca="1" si="235"/>
        <v/>
      </c>
      <c r="BL18" s="64" t="str">
        <f t="shared" ca="1" si="235"/>
        <v/>
      </c>
      <c r="BM18" s="64" t="str">
        <f t="shared" ca="1" si="235"/>
        <v/>
      </c>
      <c r="BN18" s="64" t="str">
        <f t="shared" ca="1" si="235"/>
        <v/>
      </c>
      <c r="BO18" s="64" t="str">
        <f t="shared" ca="1" si="198"/>
        <v/>
      </c>
      <c r="BP18" s="64" t="str">
        <f t="shared" ca="1" si="198"/>
        <v/>
      </c>
      <c r="BQ18" s="64" t="str">
        <f t="shared" ca="1" si="199"/>
        <v/>
      </c>
      <c r="BR18" s="64" t="str">
        <f t="shared" ca="1" si="199"/>
        <v/>
      </c>
      <c r="BS18" s="64" t="e">
        <f t="shared" ca="1" si="251"/>
        <v>#DIV/0!</v>
      </c>
      <c r="BT18" s="64" t="str">
        <f t="shared" ca="1" si="199"/>
        <v/>
      </c>
      <c r="BU18" s="64" t="e">
        <f t="shared" ca="1" si="201"/>
        <v>#DIV/0!</v>
      </c>
      <c r="BV18" s="64" t="e">
        <f t="shared" ca="1" si="201"/>
        <v>#DIV/0!</v>
      </c>
      <c r="BW18" s="64" t="e">
        <f t="shared" ca="1" si="201"/>
        <v>#DIV/0!</v>
      </c>
      <c r="BX18" s="64" t="str">
        <f t="shared" ca="1" si="199"/>
        <v/>
      </c>
      <c r="BY18" s="64" t="str">
        <f t="shared" ca="1" si="199"/>
        <v/>
      </c>
      <c r="BZ18" s="64" t="str">
        <f t="shared" ca="1" si="199"/>
        <v/>
      </c>
      <c r="CA18" s="64">
        <f t="shared" ca="1" si="202"/>
        <v>0</v>
      </c>
      <c r="CB18" s="64">
        <f t="shared" ca="1" si="202"/>
        <v>0</v>
      </c>
      <c r="CC18" s="64">
        <f t="shared" ca="1" si="202"/>
        <v>0</v>
      </c>
      <c r="CD18" s="64" t="str">
        <f t="shared" ca="1" si="199"/>
        <v/>
      </c>
      <c r="CE18" s="64" t="str">
        <f t="shared" ca="1" si="199"/>
        <v/>
      </c>
      <c r="CF18" s="64">
        <f t="shared" ca="1" si="203"/>
        <v>0</v>
      </c>
      <c r="CG18" s="64" t="e">
        <f t="shared" ca="1" si="203"/>
        <v>#DIV/0!</v>
      </c>
      <c r="CH18" s="64" t="e">
        <f t="shared" ca="1" si="203"/>
        <v>#DIV/0!</v>
      </c>
      <c r="CI18" s="64" t="e">
        <f t="shared" ca="1" si="199"/>
        <v>#DIV/0!</v>
      </c>
      <c r="CJ18" s="64">
        <f t="shared" ca="1" si="220"/>
        <v>0</v>
      </c>
      <c r="CK18" s="64">
        <f t="shared" ca="1" si="204"/>
        <v>0</v>
      </c>
      <c r="CL18" s="64">
        <f t="shared" ca="1" si="204"/>
        <v>0</v>
      </c>
      <c r="CM18" s="64">
        <f t="shared" ca="1" si="204"/>
        <v>0</v>
      </c>
      <c r="CN18" s="64" t="str">
        <f t="shared" ca="1" si="199"/>
        <v/>
      </c>
      <c r="CO18" s="64" t="str">
        <f t="shared" ca="1" si="199"/>
        <v/>
      </c>
      <c r="CP18" s="64" t="str">
        <f t="shared" ca="1" si="199"/>
        <v/>
      </c>
      <c r="CQ18" s="64">
        <f t="shared" ca="1" si="205"/>
        <v>0</v>
      </c>
      <c r="CR18" s="64">
        <f t="shared" ca="1" si="205"/>
        <v>0</v>
      </c>
      <c r="CS18" s="64"/>
      <c r="CT18" s="64"/>
      <c r="CU18" s="64" t="str">
        <f t="shared" ca="1" si="199"/>
        <v/>
      </c>
      <c r="CV18" s="64">
        <f t="shared" ca="1" si="206"/>
        <v>0</v>
      </c>
      <c r="CW18" s="64">
        <f t="shared" ca="1" si="206"/>
        <v>0</v>
      </c>
      <c r="CX18" s="64"/>
      <c r="CY18" s="64">
        <f t="shared" ca="1" si="206"/>
        <v>0</v>
      </c>
      <c r="CZ18" s="64" t="e">
        <f t="shared" ca="1" si="207"/>
        <v>#DIV/0!</v>
      </c>
      <c r="DA18" s="64" t="str">
        <f t="shared" ca="1" si="207"/>
        <v/>
      </c>
      <c r="DB18" s="64" t="str">
        <f t="shared" ca="1" si="207"/>
        <v/>
      </c>
      <c r="DC18" s="64" t="str">
        <f t="shared" ca="1" si="207"/>
        <v/>
      </c>
      <c r="DD18" s="64" t="str">
        <f t="shared" ca="1" si="207"/>
        <v/>
      </c>
      <c r="DE18" s="64" t="str">
        <f t="shared" ca="1" si="207"/>
        <v/>
      </c>
      <c r="DF18" s="64" t="str">
        <f t="shared" ca="1" si="207"/>
        <v/>
      </c>
      <c r="DG18" s="64" t="str">
        <f t="shared" ca="1" si="207"/>
        <v/>
      </c>
      <c r="DH18" s="64" t="str">
        <f t="shared" ca="1" si="207"/>
        <v/>
      </c>
      <c r="DI18" s="64" t="str">
        <f t="shared" ca="1" si="207"/>
        <v/>
      </c>
      <c r="DJ18" s="64" t="str">
        <f t="shared" ca="1" si="208"/>
        <v/>
      </c>
      <c r="DK18" s="64" t="str">
        <f t="shared" ca="1" si="209"/>
        <v/>
      </c>
      <c r="DL18" s="64" t="str">
        <f t="shared" ca="1" si="210"/>
        <v/>
      </c>
      <c r="DM18" s="64"/>
      <c r="DN18" s="64"/>
      <c r="DO18" s="64">
        <f t="shared" ca="1" si="211"/>
        <v>0</v>
      </c>
      <c r="DP18" s="64">
        <f t="shared" ca="1" si="211"/>
        <v>0</v>
      </c>
      <c r="DQ18" s="64">
        <f t="shared" ca="1" si="211"/>
        <v>0</v>
      </c>
      <c r="DR18" s="64"/>
      <c r="DS18" s="64" t="str">
        <f t="shared" ca="1" si="212"/>
        <v/>
      </c>
      <c r="DT18" s="64" t="e">
        <f t="shared" ca="1" si="213"/>
        <v>#DIV/0!</v>
      </c>
      <c r="DU18" s="64">
        <f t="shared" ca="1" si="213"/>
        <v>0</v>
      </c>
      <c r="DV18" s="64">
        <f t="shared" ca="1" si="213"/>
        <v>0</v>
      </c>
      <c r="DW18" s="64">
        <f t="shared" ca="1" si="213"/>
        <v>0</v>
      </c>
      <c r="DX18" s="64" t="str">
        <f t="shared" ca="1" si="214"/>
        <v/>
      </c>
      <c r="DY18" s="64" t="str">
        <f t="shared" ca="1" si="214"/>
        <v/>
      </c>
      <c r="DZ18" s="64" t="str">
        <f t="shared" ca="1" si="214"/>
        <v/>
      </c>
      <c r="EA18" s="64" t="str">
        <f t="shared" ca="1" si="214"/>
        <v/>
      </c>
      <c r="EB18" s="64" t="str">
        <f t="shared" ca="1" si="214"/>
        <v/>
      </c>
      <c r="EC18" s="64" t="str">
        <f t="shared" ca="1" si="214"/>
        <v/>
      </c>
      <c r="ED18" s="64" t="str">
        <f t="shared" ca="1" si="214"/>
        <v/>
      </c>
      <c r="EE18" s="64" t="str">
        <f t="shared" ca="1" si="214"/>
        <v/>
      </c>
      <c r="EF18" s="64" t="str">
        <f t="shared" ca="1" si="214"/>
        <v/>
      </c>
      <c r="EG18" s="64" t="str">
        <f t="shared" ca="1" si="214"/>
        <v/>
      </c>
      <c r="EH18" s="64"/>
      <c r="EI18" s="64"/>
      <c r="EJ18" s="64"/>
      <c r="EK18" s="64"/>
      <c r="EL18" s="79"/>
      <c r="EM18" s="79"/>
      <c r="EN18" s="79"/>
      <c r="EO18" s="79"/>
      <c r="EP18" s="79"/>
      <c r="EQ18" s="79"/>
      <c r="ER18" s="79"/>
      <c r="ES18" s="79"/>
      <c r="ET18" s="79"/>
      <c r="EU18" s="79"/>
      <c r="EV18" s="79"/>
      <c r="EW18" s="79"/>
      <c r="EX18" s="79">
        <v>5</v>
      </c>
      <c r="EY18" s="283" t="str">
        <f t="shared" ca="1" si="252"/>
        <v>Error Dato</v>
      </c>
      <c r="EZ18" s="283" t="str">
        <f t="shared" ca="1" si="253"/>
        <v/>
      </c>
      <c r="FA18" s="79" t="str">
        <f t="shared" ca="1" si="254"/>
        <v/>
      </c>
      <c r="FB18" s="79">
        <f t="shared" ca="1" si="255"/>
        <v>0</v>
      </c>
      <c r="FC18" s="79" t="e">
        <f t="shared" ca="1" si="256"/>
        <v>#VALUE!</v>
      </c>
      <c r="FD18" s="79" t="str">
        <f t="shared" ca="1" si="257"/>
        <v>00</v>
      </c>
      <c r="FE18" s="79" t="str">
        <f ca="1">+IF($FD18=Gráficos!$A$302,Consolidado!BU18,"")</f>
        <v/>
      </c>
      <c r="FF18" s="79" t="str">
        <f ca="1">+IF($FD18=Gráficos!$A$302,Consolidado!BV18,"")</f>
        <v/>
      </c>
      <c r="FG18" s="79" t="str">
        <f ca="1">+IF($FD18=Gráficos!$A$302,Consolidado!BW18,"")</f>
        <v/>
      </c>
      <c r="FH18" s="79" t="str">
        <f t="shared" ca="1" si="258"/>
        <v>0000</v>
      </c>
      <c r="FI18" s="79" t="str">
        <f ca="1">+IF($FH18=Gráficos!$A$335,Consolidado!CG18,"")</f>
        <v/>
      </c>
      <c r="FJ18" s="79" t="str">
        <f ca="1">+IF($FH18=Gráficos!$A$335,Consolidado!CH18,"")</f>
        <v/>
      </c>
      <c r="FK18" s="79" t="str">
        <f ca="1">+IF($FH18=Gráficos!$A$335,Consolidado!CI18,"")</f>
        <v/>
      </c>
      <c r="FL18" s="79" t="str">
        <f t="shared" ca="1" si="259"/>
        <v/>
      </c>
      <c r="FM18" s="79">
        <f ca="1">+IF($FL18=Gráficos!$A$366,Consolidado!CW18,"")</f>
        <v>0</v>
      </c>
      <c r="FN18" s="79">
        <f ca="1">+IF($FL18=Gráficos!$A$366,Consolidado!CX18,"")</f>
        <v>0</v>
      </c>
      <c r="FO18" s="79">
        <f ca="1">+IF($FL18=Gráficos!$A$366,Consolidado!CY18,"")</f>
        <v>0</v>
      </c>
      <c r="FP18" s="79" t="e">
        <f ca="1">+IF($FL18=Gráficos!$A$366,Consolidado!CZ18,"")</f>
        <v>#DIV/0!</v>
      </c>
      <c r="FQ18" s="79" t="str">
        <f t="shared" ca="1" si="260"/>
        <v>000</v>
      </c>
      <c r="FR18" s="283">
        <f t="shared" ca="1" si="261"/>
        <v>0</v>
      </c>
      <c r="FS18" s="283">
        <f t="shared" si="262"/>
        <v>0</v>
      </c>
      <c r="FT18" s="283" t="str">
        <f t="shared" ca="1" si="263"/>
        <v/>
      </c>
      <c r="FU18" s="283" t="e">
        <f t="shared" ca="1" si="264"/>
        <v>#DIV/0!</v>
      </c>
    </row>
    <row r="19" spans="1:177" x14ac:dyDescent="0.35">
      <c r="A19" s="79">
        <v>9</v>
      </c>
      <c r="B19" s="79"/>
      <c r="C19" s="287" t="str">
        <f t="shared" si="250"/>
        <v>'9'!</v>
      </c>
      <c r="D19" s="288" t="str">
        <f t="shared" ca="1" si="195"/>
        <v>2016-2017</v>
      </c>
      <c r="E19" s="64" t="str">
        <f t="shared" ca="1" si="217"/>
        <v/>
      </c>
      <c r="F19" s="64" t="str">
        <f t="shared" ca="1" si="217"/>
        <v/>
      </c>
      <c r="G19" s="64" t="str">
        <f t="shared" ca="1" si="217"/>
        <v/>
      </c>
      <c r="H19" s="64" t="str">
        <f t="shared" ca="1" si="217"/>
        <v/>
      </c>
      <c r="I19" s="64" t="str">
        <f t="shared" ca="1" si="217"/>
        <v/>
      </c>
      <c r="J19" s="64" t="str">
        <f t="shared" ca="1" si="217"/>
        <v/>
      </c>
      <c r="K19" s="64" t="str">
        <f t="shared" ca="1" si="217"/>
        <v/>
      </c>
      <c r="L19" s="64" t="str">
        <f t="shared" ca="1" si="235"/>
        <v/>
      </c>
      <c r="M19" s="64" t="str">
        <f t="shared" ca="1" si="235"/>
        <v/>
      </c>
      <c r="N19" s="64" t="str">
        <f t="shared" ca="1" si="235"/>
        <v/>
      </c>
      <c r="O19" s="64" t="str">
        <f t="shared" ca="1" si="235"/>
        <v/>
      </c>
      <c r="P19" s="64" t="str">
        <f t="shared" ca="1" si="235"/>
        <v/>
      </c>
      <c r="Q19" s="64" t="str">
        <f t="shared" ca="1" si="235"/>
        <v/>
      </c>
      <c r="R19" s="64" t="str">
        <f t="shared" ca="1" si="235"/>
        <v/>
      </c>
      <c r="S19" s="64" t="str">
        <f t="shared" ca="1" si="235"/>
        <v/>
      </c>
      <c r="T19" s="64" t="str">
        <f t="shared" ca="1" si="235"/>
        <v/>
      </c>
      <c r="U19" s="64" t="str">
        <f t="shared" ca="1" si="235"/>
        <v/>
      </c>
      <c r="V19" s="64" t="str">
        <f t="shared" ca="1" si="235"/>
        <v/>
      </c>
      <c r="W19" s="64" t="str">
        <f t="shared" ca="1" si="235"/>
        <v/>
      </c>
      <c r="X19" s="64" t="str">
        <f t="shared" ca="1" si="235"/>
        <v/>
      </c>
      <c r="Y19" s="64" t="str">
        <f t="shared" ca="1" si="235"/>
        <v/>
      </c>
      <c r="Z19" s="64" t="str">
        <f t="shared" ca="1" si="235"/>
        <v/>
      </c>
      <c r="AA19" s="64" t="str">
        <f t="shared" ca="1" si="235"/>
        <v/>
      </c>
      <c r="AB19" s="64" t="str">
        <f t="shared" ca="1" si="235"/>
        <v/>
      </c>
      <c r="AC19" s="64" t="str">
        <f t="shared" ca="1" si="235"/>
        <v/>
      </c>
      <c r="AD19" s="64" t="str">
        <f t="shared" ca="1" si="235"/>
        <v/>
      </c>
      <c r="AE19" s="64" t="str">
        <f t="shared" ca="1" si="235"/>
        <v/>
      </c>
      <c r="AF19" s="64" t="str">
        <f t="shared" ca="1" si="235"/>
        <v/>
      </c>
      <c r="AG19" s="64" t="str">
        <f t="shared" ca="1" si="235"/>
        <v/>
      </c>
      <c r="AH19" s="64" t="str">
        <f t="shared" ca="1" si="235"/>
        <v/>
      </c>
      <c r="AI19" s="64" t="str">
        <f t="shared" ca="1" si="235"/>
        <v/>
      </c>
      <c r="AJ19" s="64" t="str">
        <f t="shared" ca="1" si="235"/>
        <v/>
      </c>
      <c r="AK19" s="64" t="str">
        <f t="shared" ca="1" si="235"/>
        <v/>
      </c>
      <c r="AL19" s="64" t="str">
        <f t="shared" ca="1" si="235"/>
        <v/>
      </c>
      <c r="AM19" s="64" t="str">
        <f t="shared" ca="1" si="235"/>
        <v/>
      </c>
      <c r="AN19" s="64" t="str">
        <f t="shared" ca="1" si="235"/>
        <v/>
      </c>
      <c r="AO19" s="64" t="str">
        <f t="shared" ca="1" si="235"/>
        <v/>
      </c>
      <c r="AP19" s="64" t="str">
        <f t="shared" ca="1" si="235"/>
        <v/>
      </c>
      <c r="AQ19" s="64" t="str">
        <f t="shared" ca="1" si="235"/>
        <v/>
      </c>
      <c r="AR19" s="64" t="str">
        <f t="shared" ca="1" si="235"/>
        <v/>
      </c>
      <c r="AS19" s="64" t="str">
        <f t="shared" ca="1" si="235"/>
        <v/>
      </c>
      <c r="AT19" s="64" t="str">
        <f t="shared" ca="1" si="235"/>
        <v/>
      </c>
      <c r="AU19" s="64" t="str">
        <f t="shared" ref="AU19:BJ25" ca="1" si="265">IF(VLOOKUP(AU$7,(INDIRECT($C19&amp;$C$8)),AU$4,FALSE)&gt;0,VLOOKUP(AU$7,(INDIRECT($C19&amp;$C$8)),AU$4,FALSE),"")</f>
        <v/>
      </c>
      <c r="AV19" s="64" t="str">
        <f t="shared" ca="1" si="265"/>
        <v/>
      </c>
      <c r="AW19" s="64" t="str">
        <f t="shared" ca="1" si="265"/>
        <v/>
      </c>
      <c r="AX19" s="64" t="str">
        <f t="shared" ca="1" si="265"/>
        <v/>
      </c>
      <c r="AY19" s="64" t="str">
        <f t="shared" ca="1" si="265"/>
        <v/>
      </c>
      <c r="AZ19" s="64" t="str">
        <f t="shared" ca="1" si="265"/>
        <v/>
      </c>
      <c r="BA19" s="64" t="str">
        <f t="shared" ca="1" si="265"/>
        <v/>
      </c>
      <c r="BB19" s="64" t="str">
        <f t="shared" ca="1" si="265"/>
        <v/>
      </c>
      <c r="BC19" s="64" t="str">
        <f t="shared" ca="1" si="265"/>
        <v/>
      </c>
      <c r="BD19" s="64" t="str">
        <f t="shared" ca="1" si="265"/>
        <v/>
      </c>
      <c r="BE19" s="64" t="str">
        <f t="shared" ca="1" si="265"/>
        <v/>
      </c>
      <c r="BF19" s="64" t="str">
        <f t="shared" ca="1" si="265"/>
        <v/>
      </c>
      <c r="BG19" s="64" t="str">
        <f t="shared" ca="1" si="265"/>
        <v/>
      </c>
      <c r="BH19" s="64" t="str">
        <f t="shared" ca="1" si="265"/>
        <v/>
      </c>
      <c r="BI19" s="64" t="str">
        <f t="shared" ca="1" si="265"/>
        <v/>
      </c>
      <c r="BJ19" s="64" t="str">
        <f t="shared" ca="1" si="265"/>
        <v/>
      </c>
      <c r="BK19" s="64" t="str">
        <f t="shared" ref="BK19:BP25" ca="1" si="266">IF(VLOOKUP(BK$7,(INDIRECT($C19&amp;$C$8)),BK$4,FALSE)&gt;0,VLOOKUP(BK$7,(INDIRECT($C19&amp;$C$8)),BK$4,FALSE),"")</f>
        <v/>
      </c>
      <c r="BL19" s="64" t="str">
        <f t="shared" ca="1" si="266"/>
        <v/>
      </c>
      <c r="BM19" s="64" t="str">
        <f t="shared" ca="1" si="266"/>
        <v/>
      </c>
      <c r="BN19" s="64" t="str">
        <f t="shared" ca="1" si="266"/>
        <v/>
      </c>
      <c r="BO19" s="64" t="str">
        <f t="shared" ca="1" si="266"/>
        <v/>
      </c>
      <c r="BP19" s="64" t="str">
        <f t="shared" ca="1" si="266"/>
        <v/>
      </c>
      <c r="BQ19" s="64" t="str">
        <f t="shared" ca="1" si="199"/>
        <v/>
      </c>
      <c r="BR19" s="64" t="str">
        <f t="shared" ca="1" si="199"/>
        <v/>
      </c>
      <c r="BS19" s="64" t="e">
        <f t="shared" ca="1" si="251"/>
        <v>#DIV/0!</v>
      </c>
      <c r="BT19" s="64" t="str">
        <f t="shared" ca="1" si="199"/>
        <v/>
      </c>
      <c r="BU19" s="64" t="e">
        <f t="shared" ca="1" si="201"/>
        <v>#DIV/0!</v>
      </c>
      <c r="BV19" s="64" t="e">
        <f t="shared" ca="1" si="201"/>
        <v>#DIV/0!</v>
      </c>
      <c r="BW19" s="64" t="e">
        <f t="shared" ca="1" si="201"/>
        <v>#DIV/0!</v>
      </c>
      <c r="BX19" s="64" t="str">
        <f t="shared" ca="1" si="199"/>
        <v/>
      </c>
      <c r="BY19" s="64" t="str">
        <f t="shared" ca="1" si="199"/>
        <v/>
      </c>
      <c r="BZ19" s="64" t="str">
        <f t="shared" ca="1" si="199"/>
        <v/>
      </c>
      <c r="CA19" s="64">
        <f t="shared" ca="1" si="202"/>
        <v>0</v>
      </c>
      <c r="CB19" s="64">
        <f t="shared" ca="1" si="202"/>
        <v>0</v>
      </c>
      <c r="CC19" s="64">
        <f t="shared" ca="1" si="202"/>
        <v>0</v>
      </c>
      <c r="CD19" s="64" t="str">
        <f t="shared" ca="1" si="199"/>
        <v/>
      </c>
      <c r="CE19" s="64" t="str">
        <f t="shared" ca="1" si="199"/>
        <v/>
      </c>
      <c r="CF19" s="64">
        <f t="shared" ca="1" si="203"/>
        <v>0</v>
      </c>
      <c r="CG19" s="64" t="e">
        <f t="shared" ca="1" si="203"/>
        <v>#DIV/0!</v>
      </c>
      <c r="CH19" s="64" t="e">
        <f t="shared" ca="1" si="203"/>
        <v>#DIV/0!</v>
      </c>
      <c r="CI19" s="64" t="e">
        <f t="shared" ca="1" si="199"/>
        <v>#DIV/0!</v>
      </c>
      <c r="CJ19" s="64">
        <f t="shared" ca="1" si="220"/>
        <v>0</v>
      </c>
      <c r="CK19" s="64">
        <f t="shared" ca="1" si="204"/>
        <v>0</v>
      </c>
      <c r="CL19" s="64">
        <f t="shared" ca="1" si="204"/>
        <v>0</v>
      </c>
      <c r="CM19" s="64">
        <f t="shared" ca="1" si="204"/>
        <v>0</v>
      </c>
      <c r="CN19" s="64" t="str">
        <f t="shared" ca="1" si="199"/>
        <v/>
      </c>
      <c r="CO19" s="64" t="str">
        <f t="shared" ca="1" si="199"/>
        <v/>
      </c>
      <c r="CP19" s="64" t="str">
        <f t="shared" ca="1" si="199"/>
        <v/>
      </c>
      <c r="CQ19" s="64">
        <f t="shared" ca="1" si="205"/>
        <v>0</v>
      </c>
      <c r="CR19" s="64">
        <f t="shared" ca="1" si="205"/>
        <v>0</v>
      </c>
      <c r="CS19" s="64"/>
      <c r="CT19" s="64"/>
      <c r="CU19" s="64" t="str">
        <f t="shared" ca="1" si="199"/>
        <v/>
      </c>
      <c r="CV19" s="64">
        <f t="shared" ca="1" si="206"/>
        <v>0</v>
      </c>
      <c r="CW19" s="64">
        <f t="shared" ca="1" si="206"/>
        <v>0</v>
      </c>
      <c r="CX19" s="64"/>
      <c r="CY19" s="64">
        <f t="shared" ca="1" si="206"/>
        <v>0</v>
      </c>
      <c r="CZ19" s="64" t="e">
        <f t="shared" ca="1" si="207"/>
        <v>#DIV/0!</v>
      </c>
      <c r="DA19" s="64" t="str">
        <f t="shared" ca="1" si="207"/>
        <v/>
      </c>
      <c r="DB19" s="64" t="str">
        <f t="shared" ca="1" si="207"/>
        <v/>
      </c>
      <c r="DC19" s="64" t="str">
        <f t="shared" ca="1" si="207"/>
        <v/>
      </c>
      <c r="DD19" s="64" t="str">
        <f t="shared" ca="1" si="207"/>
        <v/>
      </c>
      <c r="DE19" s="64" t="str">
        <f t="shared" ca="1" si="207"/>
        <v/>
      </c>
      <c r="DF19" s="64" t="str">
        <f t="shared" ca="1" si="207"/>
        <v/>
      </c>
      <c r="DG19" s="64" t="str">
        <f t="shared" ca="1" si="207"/>
        <v/>
      </c>
      <c r="DH19" s="64" t="str">
        <f t="shared" ca="1" si="207"/>
        <v/>
      </c>
      <c r="DI19" s="64" t="str">
        <f t="shared" ca="1" si="207"/>
        <v/>
      </c>
      <c r="DJ19" s="64" t="str">
        <f t="shared" ca="1" si="208"/>
        <v/>
      </c>
      <c r="DK19" s="64" t="str">
        <f t="shared" ca="1" si="209"/>
        <v/>
      </c>
      <c r="DL19" s="64" t="str">
        <f t="shared" ca="1" si="210"/>
        <v/>
      </c>
      <c r="DM19" s="64"/>
      <c r="DN19" s="64"/>
      <c r="DO19" s="64">
        <f t="shared" ca="1" si="211"/>
        <v>0</v>
      </c>
      <c r="DP19" s="64">
        <f t="shared" ca="1" si="211"/>
        <v>0</v>
      </c>
      <c r="DQ19" s="64">
        <f t="shared" ca="1" si="211"/>
        <v>0</v>
      </c>
      <c r="DR19" s="64"/>
      <c r="DS19" s="64" t="str">
        <f t="shared" ca="1" si="212"/>
        <v/>
      </c>
      <c r="DT19" s="64" t="e">
        <f t="shared" ca="1" si="213"/>
        <v>#DIV/0!</v>
      </c>
      <c r="DU19" s="64">
        <f t="shared" ca="1" si="213"/>
        <v>0</v>
      </c>
      <c r="DV19" s="64">
        <f t="shared" ca="1" si="213"/>
        <v>0</v>
      </c>
      <c r="DW19" s="64">
        <f t="shared" ca="1" si="213"/>
        <v>0</v>
      </c>
      <c r="DX19" s="64" t="str">
        <f t="shared" ca="1" si="214"/>
        <v/>
      </c>
      <c r="DY19" s="64" t="str">
        <f t="shared" ca="1" si="214"/>
        <v/>
      </c>
      <c r="DZ19" s="64" t="str">
        <f t="shared" ca="1" si="214"/>
        <v/>
      </c>
      <c r="EA19" s="64" t="str">
        <f t="shared" ca="1" si="214"/>
        <v/>
      </c>
      <c r="EB19" s="64" t="str">
        <f t="shared" ca="1" si="214"/>
        <v/>
      </c>
      <c r="EC19" s="64" t="str">
        <f t="shared" ca="1" si="214"/>
        <v/>
      </c>
      <c r="ED19" s="64" t="str">
        <f t="shared" ca="1" si="214"/>
        <v/>
      </c>
      <c r="EE19" s="64" t="str">
        <f t="shared" ca="1" si="214"/>
        <v/>
      </c>
      <c r="EF19" s="64" t="str">
        <f t="shared" ca="1" si="214"/>
        <v/>
      </c>
      <c r="EG19" s="64" t="str">
        <f t="shared" ca="1" si="214"/>
        <v/>
      </c>
      <c r="EH19" s="64"/>
      <c r="EI19" s="64"/>
      <c r="EJ19" s="64"/>
      <c r="EK19" s="64"/>
      <c r="EL19" s="79"/>
      <c r="EM19" s="79"/>
      <c r="EN19" s="79"/>
      <c r="EO19" s="79"/>
      <c r="EP19" s="79"/>
      <c r="EQ19" s="79"/>
      <c r="ER19" s="79"/>
      <c r="ES19" s="79"/>
      <c r="ET19" s="79"/>
      <c r="EU19" s="79"/>
      <c r="EV19" s="79"/>
      <c r="EW19" s="79"/>
      <c r="EX19" s="79">
        <v>5</v>
      </c>
      <c r="EY19" s="283" t="str">
        <f t="shared" ca="1" si="252"/>
        <v>Error Dato</v>
      </c>
      <c r="EZ19" s="283" t="str">
        <f t="shared" ca="1" si="253"/>
        <v/>
      </c>
      <c r="FA19" s="79" t="str">
        <f t="shared" ca="1" si="254"/>
        <v/>
      </c>
      <c r="FB19" s="79">
        <f t="shared" ca="1" si="255"/>
        <v>0</v>
      </c>
      <c r="FC19" s="79" t="e">
        <f t="shared" ca="1" si="256"/>
        <v>#VALUE!</v>
      </c>
      <c r="FD19" s="79" t="str">
        <f t="shared" ca="1" si="257"/>
        <v>00</v>
      </c>
      <c r="FE19" s="79" t="str">
        <f ca="1">+IF($FD19=Gráficos!$A$302,Consolidado!BU19,"")</f>
        <v/>
      </c>
      <c r="FF19" s="79" t="str">
        <f ca="1">+IF($FD19=Gráficos!$A$302,Consolidado!BV19,"")</f>
        <v/>
      </c>
      <c r="FG19" s="79" t="str">
        <f ca="1">+IF($FD19=Gráficos!$A$302,Consolidado!BW19,"")</f>
        <v/>
      </c>
      <c r="FH19" s="79" t="str">
        <f t="shared" ca="1" si="258"/>
        <v>0000</v>
      </c>
      <c r="FI19" s="79" t="str">
        <f ca="1">+IF($FH19=Gráficos!$A$335,Consolidado!CG19,"")</f>
        <v/>
      </c>
      <c r="FJ19" s="79" t="str">
        <f ca="1">+IF($FH19=Gráficos!$A$335,Consolidado!CH19,"")</f>
        <v/>
      </c>
      <c r="FK19" s="79" t="str">
        <f ca="1">+IF($FH19=Gráficos!$A$335,Consolidado!CI19,"")</f>
        <v/>
      </c>
      <c r="FL19" s="79" t="str">
        <f t="shared" ca="1" si="259"/>
        <v/>
      </c>
      <c r="FM19" s="79">
        <f ca="1">+IF($FL19=Gráficos!$A$366,Consolidado!CW19,"")</f>
        <v>0</v>
      </c>
      <c r="FN19" s="79">
        <f ca="1">+IF($FL19=Gráficos!$A$366,Consolidado!CX19,"")</f>
        <v>0</v>
      </c>
      <c r="FO19" s="79">
        <f ca="1">+IF($FL19=Gráficos!$A$366,Consolidado!CY19,"")</f>
        <v>0</v>
      </c>
      <c r="FP19" s="79" t="e">
        <f ca="1">+IF($FL19=Gráficos!$A$366,Consolidado!CZ19,"")</f>
        <v>#DIV/0!</v>
      </c>
      <c r="FQ19" s="79" t="str">
        <f t="shared" ca="1" si="260"/>
        <v>000</v>
      </c>
      <c r="FR19" s="283">
        <f t="shared" ca="1" si="261"/>
        <v>0</v>
      </c>
      <c r="FS19" s="283">
        <f t="shared" si="262"/>
        <v>0</v>
      </c>
      <c r="FT19" s="283" t="str">
        <f t="shared" ca="1" si="263"/>
        <v/>
      </c>
      <c r="FU19" s="283" t="e">
        <f t="shared" ca="1" si="264"/>
        <v>#DIV/0!</v>
      </c>
    </row>
    <row r="20" spans="1:177" x14ac:dyDescent="0.35">
      <c r="A20" s="79">
        <v>10</v>
      </c>
      <c r="B20" s="79"/>
      <c r="C20" s="287" t="str">
        <f t="shared" si="250"/>
        <v>'10'!</v>
      </c>
      <c r="D20" s="288" t="str">
        <f t="shared" ca="1" si="195"/>
        <v>2016-2017</v>
      </c>
      <c r="E20" s="64" t="str">
        <f t="shared" ca="1" si="217"/>
        <v/>
      </c>
      <c r="F20" s="64" t="str">
        <f t="shared" ca="1" si="217"/>
        <v/>
      </c>
      <c r="G20" s="64" t="str">
        <f t="shared" ca="1" si="217"/>
        <v/>
      </c>
      <c r="H20" s="64" t="str">
        <f t="shared" ca="1" si="217"/>
        <v/>
      </c>
      <c r="I20" s="64" t="str">
        <f t="shared" ca="1" si="217"/>
        <v/>
      </c>
      <c r="J20" s="64" t="str">
        <f t="shared" ca="1" si="217"/>
        <v/>
      </c>
      <c r="K20" s="64" t="str">
        <f t="shared" ca="1" si="217"/>
        <v/>
      </c>
      <c r="L20" s="64" t="str">
        <f t="shared" ca="1" si="217"/>
        <v/>
      </c>
      <c r="M20" s="64" t="str">
        <f t="shared" ca="1" si="217"/>
        <v/>
      </c>
      <c r="N20" s="64" t="str">
        <f t="shared" ca="1" si="217"/>
        <v/>
      </c>
      <c r="O20" s="64" t="str">
        <f t="shared" ca="1" si="217"/>
        <v/>
      </c>
      <c r="P20" s="64" t="str">
        <f t="shared" ca="1" si="217"/>
        <v/>
      </c>
      <c r="Q20" s="64" t="str">
        <f t="shared" ca="1" si="217"/>
        <v/>
      </c>
      <c r="R20" s="64" t="str">
        <f t="shared" ca="1" si="217"/>
        <v/>
      </c>
      <c r="S20" s="64" t="str">
        <f t="shared" ca="1" si="217"/>
        <v/>
      </c>
      <c r="T20" s="64" t="str">
        <f t="shared" ca="1" si="217"/>
        <v/>
      </c>
      <c r="U20" s="64" t="str">
        <f t="shared" ref="U20:AJ25" ca="1" si="267">IF(VLOOKUP(U$7,(INDIRECT($C20&amp;$C$8)),U$4,FALSE)&gt;0,VLOOKUP(U$7,(INDIRECT($C20&amp;$C$8)),U$4,FALSE),"")</f>
        <v/>
      </c>
      <c r="V20" s="64" t="str">
        <f t="shared" ca="1" si="267"/>
        <v/>
      </c>
      <c r="W20" s="64" t="str">
        <f t="shared" ca="1" si="267"/>
        <v/>
      </c>
      <c r="X20" s="64" t="str">
        <f t="shared" ca="1" si="267"/>
        <v/>
      </c>
      <c r="Y20" s="64" t="str">
        <f t="shared" ca="1" si="267"/>
        <v/>
      </c>
      <c r="Z20" s="64" t="str">
        <f t="shared" ca="1" si="267"/>
        <v/>
      </c>
      <c r="AA20" s="64" t="str">
        <f t="shared" ca="1" si="267"/>
        <v/>
      </c>
      <c r="AB20" s="64" t="str">
        <f t="shared" ca="1" si="267"/>
        <v/>
      </c>
      <c r="AC20" s="64" t="str">
        <f t="shared" ca="1" si="267"/>
        <v/>
      </c>
      <c r="AD20" s="64" t="str">
        <f t="shared" ca="1" si="267"/>
        <v/>
      </c>
      <c r="AE20" s="64" t="str">
        <f t="shared" ca="1" si="267"/>
        <v/>
      </c>
      <c r="AF20" s="64" t="str">
        <f t="shared" ca="1" si="267"/>
        <v/>
      </c>
      <c r="AG20" s="64" t="str">
        <f t="shared" ca="1" si="267"/>
        <v/>
      </c>
      <c r="AH20" s="64" t="str">
        <f t="shared" ca="1" si="267"/>
        <v/>
      </c>
      <c r="AI20" s="64" t="str">
        <f t="shared" ca="1" si="267"/>
        <v/>
      </c>
      <c r="AJ20" s="64" t="str">
        <f t="shared" ca="1" si="267"/>
        <v/>
      </c>
      <c r="AK20" s="64" t="str">
        <f t="shared" ref="AK20:AZ25" ca="1" si="268">IF(VLOOKUP(AK$7,(INDIRECT($C20&amp;$C$8)),AK$4,FALSE)&gt;0,VLOOKUP(AK$7,(INDIRECT($C20&amp;$C$8)),AK$4,FALSE),"")</f>
        <v/>
      </c>
      <c r="AL20" s="64" t="str">
        <f t="shared" ca="1" si="268"/>
        <v/>
      </c>
      <c r="AM20" s="64" t="str">
        <f t="shared" ca="1" si="268"/>
        <v/>
      </c>
      <c r="AN20" s="64" t="str">
        <f t="shared" ca="1" si="268"/>
        <v/>
      </c>
      <c r="AO20" s="64" t="str">
        <f t="shared" ca="1" si="268"/>
        <v/>
      </c>
      <c r="AP20" s="64" t="str">
        <f t="shared" ca="1" si="268"/>
        <v/>
      </c>
      <c r="AQ20" s="64" t="str">
        <f t="shared" ca="1" si="268"/>
        <v/>
      </c>
      <c r="AR20" s="64" t="str">
        <f t="shared" ca="1" si="268"/>
        <v/>
      </c>
      <c r="AS20" s="64" t="str">
        <f t="shared" ca="1" si="268"/>
        <v/>
      </c>
      <c r="AT20" s="64" t="str">
        <f t="shared" ca="1" si="268"/>
        <v/>
      </c>
      <c r="AU20" s="64" t="str">
        <f t="shared" ca="1" si="268"/>
        <v/>
      </c>
      <c r="AV20" s="64" t="str">
        <f t="shared" ca="1" si="268"/>
        <v/>
      </c>
      <c r="AW20" s="64" t="str">
        <f t="shared" ca="1" si="268"/>
        <v/>
      </c>
      <c r="AX20" s="64" t="str">
        <f t="shared" ca="1" si="268"/>
        <v/>
      </c>
      <c r="AY20" s="64" t="str">
        <f t="shared" ca="1" si="268"/>
        <v/>
      </c>
      <c r="AZ20" s="64" t="str">
        <f t="shared" ca="1" si="268"/>
        <v/>
      </c>
      <c r="BA20" s="64" t="str">
        <f t="shared" ca="1" si="265"/>
        <v/>
      </c>
      <c r="BB20" s="64" t="str">
        <f t="shared" ca="1" si="265"/>
        <v/>
      </c>
      <c r="BC20" s="64" t="str">
        <f t="shared" ca="1" si="265"/>
        <v/>
      </c>
      <c r="BD20" s="64" t="str">
        <f t="shared" ca="1" si="265"/>
        <v/>
      </c>
      <c r="BE20" s="64" t="str">
        <f t="shared" ca="1" si="265"/>
        <v/>
      </c>
      <c r="BF20" s="64" t="str">
        <f t="shared" ca="1" si="265"/>
        <v/>
      </c>
      <c r="BG20" s="64" t="str">
        <f t="shared" ca="1" si="265"/>
        <v/>
      </c>
      <c r="BH20" s="64" t="str">
        <f t="shared" ca="1" si="265"/>
        <v/>
      </c>
      <c r="BI20" s="64" t="str">
        <f t="shared" ca="1" si="265"/>
        <v/>
      </c>
      <c r="BJ20" s="64" t="str">
        <f t="shared" ca="1" si="265"/>
        <v/>
      </c>
      <c r="BK20" s="64" t="str">
        <f t="shared" ca="1" si="266"/>
        <v/>
      </c>
      <c r="BL20" s="64" t="str">
        <f t="shared" ca="1" si="266"/>
        <v/>
      </c>
      <c r="BM20" s="64" t="str">
        <f t="shared" ca="1" si="266"/>
        <v/>
      </c>
      <c r="BN20" s="64" t="str">
        <f t="shared" ca="1" si="266"/>
        <v/>
      </c>
      <c r="BO20" s="64" t="str">
        <f t="shared" ca="1" si="266"/>
        <v/>
      </c>
      <c r="BP20" s="64" t="str">
        <f t="shared" ca="1" si="266"/>
        <v/>
      </c>
      <c r="BQ20" s="64" t="str">
        <f t="shared" ca="1" si="199"/>
        <v/>
      </c>
      <c r="BR20" s="64" t="str">
        <f t="shared" ca="1" si="199"/>
        <v/>
      </c>
      <c r="BS20" s="64" t="e">
        <f t="shared" ca="1" si="251"/>
        <v>#DIV/0!</v>
      </c>
      <c r="BT20" s="64" t="str">
        <f t="shared" ca="1" si="199"/>
        <v/>
      </c>
      <c r="BU20" s="64" t="e">
        <f t="shared" ca="1" si="201"/>
        <v>#DIV/0!</v>
      </c>
      <c r="BV20" s="64" t="e">
        <f t="shared" ca="1" si="201"/>
        <v>#DIV/0!</v>
      </c>
      <c r="BW20" s="64" t="e">
        <f t="shared" ca="1" si="201"/>
        <v>#DIV/0!</v>
      </c>
      <c r="BX20" s="64" t="str">
        <f t="shared" ca="1" si="199"/>
        <v/>
      </c>
      <c r="BY20" s="64" t="str">
        <f t="shared" ca="1" si="199"/>
        <v/>
      </c>
      <c r="BZ20" s="64" t="str">
        <f t="shared" ca="1" si="199"/>
        <v/>
      </c>
      <c r="CA20" s="64">
        <f t="shared" ca="1" si="202"/>
        <v>0</v>
      </c>
      <c r="CB20" s="64">
        <f t="shared" ca="1" si="202"/>
        <v>0</v>
      </c>
      <c r="CC20" s="64">
        <f t="shared" ca="1" si="202"/>
        <v>0</v>
      </c>
      <c r="CD20" s="64" t="str">
        <f t="shared" ca="1" si="199"/>
        <v/>
      </c>
      <c r="CE20" s="64" t="str">
        <f t="shared" ca="1" si="199"/>
        <v/>
      </c>
      <c r="CF20" s="64">
        <f t="shared" ca="1" si="203"/>
        <v>0</v>
      </c>
      <c r="CG20" s="64" t="e">
        <f t="shared" ca="1" si="203"/>
        <v>#DIV/0!</v>
      </c>
      <c r="CH20" s="64" t="e">
        <f t="shared" ca="1" si="203"/>
        <v>#DIV/0!</v>
      </c>
      <c r="CI20" s="64" t="e">
        <f t="shared" ca="1" si="199"/>
        <v>#DIV/0!</v>
      </c>
      <c r="CJ20" s="64">
        <f t="shared" ca="1" si="220"/>
        <v>0</v>
      </c>
      <c r="CK20" s="64">
        <f t="shared" ca="1" si="204"/>
        <v>0</v>
      </c>
      <c r="CL20" s="64">
        <f t="shared" ca="1" si="204"/>
        <v>0</v>
      </c>
      <c r="CM20" s="64">
        <f t="shared" ca="1" si="204"/>
        <v>0</v>
      </c>
      <c r="CN20" s="64" t="str">
        <f t="shared" ca="1" si="199"/>
        <v/>
      </c>
      <c r="CO20" s="64" t="str">
        <f t="shared" ca="1" si="199"/>
        <v/>
      </c>
      <c r="CP20" s="64" t="str">
        <f t="shared" ca="1" si="199"/>
        <v/>
      </c>
      <c r="CQ20" s="64">
        <f t="shared" ca="1" si="205"/>
        <v>0</v>
      </c>
      <c r="CR20" s="64">
        <f t="shared" ca="1" si="205"/>
        <v>0</v>
      </c>
      <c r="CS20" s="64"/>
      <c r="CT20" s="64"/>
      <c r="CU20" s="64" t="str">
        <f t="shared" ca="1" si="199"/>
        <v/>
      </c>
      <c r="CV20" s="64">
        <f t="shared" ca="1" si="206"/>
        <v>0</v>
      </c>
      <c r="CW20" s="64">
        <f t="shared" ca="1" si="206"/>
        <v>0</v>
      </c>
      <c r="CX20" s="64"/>
      <c r="CY20" s="64">
        <f t="shared" ca="1" si="206"/>
        <v>0</v>
      </c>
      <c r="CZ20" s="64" t="e">
        <f t="shared" ca="1" si="207"/>
        <v>#DIV/0!</v>
      </c>
      <c r="DA20" s="64" t="str">
        <f t="shared" ca="1" si="207"/>
        <v/>
      </c>
      <c r="DB20" s="64" t="str">
        <f t="shared" ca="1" si="207"/>
        <v/>
      </c>
      <c r="DC20" s="64" t="str">
        <f t="shared" ca="1" si="207"/>
        <v/>
      </c>
      <c r="DD20" s="64" t="str">
        <f t="shared" ca="1" si="207"/>
        <v/>
      </c>
      <c r="DE20" s="64" t="str">
        <f t="shared" ca="1" si="207"/>
        <v/>
      </c>
      <c r="DF20" s="64" t="str">
        <f t="shared" ca="1" si="207"/>
        <v/>
      </c>
      <c r="DG20" s="64" t="str">
        <f t="shared" ca="1" si="207"/>
        <v/>
      </c>
      <c r="DH20" s="64" t="str">
        <f t="shared" ca="1" si="207"/>
        <v/>
      </c>
      <c r="DI20" s="64" t="str">
        <f t="shared" ca="1" si="207"/>
        <v/>
      </c>
      <c r="DJ20" s="64" t="str">
        <f t="shared" ca="1" si="208"/>
        <v/>
      </c>
      <c r="DK20" s="64" t="str">
        <f t="shared" ca="1" si="209"/>
        <v/>
      </c>
      <c r="DL20" s="64" t="str">
        <f t="shared" ca="1" si="210"/>
        <v/>
      </c>
      <c r="DM20" s="64"/>
      <c r="DN20" s="64"/>
      <c r="DO20" s="64">
        <f t="shared" ca="1" si="211"/>
        <v>0</v>
      </c>
      <c r="DP20" s="64">
        <f t="shared" ca="1" si="211"/>
        <v>0</v>
      </c>
      <c r="DQ20" s="64">
        <f t="shared" ca="1" si="211"/>
        <v>0</v>
      </c>
      <c r="DR20" s="64"/>
      <c r="DS20" s="64" t="str">
        <f t="shared" ca="1" si="212"/>
        <v/>
      </c>
      <c r="DT20" s="64" t="e">
        <f t="shared" ca="1" si="213"/>
        <v>#DIV/0!</v>
      </c>
      <c r="DU20" s="64">
        <f t="shared" ca="1" si="213"/>
        <v>0</v>
      </c>
      <c r="DV20" s="64">
        <f t="shared" ca="1" si="213"/>
        <v>0</v>
      </c>
      <c r="DW20" s="64">
        <f t="shared" ca="1" si="213"/>
        <v>0</v>
      </c>
      <c r="DX20" s="64" t="str">
        <f t="shared" ca="1" si="214"/>
        <v/>
      </c>
      <c r="DY20" s="64" t="str">
        <f t="shared" ca="1" si="214"/>
        <v/>
      </c>
      <c r="DZ20" s="64" t="str">
        <f t="shared" ca="1" si="214"/>
        <v/>
      </c>
      <c r="EA20" s="64" t="str">
        <f t="shared" ca="1" si="214"/>
        <v/>
      </c>
      <c r="EB20" s="64" t="str">
        <f t="shared" ca="1" si="214"/>
        <v/>
      </c>
      <c r="EC20" s="64" t="str">
        <f t="shared" ca="1" si="214"/>
        <v/>
      </c>
      <c r="ED20" s="64" t="str">
        <f t="shared" ca="1" si="214"/>
        <v/>
      </c>
      <c r="EE20" s="64" t="str">
        <f t="shared" ca="1" si="214"/>
        <v/>
      </c>
      <c r="EF20" s="64" t="str">
        <f t="shared" ca="1" si="214"/>
        <v/>
      </c>
      <c r="EG20" s="64" t="str">
        <f t="shared" ca="1" si="214"/>
        <v/>
      </c>
      <c r="EH20" s="64"/>
      <c r="EI20" s="64"/>
      <c r="EJ20" s="64"/>
      <c r="EK20" s="64"/>
      <c r="EL20" s="79"/>
      <c r="EM20" s="79"/>
      <c r="EN20" s="79"/>
      <c r="EO20" s="79"/>
      <c r="EP20" s="79"/>
      <c r="EQ20" s="79"/>
      <c r="ER20" s="79"/>
      <c r="ES20" s="79"/>
      <c r="ET20" s="79"/>
      <c r="EU20" s="79"/>
      <c r="EV20" s="79"/>
      <c r="EW20" s="79"/>
      <c r="EX20" s="79">
        <v>5</v>
      </c>
      <c r="EY20" s="283" t="str">
        <f t="shared" ca="1" si="252"/>
        <v>Error Dato</v>
      </c>
      <c r="EZ20" s="283" t="str">
        <f t="shared" ca="1" si="253"/>
        <v/>
      </c>
      <c r="FA20" s="79" t="str">
        <f t="shared" ca="1" si="254"/>
        <v/>
      </c>
      <c r="FB20" s="79">
        <f t="shared" ca="1" si="255"/>
        <v>0</v>
      </c>
      <c r="FC20" s="79" t="e">
        <f t="shared" ca="1" si="256"/>
        <v>#VALUE!</v>
      </c>
      <c r="FD20" s="79" t="str">
        <f t="shared" ca="1" si="257"/>
        <v>00</v>
      </c>
      <c r="FE20" s="79" t="str">
        <f ca="1">+IF($FD20=Gráficos!$A$302,Consolidado!BU20,"")</f>
        <v/>
      </c>
      <c r="FF20" s="79" t="str">
        <f ca="1">+IF($FD20=Gráficos!$A$302,Consolidado!BV20,"")</f>
        <v/>
      </c>
      <c r="FG20" s="79" t="str">
        <f ca="1">+IF($FD20=Gráficos!$A$302,Consolidado!BW20,"")</f>
        <v/>
      </c>
      <c r="FH20" s="79" t="str">
        <f t="shared" ca="1" si="258"/>
        <v>0000</v>
      </c>
      <c r="FI20" s="79" t="str">
        <f ca="1">+IF($FH20=Gráficos!$A$335,Consolidado!CG20,"")</f>
        <v/>
      </c>
      <c r="FJ20" s="79" t="str">
        <f ca="1">+IF($FH20=Gráficos!$A$335,Consolidado!CH20,"")</f>
        <v/>
      </c>
      <c r="FK20" s="79" t="str">
        <f ca="1">+IF($FH20=Gráficos!$A$335,Consolidado!CI20,"")</f>
        <v/>
      </c>
      <c r="FL20" s="79" t="str">
        <f t="shared" ca="1" si="259"/>
        <v/>
      </c>
      <c r="FM20" s="79">
        <f ca="1">+IF($FL20=Gráficos!$A$366,Consolidado!CW20,"")</f>
        <v>0</v>
      </c>
      <c r="FN20" s="79">
        <f ca="1">+IF($FL20=Gráficos!$A$366,Consolidado!CX20,"")</f>
        <v>0</v>
      </c>
      <c r="FO20" s="79">
        <f ca="1">+IF($FL20=Gráficos!$A$366,Consolidado!CY20,"")</f>
        <v>0</v>
      </c>
      <c r="FP20" s="79" t="e">
        <f ca="1">+IF($FL20=Gráficos!$A$366,Consolidado!CZ20,"")</f>
        <v>#DIV/0!</v>
      </c>
      <c r="FQ20" s="79" t="str">
        <f t="shared" ca="1" si="260"/>
        <v>000</v>
      </c>
      <c r="FR20" s="283">
        <f t="shared" ca="1" si="261"/>
        <v>0</v>
      </c>
      <c r="FS20" s="283">
        <f t="shared" si="262"/>
        <v>0</v>
      </c>
      <c r="FT20" s="283" t="str">
        <f t="shared" ca="1" si="263"/>
        <v/>
      </c>
      <c r="FU20" s="283" t="e">
        <f t="shared" ca="1" si="264"/>
        <v>#DIV/0!</v>
      </c>
    </row>
    <row r="21" spans="1:177" x14ac:dyDescent="0.35">
      <c r="A21" s="79">
        <v>11</v>
      </c>
      <c r="B21" s="79"/>
      <c r="C21" s="287" t="str">
        <f t="shared" si="250"/>
        <v>'11'!</v>
      </c>
      <c r="D21" s="288" t="str">
        <f t="shared" ca="1" si="195"/>
        <v>2016-2017</v>
      </c>
      <c r="E21" s="64" t="str">
        <f t="shared" ca="1" si="217"/>
        <v/>
      </c>
      <c r="F21" s="64" t="str">
        <f t="shared" ca="1" si="217"/>
        <v/>
      </c>
      <c r="G21" s="64" t="str">
        <f t="shared" ca="1" si="217"/>
        <v/>
      </c>
      <c r="H21" s="64" t="str">
        <f t="shared" ca="1" si="217"/>
        <v/>
      </c>
      <c r="I21" s="64" t="str">
        <f t="shared" ca="1" si="217"/>
        <v/>
      </c>
      <c r="J21" s="64" t="str">
        <f t="shared" ca="1" si="217"/>
        <v/>
      </c>
      <c r="K21" s="64" t="str">
        <f t="shared" ca="1" si="217"/>
        <v/>
      </c>
      <c r="L21" s="64" t="str">
        <f t="shared" ca="1" si="217"/>
        <v/>
      </c>
      <c r="M21" s="64" t="str">
        <f t="shared" ca="1" si="217"/>
        <v/>
      </c>
      <c r="N21" s="64" t="str">
        <f t="shared" ca="1" si="217"/>
        <v/>
      </c>
      <c r="O21" s="64" t="str">
        <f t="shared" ca="1" si="217"/>
        <v/>
      </c>
      <c r="P21" s="64" t="str">
        <f t="shared" ca="1" si="217"/>
        <v/>
      </c>
      <c r="Q21" s="64" t="str">
        <f t="shared" ca="1" si="217"/>
        <v/>
      </c>
      <c r="R21" s="64" t="str">
        <f t="shared" ca="1" si="217"/>
        <v/>
      </c>
      <c r="S21" s="64" t="str">
        <f t="shared" ca="1" si="217"/>
        <v/>
      </c>
      <c r="T21" s="64" t="str">
        <f t="shared" ca="1" si="217"/>
        <v/>
      </c>
      <c r="U21" s="64" t="str">
        <f t="shared" ca="1" si="267"/>
        <v/>
      </c>
      <c r="V21" s="64" t="str">
        <f t="shared" ca="1" si="267"/>
        <v/>
      </c>
      <c r="W21" s="64" t="str">
        <f t="shared" ca="1" si="267"/>
        <v/>
      </c>
      <c r="X21" s="64" t="str">
        <f t="shared" ca="1" si="267"/>
        <v/>
      </c>
      <c r="Y21" s="64" t="str">
        <f t="shared" ca="1" si="267"/>
        <v/>
      </c>
      <c r="Z21" s="64" t="str">
        <f t="shared" ca="1" si="267"/>
        <v/>
      </c>
      <c r="AA21" s="64" t="str">
        <f t="shared" ca="1" si="267"/>
        <v/>
      </c>
      <c r="AB21" s="64" t="str">
        <f t="shared" ca="1" si="267"/>
        <v/>
      </c>
      <c r="AC21" s="64" t="str">
        <f t="shared" ca="1" si="267"/>
        <v/>
      </c>
      <c r="AD21" s="64" t="str">
        <f t="shared" ca="1" si="267"/>
        <v/>
      </c>
      <c r="AE21" s="64" t="str">
        <f t="shared" ca="1" si="267"/>
        <v/>
      </c>
      <c r="AF21" s="64" t="str">
        <f t="shared" ca="1" si="267"/>
        <v/>
      </c>
      <c r="AG21" s="64" t="str">
        <f t="shared" ca="1" si="267"/>
        <v/>
      </c>
      <c r="AH21" s="64" t="str">
        <f t="shared" ca="1" si="267"/>
        <v/>
      </c>
      <c r="AI21" s="64" t="str">
        <f t="shared" ca="1" si="267"/>
        <v/>
      </c>
      <c r="AJ21" s="64" t="str">
        <f t="shared" ca="1" si="267"/>
        <v/>
      </c>
      <c r="AK21" s="64" t="str">
        <f t="shared" ca="1" si="268"/>
        <v/>
      </c>
      <c r="AL21" s="64" t="str">
        <f t="shared" ca="1" si="268"/>
        <v/>
      </c>
      <c r="AM21" s="64" t="str">
        <f t="shared" ca="1" si="268"/>
        <v/>
      </c>
      <c r="AN21" s="64" t="str">
        <f t="shared" ca="1" si="268"/>
        <v/>
      </c>
      <c r="AO21" s="64" t="str">
        <f t="shared" ca="1" si="268"/>
        <v/>
      </c>
      <c r="AP21" s="64" t="str">
        <f t="shared" ca="1" si="268"/>
        <v/>
      </c>
      <c r="AQ21" s="64" t="str">
        <f t="shared" ca="1" si="268"/>
        <v/>
      </c>
      <c r="AR21" s="64" t="str">
        <f t="shared" ca="1" si="268"/>
        <v/>
      </c>
      <c r="AS21" s="64" t="str">
        <f t="shared" ca="1" si="268"/>
        <v/>
      </c>
      <c r="AT21" s="64" t="str">
        <f t="shared" ca="1" si="268"/>
        <v/>
      </c>
      <c r="AU21" s="64" t="str">
        <f t="shared" ca="1" si="268"/>
        <v/>
      </c>
      <c r="AV21" s="64" t="str">
        <f t="shared" ca="1" si="268"/>
        <v/>
      </c>
      <c r="AW21" s="64" t="str">
        <f t="shared" ca="1" si="268"/>
        <v/>
      </c>
      <c r="AX21" s="64" t="str">
        <f t="shared" ca="1" si="268"/>
        <v/>
      </c>
      <c r="AY21" s="64" t="str">
        <f t="shared" ca="1" si="268"/>
        <v/>
      </c>
      <c r="AZ21" s="64" t="str">
        <f t="shared" ca="1" si="268"/>
        <v/>
      </c>
      <c r="BA21" s="64" t="str">
        <f t="shared" ca="1" si="265"/>
        <v/>
      </c>
      <c r="BB21" s="64" t="str">
        <f t="shared" ca="1" si="265"/>
        <v/>
      </c>
      <c r="BC21" s="64" t="str">
        <f t="shared" ca="1" si="265"/>
        <v/>
      </c>
      <c r="BD21" s="64" t="str">
        <f t="shared" ca="1" si="265"/>
        <v/>
      </c>
      <c r="BE21" s="64" t="str">
        <f t="shared" ca="1" si="265"/>
        <v/>
      </c>
      <c r="BF21" s="64" t="str">
        <f t="shared" ca="1" si="265"/>
        <v/>
      </c>
      <c r="BG21" s="64" t="str">
        <f t="shared" ca="1" si="265"/>
        <v/>
      </c>
      <c r="BH21" s="64" t="str">
        <f t="shared" ca="1" si="265"/>
        <v/>
      </c>
      <c r="BI21" s="64" t="str">
        <f t="shared" ca="1" si="265"/>
        <v/>
      </c>
      <c r="BJ21" s="64" t="str">
        <f t="shared" ca="1" si="265"/>
        <v/>
      </c>
      <c r="BK21" s="64" t="str">
        <f t="shared" ca="1" si="266"/>
        <v/>
      </c>
      <c r="BL21" s="64" t="str">
        <f t="shared" ca="1" si="266"/>
        <v/>
      </c>
      <c r="BM21" s="64" t="str">
        <f t="shared" ca="1" si="266"/>
        <v/>
      </c>
      <c r="BN21" s="64" t="str">
        <f t="shared" ca="1" si="266"/>
        <v/>
      </c>
      <c r="BO21" s="64" t="str">
        <f t="shared" ca="1" si="266"/>
        <v/>
      </c>
      <c r="BP21" s="64" t="str">
        <f t="shared" ca="1" si="266"/>
        <v/>
      </c>
      <c r="BQ21" s="64" t="str">
        <f t="shared" ca="1" si="199"/>
        <v/>
      </c>
      <c r="BR21" s="64" t="str">
        <f t="shared" ca="1" si="199"/>
        <v/>
      </c>
      <c r="BS21" s="64" t="e">
        <f t="shared" ca="1" si="251"/>
        <v>#DIV/0!</v>
      </c>
      <c r="BT21" s="64" t="str">
        <f t="shared" ca="1" si="199"/>
        <v/>
      </c>
      <c r="BU21" s="64" t="e">
        <f t="shared" ca="1" si="201"/>
        <v>#DIV/0!</v>
      </c>
      <c r="BV21" s="64" t="e">
        <f t="shared" ca="1" si="201"/>
        <v>#DIV/0!</v>
      </c>
      <c r="BW21" s="64" t="e">
        <f t="shared" ca="1" si="201"/>
        <v>#DIV/0!</v>
      </c>
      <c r="BX21" s="64" t="str">
        <f t="shared" ca="1" si="199"/>
        <v/>
      </c>
      <c r="BY21" s="64" t="str">
        <f t="shared" ca="1" si="199"/>
        <v/>
      </c>
      <c r="BZ21" s="64" t="str">
        <f t="shared" ca="1" si="199"/>
        <v/>
      </c>
      <c r="CA21" s="64">
        <f t="shared" ca="1" si="202"/>
        <v>0</v>
      </c>
      <c r="CB21" s="64">
        <f t="shared" ca="1" si="202"/>
        <v>0</v>
      </c>
      <c r="CC21" s="64">
        <f t="shared" ca="1" si="202"/>
        <v>0</v>
      </c>
      <c r="CD21" s="64" t="str">
        <f t="shared" ca="1" si="199"/>
        <v/>
      </c>
      <c r="CE21" s="64" t="str">
        <f t="shared" ca="1" si="199"/>
        <v/>
      </c>
      <c r="CF21" s="64">
        <f t="shared" ca="1" si="203"/>
        <v>0</v>
      </c>
      <c r="CG21" s="64" t="e">
        <f t="shared" ca="1" si="203"/>
        <v>#DIV/0!</v>
      </c>
      <c r="CH21" s="64" t="e">
        <f t="shared" ca="1" si="203"/>
        <v>#DIV/0!</v>
      </c>
      <c r="CI21" s="64" t="e">
        <f t="shared" ca="1" si="199"/>
        <v>#DIV/0!</v>
      </c>
      <c r="CJ21" s="64">
        <f t="shared" ca="1" si="220"/>
        <v>0</v>
      </c>
      <c r="CK21" s="64">
        <f t="shared" ca="1" si="204"/>
        <v>0</v>
      </c>
      <c r="CL21" s="64">
        <f t="shared" ca="1" si="204"/>
        <v>0</v>
      </c>
      <c r="CM21" s="64">
        <f t="shared" ca="1" si="204"/>
        <v>0</v>
      </c>
      <c r="CN21" s="64" t="str">
        <f t="shared" ca="1" si="199"/>
        <v/>
      </c>
      <c r="CO21" s="64" t="str">
        <f t="shared" ca="1" si="199"/>
        <v/>
      </c>
      <c r="CP21" s="64" t="str">
        <f t="shared" ca="1" si="199"/>
        <v/>
      </c>
      <c r="CQ21" s="64">
        <f t="shared" ca="1" si="205"/>
        <v>0</v>
      </c>
      <c r="CR21" s="64">
        <f t="shared" ca="1" si="205"/>
        <v>0</v>
      </c>
      <c r="CS21" s="64"/>
      <c r="CT21" s="64"/>
      <c r="CU21" s="64" t="str">
        <f t="shared" ca="1" si="199"/>
        <v/>
      </c>
      <c r="CV21" s="64">
        <f t="shared" ca="1" si="206"/>
        <v>0</v>
      </c>
      <c r="CW21" s="64">
        <f t="shared" ca="1" si="206"/>
        <v>0</v>
      </c>
      <c r="CX21" s="64"/>
      <c r="CY21" s="64">
        <f t="shared" ca="1" si="206"/>
        <v>0</v>
      </c>
      <c r="CZ21" s="64" t="e">
        <f t="shared" ca="1" si="207"/>
        <v>#DIV/0!</v>
      </c>
      <c r="DA21" s="64" t="str">
        <f t="shared" ca="1" si="207"/>
        <v/>
      </c>
      <c r="DB21" s="64" t="str">
        <f t="shared" ca="1" si="207"/>
        <v/>
      </c>
      <c r="DC21" s="64" t="str">
        <f t="shared" ca="1" si="207"/>
        <v/>
      </c>
      <c r="DD21" s="64" t="str">
        <f t="shared" ca="1" si="207"/>
        <v/>
      </c>
      <c r="DE21" s="64" t="str">
        <f t="shared" ca="1" si="207"/>
        <v/>
      </c>
      <c r="DF21" s="64" t="str">
        <f t="shared" ca="1" si="207"/>
        <v/>
      </c>
      <c r="DG21" s="64" t="str">
        <f t="shared" ca="1" si="207"/>
        <v/>
      </c>
      <c r="DH21" s="64" t="str">
        <f t="shared" ca="1" si="207"/>
        <v/>
      </c>
      <c r="DI21" s="64" t="str">
        <f t="shared" ca="1" si="207"/>
        <v/>
      </c>
      <c r="DJ21" s="64" t="str">
        <f t="shared" ca="1" si="208"/>
        <v/>
      </c>
      <c r="DK21" s="64" t="str">
        <f t="shared" ca="1" si="209"/>
        <v/>
      </c>
      <c r="DL21" s="64" t="str">
        <f t="shared" ca="1" si="210"/>
        <v/>
      </c>
      <c r="DM21" s="64"/>
      <c r="DN21" s="64"/>
      <c r="DO21" s="64">
        <f t="shared" ca="1" si="211"/>
        <v>0</v>
      </c>
      <c r="DP21" s="64">
        <f t="shared" ca="1" si="211"/>
        <v>0</v>
      </c>
      <c r="DQ21" s="64">
        <f t="shared" ca="1" si="211"/>
        <v>0</v>
      </c>
      <c r="DR21" s="64"/>
      <c r="DS21" s="64" t="str">
        <f t="shared" ca="1" si="212"/>
        <v/>
      </c>
      <c r="DT21" s="64" t="e">
        <f t="shared" ca="1" si="213"/>
        <v>#DIV/0!</v>
      </c>
      <c r="DU21" s="64">
        <f t="shared" ca="1" si="213"/>
        <v>0</v>
      </c>
      <c r="DV21" s="64">
        <f t="shared" ca="1" si="213"/>
        <v>0</v>
      </c>
      <c r="DW21" s="64">
        <f t="shared" ca="1" si="213"/>
        <v>0</v>
      </c>
      <c r="DX21" s="64" t="str">
        <f t="shared" ca="1" si="214"/>
        <v/>
      </c>
      <c r="DY21" s="64" t="str">
        <f t="shared" ca="1" si="214"/>
        <v/>
      </c>
      <c r="DZ21" s="64" t="str">
        <f t="shared" ca="1" si="214"/>
        <v/>
      </c>
      <c r="EA21" s="64" t="str">
        <f t="shared" ca="1" si="214"/>
        <v/>
      </c>
      <c r="EB21" s="64" t="str">
        <f t="shared" ca="1" si="214"/>
        <v/>
      </c>
      <c r="EC21" s="64" t="str">
        <f t="shared" ca="1" si="214"/>
        <v/>
      </c>
      <c r="ED21" s="64" t="str">
        <f t="shared" ca="1" si="214"/>
        <v/>
      </c>
      <c r="EE21" s="64" t="str">
        <f t="shared" ca="1" si="214"/>
        <v/>
      </c>
      <c r="EF21" s="64" t="str">
        <f t="shared" ca="1" si="214"/>
        <v/>
      </c>
      <c r="EG21" s="64" t="str">
        <f t="shared" ca="1" si="214"/>
        <v/>
      </c>
      <c r="EH21" s="64"/>
      <c r="EI21" s="64"/>
      <c r="EJ21" s="64"/>
      <c r="EK21" s="64"/>
      <c r="EL21" s="79"/>
      <c r="EM21" s="79"/>
      <c r="EN21" s="79"/>
      <c r="EO21" s="79"/>
      <c r="EP21" s="79"/>
      <c r="EQ21" s="79"/>
      <c r="ER21" s="79"/>
      <c r="ES21" s="79"/>
      <c r="ET21" s="79"/>
      <c r="EU21" s="79"/>
      <c r="EV21" s="79"/>
      <c r="EW21" s="79"/>
      <c r="EX21" s="79">
        <v>5</v>
      </c>
      <c r="EY21" s="283" t="str">
        <f t="shared" ca="1" si="252"/>
        <v>Error Dato</v>
      </c>
      <c r="EZ21" s="283" t="str">
        <f t="shared" ca="1" si="253"/>
        <v/>
      </c>
      <c r="FA21" s="79" t="str">
        <f t="shared" ca="1" si="254"/>
        <v/>
      </c>
      <c r="FB21" s="79">
        <f t="shared" ca="1" si="255"/>
        <v>0</v>
      </c>
      <c r="FC21" s="79" t="e">
        <f t="shared" ca="1" si="256"/>
        <v>#VALUE!</v>
      </c>
      <c r="FD21" s="79" t="str">
        <f t="shared" ca="1" si="257"/>
        <v>00</v>
      </c>
      <c r="FE21" s="79" t="str">
        <f ca="1">+IF($FD21=Gráficos!$A$302,Consolidado!BU21,"")</f>
        <v/>
      </c>
      <c r="FF21" s="79" t="str">
        <f ca="1">+IF($FD21=Gráficos!$A$302,Consolidado!BV21,"")</f>
        <v/>
      </c>
      <c r="FG21" s="79" t="str">
        <f ca="1">+IF($FD21=Gráficos!$A$302,Consolidado!BW21,"")</f>
        <v/>
      </c>
      <c r="FH21" s="79" t="str">
        <f t="shared" ca="1" si="258"/>
        <v>0000</v>
      </c>
      <c r="FI21" s="79" t="str">
        <f ca="1">+IF($FH21=Gráficos!$A$335,Consolidado!CG21,"")</f>
        <v/>
      </c>
      <c r="FJ21" s="79" t="str">
        <f ca="1">+IF($FH21=Gráficos!$A$335,Consolidado!CH21,"")</f>
        <v/>
      </c>
      <c r="FK21" s="79" t="str">
        <f ca="1">+IF($FH21=Gráficos!$A$335,Consolidado!CI21,"")</f>
        <v/>
      </c>
      <c r="FL21" s="79" t="str">
        <f t="shared" ca="1" si="259"/>
        <v/>
      </c>
      <c r="FM21" s="79">
        <f ca="1">+IF($FL21=Gráficos!$A$366,Consolidado!CW21,"")</f>
        <v>0</v>
      </c>
      <c r="FN21" s="79">
        <f ca="1">+IF($FL21=Gráficos!$A$366,Consolidado!CX21,"")</f>
        <v>0</v>
      </c>
      <c r="FO21" s="79">
        <f ca="1">+IF($FL21=Gráficos!$A$366,Consolidado!CY21,"")</f>
        <v>0</v>
      </c>
      <c r="FP21" s="79" t="e">
        <f ca="1">+IF($FL21=Gráficos!$A$366,Consolidado!CZ21,"")</f>
        <v>#DIV/0!</v>
      </c>
      <c r="FQ21" s="79" t="str">
        <f t="shared" ca="1" si="260"/>
        <v>000</v>
      </c>
      <c r="FR21" s="283">
        <f t="shared" ca="1" si="261"/>
        <v>0</v>
      </c>
      <c r="FS21" s="283">
        <f t="shared" si="262"/>
        <v>0</v>
      </c>
      <c r="FT21" s="283" t="str">
        <f t="shared" ca="1" si="263"/>
        <v/>
      </c>
      <c r="FU21" s="283" t="e">
        <f t="shared" ca="1" si="264"/>
        <v>#DIV/0!</v>
      </c>
    </row>
    <row r="22" spans="1:177" x14ac:dyDescent="0.35">
      <c r="A22" s="79">
        <v>12</v>
      </c>
      <c r="B22" s="79"/>
      <c r="C22" s="287" t="str">
        <f t="shared" si="250"/>
        <v>'12'!</v>
      </c>
      <c r="D22" s="288" t="str">
        <f t="shared" ca="1" si="195"/>
        <v>2016-2017</v>
      </c>
      <c r="E22" s="64" t="str">
        <f t="shared" ca="1" si="217"/>
        <v/>
      </c>
      <c r="F22" s="64" t="str">
        <f t="shared" ca="1" si="217"/>
        <v/>
      </c>
      <c r="G22" s="64" t="str">
        <f t="shared" ca="1" si="217"/>
        <v/>
      </c>
      <c r="H22" s="64" t="str">
        <f t="shared" ca="1" si="217"/>
        <v/>
      </c>
      <c r="I22" s="64" t="str">
        <f t="shared" ca="1" si="217"/>
        <v/>
      </c>
      <c r="J22" s="64" t="str">
        <f t="shared" ca="1" si="217"/>
        <v/>
      </c>
      <c r="K22" s="64" t="str">
        <f t="shared" ca="1" si="217"/>
        <v/>
      </c>
      <c r="L22" s="64" t="str">
        <f t="shared" ca="1" si="217"/>
        <v/>
      </c>
      <c r="M22" s="64" t="str">
        <f t="shared" ca="1" si="217"/>
        <v/>
      </c>
      <c r="N22" s="64" t="str">
        <f t="shared" ca="1" si="217"/>
        <v/>
      </c>
      <c r="O22" s="64" t="str">
        <f t="shared" ca="1" si="217"/>
        <v/>
      </c>
      <c r="P22" s="64" t="str">
        <f t="shared" ca="1" si="217"/>
        <v/>
      </c>
      <c r="Q22" s="64" t="str">
        <f t="shared" ca="1" si="217"/>
        <v/>
      </c>
      <c r="R22" s="64" t="str">
        <f t="shared" ca="1" si="217"/>
        <v/>
      </c>
      <c r="S22" s="64" t="str">
        <f t="shared" ca="1" si="217"/>
        <v/>
      </c>
      <c r="T22" s="64" t="str">
        <f t="shared" ca="1" si="217"/>
        <v/>
      </c>
      <c r="U22" s="64" t="str">
        <f t="shared" ca="1" si="267"/>
        <v/>
      </c>
      <c r="V22" s="64" t="str">
        <f t="shared" ca="1" si="267"/>
        <v/>
      </c>
      <c r="W22" s="64" t="str">
        <f t="shared" ca="1" si="267"/>
        <v/>
      </c>
      <c r="X22" s="64" t="str">
        <f t="shared" ca="1" si="267"/>
        <v/>
      </c>
      <c r="Y22" s="64" t="str">
        <f t="shared" ca="1" si="267"/>
        <v/>
      </c>
      <c r="Z22" s="64" t="str">
        <f t="shared" ca="1" si="267"/>
        <v/>
      </c>
      <c r="AA22" s="64" t="str">
        <f t="shared" ca="1" si="267"/>
        <v/>
      </c>
      <c r="AB22" s="64" t="str">
        <f t="shared" ca="1" si="267"/>
        <v/>
      </c>
      <c r="AC22" s="64" t="str">
        <f t="shared" ca="1" si="267"/>
        <v/>
      </c>
      <c r="AD22" s="64" t="str">
        <f t="shared" ca="1" si="267"/>
        <v/>
      </c>
      <c r="AE22" s="64" t="str">
        <f t="shared" ca="1" si="267"/>
        <v/>
      </c>
      <c r="AF22" s="64" t="str">
        <f t="shared" ca="1" si="267"/>
        <v/>
      </c>
      <c r="AG22" s="64" t="str">
        <f t="shared" ca="1" si="267"/>
        <v/>
      </c>
      <c r="AH22" s="64" t="str">
        <f t="shared" ca="1" si="267"/>
        <v/>
      </c>
      <c r="AI22" s="64" t="str">
        <f t="shared" ca="1" si="267"/>
        <v/>
      </c>
      <c r="AJ22" s="64" t="str">
        <f t="shared" ca="1" si="267"/>
        <v/>
      </c>
      <c r="AK22" s="64" t="str">
        <f t="shared" ca="1" si="268"/>
        <v/>
      </c>
      <c r="AL22" s="64" t="str">
        <f t="shared" ca="1" si="268"/>
        <v/>
      </c>
      <c r="AM22" s="64" t="str">
        <f t="shared" ca="1" si="268"/>
        <v/>
      </c>
      <c r="AN22" s="64" t="str">
        <f t="shared" ca="1" si="268"/>
        <v/>
      </c>
      <c r="AO22" s="64" t="str">
        <f t="shared" ca="1" si="268"/>
        <v/>
      </c>
      <c r="AP22" s="64" t="str">
        <f t="shared" ca="1" si="268"/>
        <v/>
      </c>
      <c r="AQ22" s="64" t="str">
        <f t="shared" ca="1" si="268"/>
        <v/>
      </c>
      <c r="AR22" s="64" t="str">
        <f t="shared" ca="1" si="268"/>
        <v/>
      </c>
      <c r="AS22" s="64" t="str">
        <f t="shared" ca="1" si="268"/>
        <v/>
      </c>
      <c r="AT22" s="64" t="str">
        <f t="shared" ca="1" si="268"/>
        <v/>
      </c>
      <c r="AU22" s="64" t="str">
        <f t="shared" ca="1" si="268"/>
        <v/>
      </c>
      <c r="AV22" s="64" t="str">
        <f t="shared" ca="1" si="268"/>
        <v/>
      </c>
      <c r="AW22" s="64" t="str">
        <f t="shared" ca="1" si="268"/>
        <v/>
      </c>
      <c r="AX22" s="64" t="str">
        <f t="shared" ca="1" si="268"/>
        <v/>
      </c>
      <c r="AY22" s="64" t="str">
        <f t="shared" ca="1" si="268"/>
        <v/>
      </c>
      <c r="AZ22" s="64" t="str">
        <f t="shared" ca="1" si="268"/>
        <v/>
      </c>
      <c r="BA22" s="64" t="str">
        <f t="shared" ca="1" si="265"/>
        <v/>
      </c>
      <c r="BB22" s="64" t="str">
        <f t="shared" ca="1" si="265"/>
        <v/>
      </c>
      <c r="BC22" s="64" t="str">
        <f t="shared" ca="1" si="265"/>
        <v/>
      </c>
      <c r="BD22" s="64" t="str">
        <f t="shared" ca="1" si="265"/>
        <v/>
      </c>
      <c r="BE22" s="64" t="str">
        <f t="shared" ca="1" si="265"/>
        <v/>
      </c>
      <c r="BF22" s="64" t="str">
        <f t="shared" ca="1" si="265"/>
        <v/>
      </c>
      <c r="BG22" s="64" t="str">
        <f t="shared" ca="1" si="265"/>
        <v/>
      </c>
      <c r="BH22" s="64" t="str">
        <f t="shared" ca="1" si="265"/>
        <v/>
      </c>
      <c r="BI22" s="64" t="str">
        <f t="shared" ca="1" si="265"/>
        <v/>
      </c>
      <c r="BJ22" s="64" t="str">
        <f t="shared" ca="1" si="265"/>
        <v/>
      </c>
      <c r="BK22" s="64" t="str">
        <f t="shared" ca="1" si="266"/>
        <v/>
      </c>
      <c r="BL22" s="64" t="str">
        <f t="shared" ca="1" si="266"/>
        <v/>
      </c>
      <c r="BM22" s="64" t="str">
        <f t="shared" ca="1" si="266"/>
        <v/>
      </c>
      <c r="BN22" s="64" t="str">
        <f t="shared" ca="1" si="266"/>
        <v/>
      </c>
      <c r="BO22" s="64" t="str">
        <f t="shared" ca="1" si="266"/>
        <v/>
      </c>
      <c r="BP22" s="64" t="str">
        <f t="shared" ca="1" si="266"/>
        <v/>
      </c>
      <c r="BQ22" s="64" t="str">
        <f t="shared" ca="1" si="199"/>
        <v/>
      </c>
      <c r="BR22" s="64" t="str">
        <f t="shared" ca="1" si="199"/>
        <v/>
      </c>
      <c r="BS22" s="64" t="e">
        <f t="shared" ca="1" si="251"/>
        <v>#DIV/0!</v>
      </c>
      <c r="BT22" s="64" t="str">
        <f t="shared" ca="1" si="199"/>
        <v/>
      </c>
      <c r="BU22" s="64" t="e">
        <f t="shared" ca="1" si="201"/>
        <v>#DIV/0!</v>
      </c>
      <c r="BV22" s="64" t="e">
        <f t="shared" ca="1" si="201"/>
        <v>#DIV/0!</v>
      </c>
      <c r="BW22" s="64" t="e">
        <f t="shared" ca="1" si="201"/>
        <v>#DIV/0!</v>
      </c>
      <c r="BX22" s="64" t="str">
        <f t="shared" ca="1" si="199"/>
        <v/>
      </c>
      <c r="BY22" s="64" t="str">
        <f t="shared" ca="1" si="199"/>
        <v/>
      </c>
      <c r="BZ22" s="64" t="str">
        <f t="shared" ca="1" si="199"/>
        <v/>
      </c>
      <c r="CA22" s="64">
        <f t="shared" ca="1" si="202"/>
        <v>0</v>
      </c>
      <c r="CB22" s="64">
        <f t="shared" ca="1" si="202"/>
        <v>0</v>
      </c>
      <c r="CC22" s="64">
        <f t="shared" ca="1" si="202"/>
        <v>0</v>
      </c>
      <c r="CD22" s="64" t="str">
        <f t="shared" ca="1" si="199"/>
        <v/>
      </c>
      <c r="CE22" s="64" t="str">
        <f t="shared" ca="1" si="199"/>
        <v/>
      </c>
      <c r="CF22" s="64">
        <f t="shared" ca="1" si="203"/>
        <v>0</v>
      </c>
      <c r="CG22" s="64" t="e">
        <f t="shared" ca="1" si="203"/>
        <v>#DIV/0!</v>
      </c>
      <c r="CH22" s="64" t="e">
        <f t="shared" ca="1" si="203"/>
        <v>#DIV/0!</v>
      </c>
      <c r="CI22" s="64" t="e">
        <f t="shared" ca="1" si="199"/>
        <v>#DIV/0!</v>
      </c>
      <c r="CJ22" s="64">
        <f t="shared" ca="1" si="220"/>
        <v>0</v>
      </c>
      <c r="CK22" s="64">
        <f t="shared" ca="1" si="204"/>
        <v>0</v>
      </c>
      <c r="CL22" s="64">
        <f t="shared" ca="1" si="204"/>
        <v>0</v>
      </c>
      <c r="CM22" s="64">
        <f t="shared" ca="1" si="204"/>
        <v>0</v>
      </c>
      <c r="CN22" s="64" t="str">
        <f t="shared" ca="1" si="199"/>
        <v/>
      </c>
      <c r="CO22" s="64" t="str">
        <f t="shared" ca="1" si="199"/>
        <v/>
      </c>
      <c r="CP22" s="64" t="str">
        <f t="shared" ca="1" si="199"/>
        <v/>
      </c>
      <c r="CQ22" s="64">
        <f t="shared" ca="1" si="205"/>
        <v>0</v>
      </c>
      <c r="CR22" s="64">
        <f t="shared" ca="1" si="205"/>
        <v>0</v>
      </c>
      <c r="CS22" s="64"/>
      <c r="CT22" s="64"/>
      <c r="CU22" s="64" t="str">
        <f t="shared" ca="1" si="199"/>
        <v/>
      </c>
      <c r="CV22" s="64">
        <f t="shared" ca="1" si="206"/>
        <v>0</v>
      </c>
      <c r="CW22" s="64">
        <f t="shared" ca="1" si="206"/>
        <v>0</v>
      </c>
      <c r="CX22" s="64"/>
      <c r="CY22" s="64">
        <f t="shared" ca="1" si="206"/>
        <v>0</v>
      </c>
      <c r="CZ22" s="64" t="e">
        <f t="shared" ca="1" si="207"/>
        <v>#DIV/0!</v>
      </c>
      <c r="DA22" s="64" t="str">
        <f t="shared" ca="1" si="207"/>
        <v/>
      </c>
      <c r="DB22" s="64" t="str">
        <f t="shared" ca="1" si="207"/>
        <v/>
      </c>
      <c r="DC22" s="64" t="str">
        <f t="shared" ca="1" si="207"/>
        <v/>
      </c>
      <c r="DD22" s="64" t="str">
        <f t="shared" ca="1" si="207"/>
        <v/>
      </c>
      <c r="DE22" s="64" t="str">
        <f t="shared" ca="1" si="207"/>
        <v/>
      </c>
      <c r="DF22" s="64" t="str">
        <f t="shared" ca="1" si="207"/>
        <v/>
      </c>
      <c r="DG22" s="64" t="str">
        <f t="shared" ca="1" si="207"/>
        <v/>
      </c>
      <c r="DH22" s="64" t="str">
        <f t="shared" ca="1" si="207"/>
        <v/>
      </c>
      <c r="DI22" s="64" t="str">
        <f t="shared" ca="1" si="207"/>
        <v/>
      </c>
      <c r="DJ22" s="64" t="str">
        <f t="shared" ca="1" si="208"/>
        <v/>
      </c>
      <c r="DK22" s="64" t="str">
        <f t="shared" ca="1" si="209"/>
        <v/>
      </c>
      <c r="DL22" s="64" t="str">
        <f t="shared" ca="1" si="210"/>
        <v/>
      </c>
      <c r="DM22" s="64"/>
      <c r="DN22" s="64"/>
      <c r="DO22" s="64">
        <f t="shared" ca="1" si="211"/>
        <v>0</v>
      </c>
      <c r="DP22" s="64">
        <f t="shared" ca="1" si="211"/>
        <v>0</v>
      </c>
      <c r="DQ22" s="64">
        <f t="shared" ca="1" si="211"/>
        <v>0</v>
      </c>
      <c r="DR22" s="64"/>
      <c r="DS22" s="64" t="str">
        <f t="shared" ca="1" si="212"/>
        <v/>
      </c>
      <c r="DT22" s="64" t="e">
        <f t="shared" ca="1" si="213"/>
        <v>#DIV/0!</v>
      </c>
      <c r="DU22" s="64">
        <f t="shared" ca="1" si="213"/>
        <v>0</v>
      </c>
      <c r="DV22" s="64">
        <f t="shared" ca="1" si="213"/>
        <v>0</v>
      </c>
      <c r="DW22" s="64">
        <f t="shared" ca="1" si="213"/>
        <v>0</v>
      </c>
      <c r="DX22" s="64" t="str">
        <f t="shared" ca="1" si="214"/>
        <v/>
      </c>
      <c r="DY22" s="64" t="str">
        <f t="shared" ca="1" si="214"/>
        <v/>
      </c>
      <c r="DZ22" s="64" t="str">
        <f t="shared" ca="1" si="214"/>
        <v/>
      </c>
      <c r="EA22" s="64" t="str">
        <f t="shared" ca="1" si="214"/>
        <v/>
      </c>
      <c r="EB22" s="64" t="str">
        <f t="shared" ca="1" si="214"/>
        <v/>
      </c>
      <c r="EC22" s="64" t="str">
        <f t="shared" ca="1" si="214"/>
        <v/>
      </c>
      <c r="ED22" s="64" t="str">
        <f t="shared" ca="1" si="214"/>
        <v/>
      </c>
      <c r="EE22" s="64" t="str">
        <f t="shared" ca="1" si="214"/>
        <v/>
      </c>
      <c r="EF22" s="64" t="str">
        <f t="shared" ca="1" si="214"/>
        <v/>
      </c>
      <c r="EG22" s="64" t="str">
        <f t="shared" ca="1" si="214"/>
        <v/>
      </c>
      <c r="EH22" s="64"/>
      <c r="EI22" s="64"/>
      <c r="EJ22" s="64"/>
      <c r="EK22" s="64"/>
      <c r="EL22" s="79"/>
      <c r="EM22" s="79"/>
      <c r="EN22" s="79"/>
      <c r="EO22" s="79"/>
      <c r="EP22" s="79"/>
      <c r="EQ22" s="79"/>
      <c r="ER22" s="79"/>
      <c r="ES22" s="79"/>
      <c r="ET22" s="79"/>
      <c r="EU22" s="79"/>
      <c r="EV22" s="79"/>
      <c r="EW22" s="79"/>
      <c r="EX22" s="79">
        <v>5</v>
      </c>
      <c r="EY22" s="283" t="str">
        <f t="shared" ca="1" si="252"/>
        <v>Error Dato</v>
      </c>
      <c r="EZ22" s="283" t="str">
        <f t="shared" ca="1" si="253"/>
        <v/>
      </c>
      <c r="FA22" s="79" t="str">
        <f t="shared" ca="1" si="254"/>
        <v/>
      </c>
      <c r="FB22" s="79">
        <f t="shared" ca="1" si="255"/>
        <v>0</v>
      </c>
      <c r="FC22" s="79" t="e">
        <f t="shared" ca="1" si="256"/>
        <v>#VALUE!</v>
      </c>
      <c r="FD22" s="79" t="str">
        <f t="shared" ca="1" si="257"/>
        <v>00</v>
      </c>
      <c r="FE22" s="79" t="str">
        <f ca="1">+IF($FD22=Gráficos!$A$302,Consolidado!BU22,"")</f>
        <v/>
      </c>
      <c r="FF22" s="79" t="str">
        <f ca="1">+IF($FD22=Gráficos!$A$302,Consolidado!BV22,"")</f>
        <v/>
      </c>
      <c r="FG22" s="79" t="str">
        <f ca="1">+IF($FD22=Gráficos!$A$302,Consolidado!BW22,"")</f>
        <v/>
      </c>
      <c r="FH22" s="79" t="str">
        <f t="shared" ca="1" si="258"/>
        <v>0000</v>
      </c>
      <c r="FI22" s="79" t="str">
        <f ca="1">+IF($FH22=Gráficos!$A$335,Consolidado!CG22,"")</f>
        <v/>
      </c>
      <c r="FJ22" s="79" t="str">
        <f ca="1">+IF($FH22=Gráficos!$A$335,Consolidado!CH22,"")</f>
        <v/>
      </c>
      <c r="FK22" s="79" t="str">
        <f ca="1">+IF($FH22=Gráficos!$A$335,Consolidado!CI22,"")</f>
        <v/>
      </c>
      <c r="FL22" s="79" t="str">
        <f t="shared" ca="1" si="259"/>
        <v/>
      </c>
      <c r="FM22" s="79">
        <f ca="1">+IF($FL22=Gráficos!$A$366,Consolidado!CW22,"")</f>
        <v>0</v>
      </c>
      <c r="FN22" s="79">
        <f ca="1">+IF($FL22=Gráficos!$A$366,Consolidado!CX22,"")</f>
        <v>0</v>
      </c>
      <c r="FO22" s="79">
        <f ca="1">+IF($FL22=Gráficos!$A$366,Consolidado!CY22,"")</f>
        <v>0</v>
      </c>
      <c r="FP22" s="79" t="e">
        <f ca="1">+IF($FL22=Gráficos!$A$366,Consolidado!CZ22,"")</f>
        <v>#DIV/0!</v>
      </c>
      <c r="FQ22" s="79" t="str">
        <f t="shared" ca="1" si="260"/>
        <v>000</v>
      </c>
      <c r="FR22" s="283">
        <f t="shared" ca="1" si="261"/>
        <v>0</v>
      </c>
      <c r="FS22" s="283">
        <f t="shared" si="262"/>
        <v>0</v>
      </c>
      <c r="FT22" s="283" t="str">
        <f t="shared" ca="1" si="263"/>
        <v/>
      </c>
      <c r="FU22" s="283" t="e">
        <f t="shared" ca="1" si="264"/>
        <v>#DIV/0!</v>
      </c>
    </row>
    <row r="23" spans="1:177" x14ac:dyDescent="0.35">
      <c r="A23" s="79">
        <v>13</v>
      </c>
      <c r="B23" s="79"/>
      <c r="C23" s="287" t="str">
        <f t="shared" si="250"/>
        <v>'13'!</v>
      </c>
      <c r="D23" s="288" t="str">
        <f t="shared" ca="1" si="195"/>
        <v>2016-2017</v>
      </c>
      <c r="E23" s="64" t="str">
        <f t="shared" ca="1" si="217"/>
        <v/>
      </c>
      <c r="F23" s="64" t="str">
        <f t="shared" ca="1" si="217"/>
        <v/>
      </c>
      <c r="G23" s="64" t="str">
        <f t="shared" ca="1" si="217"/>
        <v/>
      </c>
      <c r="H23" s="64" t="str">
        <f t="shared" ca="1" si="217"/>
        <v/>
      </c>
      <c r="I23" s="64" t="str">
        <f t="shared" ca="1" si="217"/>
        <v/>
      </c>
      <c r="J23" s="64" t="str">
        <f t="shared" ca="1" si="217"/>
        <v/>
      </c>
      <c r="K23" s="64" t="str">
        <f t="shared" ca="1" si="217"/>
        <v/>
      </c>
      <c r="L23" s="64" t="str">
        <f t="shared" ca="1" si="217"/>
        <v/>
      </c>
      <c r="M23" s="64" t="str">
        <f t="shared" ca="1" si="217"/>
        <v/>
      </c>
      <c r="N23" s="64" t="str">
        <f t="shared" ca="1" si="217"/>
        <v/>
      </c>
      <c r="O23" s="64" t="str">
        <f t="shared" ca="1" si="217"/>
        <v/>
      </c>
      <c r="P23" s="64" t="str">
        <f t="shared" ca="1" si="217"/>
        <v/>
      </c>
      <c r="Q23" s="64" t="str">
        <f t="shared" ca="1" si="217"/>
        <v/>
      </c>
      <c r="R23" s="64" t="str">
        <f t="shared" ca="1" si="217"/>
        <v/>
      </c>
      <c r="S23" s="64" t="str">
        <f t="shared" ca="1" si="217"/>
        <v/>
      </c>
      <c r="T23" s="64" t="str">
        <f t="shared" ca="1" si="217"/>
        <v/>
      </c>
      <c r="U23" s="64" t="str">
        <f t="shared" ca="1" si="267"/>
        <v/>
      </c>
      <c r="V23" s="64" t="str">
        <f t="shared" ca="1" si="267"/>
        <v/>
      </c>
      <c r="W23" s="64" t="str">
        <f t="shared" ca="1" si="267"/>
        <v/>
      </c>
      <c r="X23" s="64" t="str">
        <f t="shared" ca="1" si="267"/>
        <v/>
      </c>
      <c r="Y23" s="64" t="str">
        <f t="shared" ca="1" si="267"/>
        <v/>
      </c>
      <c r="Z23" s="64" t="str">
        <f t="shared" ca="1" si="267"/>
        <v/>
      </c>
      <c r="AA23" s="64" t="str">
        <f t="shared" ca="1" si="267"/>
        <v/>
      </c>
      <c r="AB23" s="64" t="str">
        <f t="shared" ca="1" si="267"/>
        <v/>
      </c>
      <c r="AC23" s="64" t="str">
        <f t="shared" ca="1" si="267"/>
        <v/>
      </c>
      <c r="AD23" s="64" t="str">
        <f t="shared" ca="1" si="267"/>
        <v/>
      </c>
      <c r="AE23" s="64" t="str">
        <f t="shared" ca="1" si="267"/>
        <v/>
      </c>
      <c r="AF23" s="64" t="str">
        <f t="shared" ca="1" si="267"/>
        <v/>
      </c>
      <c r="AG23" s="64" t="str">
        <f t="shared" ca="1" si="267"/>
        <v/>
      </c>
      <c r="AH23" s="64" t="str">
        <f t="shared" ca="1" si="267"/>
        <v/>
      </c>
      <c r="AI23" s="64" t="str">
        <f t="shared" ca="1" si="267"/>
        <v/>
      </c>
      <c r="AJ23" s="64" t="str">
        <f t="shared" ca="1" si="267"/>
        <v/>
      </c>
      <c r="AK23" s="64" t="str">
        <f t="shared" ca="1" si="268"/>
        <v/>
      </c>
      <c r="AL23" s="64" t="str">
        <f t="shared" ca="1" si="268"/>
        <v/>
      </c>
      <c r="AM23" s="64" t="str">
        <f t="shared" ca="1" si="268"/>
        <v/>
      </c>
      <c r="AN23" s="64" t="str">
        <f t="shared" ca="1" si="268"/>
        <v/>
      </c>
      <c r="AO23" s="64" t="str">
        <f t="shared" ca="1" si="268"/>
        <v/>
      </c>
      <c r="AP23" s="64" t="str">
        <f t="shared" ca="1" si="268"/>
        <v/>
      </c>
      <c r="AQ23" s="64" t="str">
        <f t="shared" ca="1" si="268"/>
        <v/>
      </c>
      <c r="AR23" s="64" t="str">
        <f t="shared" ca="1" si="268"/>
        <v/>
      </c>
      <c r="AS23" s="64" t="str">
        <f t="shared" ca="1" si="268"/>
        <v/>
      </c>
      <c r="AT23" s="64" t="str">
        <f t="shared" ca="1" si="268"/>
        <v/>
      </c>
      <c r="AU23" s="64" t="str">
        <f t="shared" ca="1" si="268"/>
        <v/>
      </c>
      <c r="AV23" s="64" t="str">
        <f t="shared" ca="1" si="268"/>
        <v/>
      </c>
      <c r="AW23" s="64" t="str">
        <f t="shared" ca="1" si="268"/>
        <v/>
      </c>
      <c r="AX23" s="64" t="str">
        <f t="shared" ca="1" si="268"/>
        <v/>
      </c>
      <c r="AY23" s="64" t="str">
        <f t="shared" ca="1" si="268"/>
        <v/>
      </c>
      <c r="AZ23" s="64" t="str">
        <f t="shared" ca="1" si="268"/>
        <v/>
      </c>
      <c r="BA23" s="64" t="str">
        <f t="shared" ca="1" si="265"/>
        <v/>
      </c>
      <c r="BB23" s="64" t="str">
        <f t="shared" ca="1" si="265"/>
        <v/>
      </c>
      <c r="BC23" s="64" t="str">
        <f t="shared" ca="1" si="265"/>
        <v/>
      </c>
      <c r="BD23" s="64" t="str">
        <f t="shared" ca="1" si="265"/>
        <v/>
      </c>
      <c r="BE23" s="64" t="str">
        <f t="shared" ca="1" si="265"/>
        <v/>
      </c>
      <c r="BF23" s="64" t="str">
        <f t="shared" ca="1" si="265"/>
        <v/>
      </c>
      <c r="BG23" s="64" t="str">
        <f t="shared" ca="1" si="265"/>
        <v/>
      </c>
      <c r="BH23" s="64" t="str">
        <f t="shared" ca="1" si="265"/>
        <v/>
      </c>
      <c r="BI23" s="64" t="str">
        <f t="shared" ca="1" si="265"/>
        <v/>
      </c>
      <c r="BJ23" s="64" t="str">
        <f t="shared" ca="1" si="265"/>
        <v/>
      </c>
      <c r="BK23" s="64" t="str">
        <f t="shared" ca="1" si="266"/>
        <v/>
      </c>
      <c r="BL23" s="64" t="str">
        <f t="shared" ca="1" si="266"/>
        <v/>
      </c>
      <c r="BM23" s="64" t="str">
        <f t="shared" ca="1" si="266"/>
        <v/>
      </c>
      <c r="BN23" s="64" t="str">
        <f t="shared" ca="1" si="266"/>
        <v/>
      </c>
      <c r="BO23" s="64" t="str">
        <f t="shared" ca="1" si="266"/>
        <v/>
      </c>
      <c r="BP23" s="64" t="str">
        <f t="shared" ca="1" si="266"/>
        <v/>
      </c>
      <c r="BQ23" s="64" t="str">
        <f t="shared" ca="1" si="199"/>
        <v/>
      </c>
      <c r="BR23" s="64" t="str">
        <f t="shared" ca="1" si="199"/>
        <v/>
      </c>
      <c r="BS23" s="64" t="e">
        <f t="shared" ca="1" si="251"/>
        <v>#DIV/0!</v>
      </c>
      <c r="BT23" s="64" t="str">
        <f t="shared" ca="1" si="199"/>
        <v/>
      </c>
      <c r="BU23" s="64" t="e">
        <f t="shared" ca="1" si="201"/>
        <v>#DIV/0!</v>
      </c>
      <c r="BV23" s="64" t="e">
        <f t="shared" ca="1" si="201"/>
        <v>#DIV/0!</v>
      </c>
      <c r="BW23" s="64" t="e">
        <f t="shared" ca="1" si="201"/>
        <v>#DIV/0!</v>
      </c>
      <c r="BX23" s="64" t="str">
        <f t="shared" ca="1" si="199"/>
        <v/>
      </c>
      <c r="BY23" s="64" t="str">
        <f t="shared" ca="1" si="199"/>
        <v/>
      </c>
      <c r="BZ23" s="64" t="str">
        <f t="shared" ca="1" si="199"/>
        <v/>
      </c>
      <c r="CA23" s="64">
        <f t="shared" ca="1" si="202"/>
        <v>0</v>
      </c>
      <c r="CB23" s="64">
        <f t="shared" ca="1" si="202"/>
        <v>0</v>
      </c>
      <c r="CC23" s="64">
        <f t="shared" ca="1" si="202"/>
        <v>0</v>
      </c>
      <c r="CD23" s="64" t="str">
        <f t="shared" ca="1" si="199"/>
        <v/>
      </c>
      <c r="CE23" s="64" t="str">
        <f t="shared" ca="1" si="199"/>
        <v/>
      </c>
      <c r="CF23" s="64">
        <f t="shared" ca="1" si="203"/>
        <v>0</v>
      </c>
      <c r="CG23" s="64" t="e">
        <f t="shared" ca="1" si="203"/>
        <v>#DIV/0!</v>
      </c>
      <c r="CH23" s="64" t="e">
        <f t="shared" ca="1" si="203"/>
        <v>#DIV/0!</v>
      </c>
      <c r="CI23" s="64" t="e">
        <f t="shared" ca="1" si="199"/>
        <v>#DIV/0!</v>
      </c>
      <c r="CJ23" s="64">
        <f t="shared" ca="1" si="220"/>
        <v>0</v>
      </c>
      <c r="CK23" s="64">
        <f t="shared" ca="1" si="204"/>
        <v>0</v>
      </c>
      <c r="CL23" s="64">
        <f t="shared" ca="1" si="204"/>
        <v>0</v>
      </c>
      <c r="CM23" s="64">
        <f t="shared" ca="1" si="204"/>
        <v>0</v>
      </c>
      <c r="CN23" s="64" t="str">
        <f t="shared" ca="1" si="199"/>
        <v/>
      </c>
      <c r="CO23" s="64" t="str">
        <f t="shared" ca="1" si="199"/>
        <v/>
      </c>
      <c r="CP23" s="64" t="str">
        <f t="shared" ca="1" si="199"/>
        <v/>
      </c>
      <c r="CQ23" s="64">
        <f t="shared" ca="1" si="205"/>
        <v>0</v>
      </c>
      <c r="CR23" s="64">
        <f t="shared" ca="1" si="205"/>
        <v>0</v>
      </c>
      <c r="CS23" s="64"/>
      <c r="CT23" s="64"/>
      <c r="CU23" s="64" t="str">
        <f t="shared" ca="1" si="199"/>
        <v/>
      </c>
      <c r="CV23" s="64">
        <f t="shared" ca="1" si="206"/>
        <v>0</v>
      </c>
      <c r="CW23" s="64">
        <f t="shared" ca="1" si="206"/>
        <v>0</v>
      </c>
      <c r="CX23" s="64"/>
      <c r="CY23" s="64">
        <f t="shared" ca="1" si="206"/>
        <v>0</v>
      </c>
      <c r="CZ23" s="64" t="e">
        <f t="shared" ca="1" si="207"/>
        <v>#DIV/0!</v>
      </c>
      <c r="DA23" s="64" t="str">
        <f t="shared" ca="1" si="207"/>
        <v/>
      </c>
      <c r="DB23" s="64" t="str">
        <f t="shared" ca="1" si="207"/>
        <v/>
      </c>
      <c r="DC23" s="64" t="str">
        <f t="shared" ca="1" si="207"/>
        <v/>
      </c>
      <c r="DD23" s="64" t="str">
        <f t="shared" ca="1" si="207"/>
        <v/>
      </c>
      <c r="DE23" s="64" t="str">
        <f t="shared" ca="1" si="207"/>
        <v/>
      </c>
      <c r="DF23" s="64" t="str">
        <f t="shared" ca="1" si="207"/>
        <v/>
      </c>
      <c r="DG23" s="64" t="str">
        <f t="shared" ca="1" si="207"/>
        <v/>
      </c>
      <c r="DH23" s="64" t="str">
        <f t="shared" ca="1" si="207"/>
        <v/>
      </c>
      <c r="DI23" s="64" t="str">
        <f t="shared" ca="1" si="207"/>
        <v/>
      </c>
      <c r="DJ23" s="64" t="str">
        <f t="shared" ca="1" si="208"/>
        <v/>
      </c>
      <c r="DK23" s="64" t="str">
        <f t="shared" ca="1" si="209"/>
        <v/>
      </c>
      <c r="DL23" s="64" t="str">
        <f t="shared" ca="1" si="210"/>
        <v/>
      </c>
      <c r="DM23" s="64"/>
      <c r="DN23" s="64"/>
      <c r="DO23" s="64">
        <f t="shared" ca="1" si="211"/>
        <v>0</v>
      </c>
      <c r="DP23" s="64">
        <f t="shared" ca="1" si="211"/>
        <v>0</v>
      </c>
      <c r="DQ23" s="64">
        <f t="shared" ca="1" si="211"/>
        <v>0</v>
      </c>
      <c r="DR23" s="64"/>
      <c r="DS23" s="64" t="str">
        <f t="shared" ca="1" si="212"/>
        <v/>
      </c>
      <c r="DT23" s="64" t="e">
        <f t="shared" ca="1" si="213"/>
        <v>#DIV/0!</v>
      </c>
      <c r="DU23" s="64">
        <f t="shared" ca="1" si="213"/>
        <v>0</v>
      </c>
      <c r="DV23" s="64">
        <f t="shared" ca="1" si="213"/>
        <v>0</v>
      </c>
      <c r="DW23" s="64">
        <f t="shared" ca="1" si="213"/>
        <v>0</v>
      </c>
      <c r="DX23" s="64" t="str">
        <f t="shared" ca="1" si="214"/>
        <v/>
      </c>
      <c r="DY23" s="64" t="str">
        <f t="shared" ca="1" si="214"/>
        <v/>
      </c>
      <c r="DZ23" s="64" t="str">
        <f t="shared" ca="1" si="214"/>
        <v/>
      </c>
      <c r="EA23" s="64" t="str">
        <f t="shared" ca="1" si="214"/>
        <v/>
      </c>
      <c r="EB23" s="64" t="str">
        <f t="shared" ca="1" si="214"/>
        <v/>
      </c>
      <c r="EC23" s="64" t="str">
        <f t="shared" ca="1" si="214"/>
        <v/>
      </c>
      <c r="ED23" s="64" t="str">
        <f t="shared" ca="1" si="214"/>
        <v/>
      </c>
      <c r="EE23" s="64" t="str">
        <f t="shared" ca="1" si="214"/>
        <v/>
      </c>
      <c r="EF23" s="64" t="str">
        <f t="shared" ca="1" si="214"/>
        <v/>
      </c>
      <c r="EG23" s="64" t="str">
        <f t="shared" ca="1" si="214"/>
        <v/>
      </c>
      <c r="EH23" s="64"/>
      <c r="EI23" s="64"/>
      <c r="EJ23" s="64"/>
      <c r="EK23" s="64"/>
      <c r="EL23" s="79"/>
      <c r="EM23" s="79"/>
      <c r="EN23" s="79"/>
      <c r="EO23" s="79"/>
      <c r="EP23" s="79"/>
      <c r="EQ23" s="79"/>
      <c r="ER23" s="79"/>
      <c r="ES23" s="79"/>
      <c r="ET23" s="79"/>
      <c r="EU23" s="79"/>
      <c r="EV23" s="79"/>
      <c r="EW23" s="79"/>
      <c r="EX23" s="79">
        <v>5</v>
      </c>
      <c r="EY23" s="283" t="str">
        <f t="shared" ca="1" si="252"/>
        <v>Error Dato</v>
      </c>
      <c r="EZ23" s="283" t="str">
        <f t="shared" ca="1" si="253"/>
        <v/>
      </c>
      <c r="FA23" s="79" t="str">
        <f t="shared" ca="1" si="254"/>
        <v/>
      </c>
      <c r="FB23" s="79">
        <f t="shared" ca="1" si="255"/>
        <v>0</v>
      </c>
      <c r="FC23" s="79" t="e">
        <f t="shared" ca="1" si="256"/>
        <v>#VALUE!</v>
      </c>
      <c r="FD23" s="79" t="str">
        <f t="shared" ca="1" si="257"/>
        <v>00</v>
      </c>
      <c r="FE23" s="79" t="str">
        <f ca="1">+IF($FD23=Gráficos!$A$302,Consolidado!BU23,"")</f>
        <v/>
      </c>
      <c r="FF23" s="79" t="str">
        <f ca="1">+IF($FD23=Gráficos!$A$302,Consolidado!BV23,"")</f>
        <v/>
      </c>
      <c r="FG23" s="79" t="str">
        <f ca="1">+IF($FD23=Gráficos!$A$302,Consolidado!BW23,"")</f>
        <v/>
      </c>
      <c r="FH23" s="79" t="str">
        <f t="shared" ca="1" si="258"/>
        <v>0000</v>
      </c>
      <c r="FI23" s="79" t="str">
        <f ca="1">+IF($FH23=Gráficos!$A$335,Consolidado!CG23,"")</f>
        <v/>
      </c>
      <c r="FJ23" s="79" t="str">
        <f ca="1">+IF($FH23=Gráficos!$A$335,Consolidado!CH23,"")</f>
        <v/>
      </c>
      <c r="FK23" s="79" t="str">
        <f ca="1">+IF($FH23=Gráficos!$A$335,Consolidado!CI23,"")</f>
        <v/>
      </c>
      <c r="FL23" s="79" t="str">
        <f t="shared" ca="1" si="259"/>
        <v/>
      </c>
      <c r="FM23" s="79">
        <f ca="1">+IF($FL23=Gráficos!$A$366,Consolidado!CW23,"")</f>
        <v>0</v>
      </c>
      <c r="FN23" s="79">
        <f ca="1">+IF($FL23=Gráficos!$A$366,Consolidado!CX23,"")</f>
        <v>0</v>
      </c>
      <c r="FO23" s="79">
        <f ca="1">+IF($FL23=Gráficos!$A$366,Consolidado!CY23,"")</f>
        <v>0</v>
      </c>
      <c r="FP23" s="79" t="e">
        <f ca="1">+IF($FL23=Gráficos!$A$366,Consolidado!CZ23,"")</f>
        <v>#DIV/0!</v>
      </c>
      <c r="FQ23" s="79" t="str">
        <f t="shared" ca="1" si="260"/>
        <v>000</v>
      </c>
      <c r="FR23" s="283">
        <f t="shared" ca="1" si="261"/>
        <v>0</v>
      </c>
      <c r="FS23" s="283">
        <f t="shared" si="262"/>
        <v>0</v>
      </c>
      <c r="FT23" s="283" t="str">
        <f t="shared" ca="1" si="263"/>
        <v/>
      </c>
      <c r="FU23" s="283" t="e">
        <f t="shared" ca="1" si="264"/>
        <v>#DIV/0!</v>
      </c>
    </row>
    <row r="24" spans="1:177" x14ac:dyDescent="0.35">
      <c r="A24" s="79">
        <v>14</v>
      </c>
      <c r="B24" s="79"/>
      <c r="C24" s="287" t="str">
        <f t="shared" si="250"/>
        <v>'14'!</v>
      </c>
      <c r="D24" s="288" t="str">
        <f t="shared" ca="1" si="195"/>
        <v>2016-2017</v>
      </c>
      <c r="E24" s="64" t="str">
        <f t="shared" ca="1" si="217"/>
        <v/>
      </c>
      <c r="F24" s="64" t="str">
        <f t="shared" ca="1" si="217"/>
        <v/>
      </c>
      <c r="G24" s="64" t="str">
        <f t="shared" ca="1" si="217"/>
        <v/>
      </c>
      <c r="H24" s="64" t="str">
        <f t="shared" ca="1" si="217"/>
        <v/>
      </c>
      <c r="I24" s="64" t="str">
        <f t="shared" ca="1" si="217"/>
        <v/>
      </c>
      <c r="J24" s="64" t="str">
        <f t="shared" ca="1" si="217"/>
        <v/>
      </c>
      <c r="K24" s="64" t="str">
        <f t="shared" ca="1" si="217"/>
        <v/>
      </c>
      <c r="L24" s="64" t="str">
        <f t="shared" ca="1" si="217"/>
        <v/>
      </c>
      <c r="M24" s="64" t="str">
        <f t="shared" ca="1" si="217"/>
        <v/>
      </c>
      <c r="N24" s="64" t="str">
        <f t="shared" ca="1" si="217"/>
        <v/>
      </c>
      <c r="O24" s="64" t="str">
        <f t="shared" ca="1" si="217"/>
        <v/>
      </c>
      <c r="P24" s="64" t="str">
        <f t="shared" ca="1" si="217"/>
        <v/>
      </c>
      <c r="Q24" s="64" t="str">
        <f t="shared" ca="1" si="217"/>
        <v/>
      </c>
      <c r="R24" s="64" t="str">
        <f t="shared" ca="1" si="217"/>
        <v/>
      </c>
      <c r="S24" s="64" t="str">
        <f t="shared" ca="1" si="217"/>
        <v/>
      </c>
      <c r="T24" s="64" t="str">
        <f t="shared" ca="1" si="217"/>
        <v/>
      </c>
      <c r="U24" s="64" t="str">
        <f t="shared" ca="1" si="267"/>
        <v/>
      </c>
      <c r="V24" s="64" t="str">
        <f t="shared" ca="1" si="267"/>
        <v/>
      </c>
      <c r="W24" s="64" t="str">
        <f t="shared" ca="1" si="267"/>
        <v/>
      </c>
      <c r="X24" s="64" t="str">
        <f t="shared" ca="1" si="267"/>
        <v/>
      </c>
      <c r="Y24" s="64" t="str">
        <f t="shared" ca="1" si="267"/>
        <v/>
      </c>
      <c r="Z24" s="64" t="str">
        <f t="shared" ca="1" si="267"/>
        <v/>
      </c>
      <c r="AA24" s="64" t="str">
        <f t="shared" ca="1" si="267"/>
        <v/>
      </c>
      <c r="AB24" s="64" t="str">
        <f t="shared" ca="1" si="267"/>
        <v/>
      </c>
      <c r="AC24" s="64" t="str">
        <f t="shared" ca="1" si="267"/>
        <v/>
      </c>
      <c r="AD24" s="64" t="str">
        <f t="shared" ca="1" si="267"/>
        <v/>
      </c>
      <c r="AE24" s="64" t="str">
        <f t="shared" ca="1" si="267"/>
        <v/>
      </c>
      <c r="AF24" s="64" t="str">
        <f t="shared" ca="1" si="267"/>
        <v/>
      </c>
      <c r="AG24" s="64" t="str">
        <f t="shared" ca="1" si="267"/>
        <v/>
      </c>
      <c r="AH24" s="64" t="str">
        <f t="shared" ca="1" si="267"/>
        <v/>
      </c>
      <c r="AI24" s="64" t="str">
        <f t="shared" ca="1" si="267"/>
        <v/>
      </c>
      <c r="AJ24" s="64" t="str">
        <f t="shared" ca="1" si="267"/>
        <v/>
      </c>
      <c r="AK24" s="64" t="str">
        <f t="shared" ca="1" si="268"/>
        <v/>
      </c>
      <c r="AL24" s="64" t="str">
        <f t="shared" ca="1" si="268"/>
        <v/>
      </c>
      <c r="AM24" s="64" t="str">
        <f t="shared" ca="1" si="268"/>
        <v/>
      </c>
      <c r="AN24" s="64" t="str">
        <f t="shared" ca="1" si="268"/>
        <v/>
      </c>
      <c r="AO24" s="64" t="str">
        <f t="shared" ca="1" si="268"/>
        <v/>
      </c>
      <c r="AP24" s="64" t="str">
        <f t="shared" ca="1" si="268"/>
        <v/>
      </c>
      <c r="AQ24" s="64" t="str">
        <f t="shared" ca="1" si="268"/>
        <v/>
      </c>
      <c r="AR24" s="64" t="str">
        <f t="shared" ca="1" si="268"/>
        <v/>
      </c>
      <c r="AS24" s="64" t="str">
        <f t="shared" ca="1" si="268"/>
        <v/>
      </c>
      <c r="AT24" s="64" t="str">
        <f t="shared" ca="1" si="268"/>
        <v/>
      </c>
      <c r="AU24" s="64" t="str">
        <f t="shared" ca="1" si="268"/>
        <v/>
      </c>
      <c r="AV24" s="64" t="str">
        <f t="shared" ca="1" si="268"/>
        <v/>
      </c>
      <c r="AW24" s="64" t="str">
        <f t="shared" ca="1" si="268"/>
        <v/>
      </c>
      <c r="AX24" s="64" t="str">
        <f t="shared" ca="1" si="268"/>
        <v/>
      </c>
      <c r="AY24" s="64" t="str">
        <f t="shared" ca="1" si="268"/>
        <v/>
      </c>
      <c r="AZ24" s="64" t="str">
        <f t="shared" ca="1" si="268"/>
        <v/>
      </c>
      <c r="BA24" s="64" t="str">
        <f t="shared" ca="1" si="265"/>
        <v/>
      </c>
      <c r="BB24" s="64" t="str">
        <f t="shared" ca="1" si="265"/>
        <v/>
      </c>
      <c r="BC24" s="64" t="str">
        <f t="shared" ca="1" si="265"/>
        <v/>
      </c>
      <c r="BD24" s="64" t="str">
        <f t="shared" ca="1" si="265"/>
        <v/>
      </c>
      <c r="BE24" s="64" t="str">
        <f t="shared" ca="1" si="265"/>
        <v/>
      </c>
      <c r="BF24" s="64" t="str">
        <f t="shared" ca="1" si="265"/>
        <v/>
      </c>
      <c r="BG24" s="64" t="str">
        <f t="shared" ca="1" si="265"/>
        <v/>
      </c>
      <c r="BH24" s="64" t="str">
        <f t="shared" ca="1" si="265"/>
        <v/>
      </c>
      <c r="BI24" s="64" t="str">
        <f t="shared" ca="1" si="265"/>
        <v/>
      </c>
      <c r="BJ24" s="64" t="str">
        <f t="shared" ca="1" si="265"/>
        <v/>
      </c>
      <c r="BK24" s="64" t="str">
        <f t="shared" ca="1" si="266"/>
        <v/>
      </c>
      <c r="BL24" s="64" t="str">
        <f t="shared" ca="1" si="266"/>
        <v/>
      </c>
      <c r="BM24" s="64" t="str">
        <f t="shared" ca="1" si="266"/>
        <v/>
      </c>
      <c r="BN24" s="64" t="str">
        <f t="shared" ca="1" si="266"/>
        <v/>
      </c>
      <c r="BO24" s="64" t="str">
        <f t="shared" ca="1" si="266"/>
        <v/>
      </c>
      <c r="BP24" s="64" t="str">
        <f t="shared" ca="1" si="266"/>
        <v/>
      </c>
      <c r="BQ24" s="64" t="str">
        <f t="shared" ca="1" si="199"/>
        <v/>
      </c>
      <c r="BR24" s="64" t="str">
        <f t="shared" ca="1" si="199"/>
        <v/>
      </c>
      <c r="BS24" s="64" t="e">
        <f t="shared" ca="1" si="251"/>
        <v>#DIV/0!</v>
      </c>
      <c r="BT24" s="64" t="str">
        <f t="shared" ca="1" si="199"/>
        <v/>
      </c>
      <c r="BU24" s="64" t="e">
        <f t="shared" ca="1" si="201"/>
        <v>#DIV/0!</v>
      </c>
      <c r="BV24" s="64" t="e">
        <f t="shared" ca="1" si="201"/>
        <v>#DIV/0!</v>
      </c>
      <c r="BW24" s="64" t="e">
        <f t="shared" ca="1" si="201"/>
        <v>#DIV/0!</v>
      </c>
      <c r="BX24" s="64" t="str">
        <f t="shared" ca="1" si="199"/>
        <v/>
      </c>
      <c r="BY24" s="64" t="str">
        <f t="shared" ca="1" si="199"/>
        <v/>
      </c>
      <c r="BZ24" s="64" t="str">
        <f t="shared" ca="1" si="199"/>
        <v/>
      </c>
      <c r="CA24" s="64">
        <f t="shared" ca="1" si="202"/>
        <v>0</v>
      </c>
      <c r="CB24" s="64">
        <f t="shared" ca="1" si="202"/>
        <v>0</v>
      </c>
      <c r="CC24" s="64">
        <f t="shared" ca="1" si="202"/>
        <v>0</v>
      </c>
      <c r="CD24" s="64" t="str">
        <f t="shared" ca="1" si="199"/>
        <v/>
      </c>
      <c r="CE24" s="64" t="str">
        <f t="shared" ca="1" si="199"/>
        <v/>
      </c>
      <c r="CF24" s="64">
        <f t="shared" ca="1" si="203"/>
        <v>0</v>
      </c>
      <c r="CG24" s="64" t="e">
        <f t="shared" ca="1" si="203"/>
        <v>#DIV/0!</v>
      </c>
      <c r="CH24" s="64" t="e">
        <f t="shared" ca="1" si="203"/>
        <v>#DIV/0!</v>
      </c>
      <c r="CI24" s="64" t="e">
        <f t="shared" ca="1" si="199"/>
        <v>#DIV/0!</v>
      </c>
      <c r="CJ24" s="64">
        <f t="shared" ca="1" si="220"/>
        <v>0</v>
      </c>
      <c r="CK24" s="64">
        <f t="shared" ca="1" si="204"/>
        <v>0</v>
      </c>
      <c r="CL24" s="64">
        <f t="shared" ca="1" si="204"/>
        <v>0</v>
      </c>
      <c r="CM24" s="64">
        <f t="shared" ca="1" si="204"/>
        <v>0</v>
      </c>
      <c r="CN24" s="64" t="str">
        <f t="shared" ca="1" si="199"/>
        <v/>
      </c>
      <c r="CO24" s="64" t="str">
        <f t="shared" ca="1" si="199"/>
        <v/>
      </c>
      <c r="CP24" s="64" t="str">
        <f t="shared" ca="1" si="199"/>
        <v/>
      </c>
      <c r="CQ24" s="64">
        <f t="shared" ca="1" si="205"/>
        <v>0</v>
      </c>
      <c r="CR24" s="64">
        <f t="shared" ca="1" si="205"/>
        <v>0</v>
      </c>
      <c r="CS24" s="64"/>
      <c r="CT24" s="64"/>
      <c r="CU24" s="64" t="str">
        <f t="shared" ca="1" si="199"/>
        <v/>
      </c>
      <c r="CV24" s="64">
        <f t="shared" ca="1" si="206"/>
        <v>0</v>
      </c>
      <c r="CW24" s="64">
        <f t="shared" ca="1" si="206"/>
        <v>0</v>
      </c>
      <c r="CX24" s="64"/>
      <c r="CY24" s="64">
        <f t="shared" ca="1" si="206"/>
        <v>0</v>
      </c>
      <c r="CZ24" s="64" t="e">
        <f t="shared" ca="1" si="207"/>
        <v>#DIV/0!</v>
      </c>
      <c r="DA24" s="64" t="str">
        <f t="shared" ca="1" si="207"/>
        <v/>
      </c>
      <c r="DB24" s="64" t="str">
        <f t="shared" ca="1" si="207"/>
        <v/>
      </c>
      <c r="DC24" s="64" t="str">
        <f t="shared" ca="1" si="207"/>
        <v/>
      </c>
      <c r="DD24" s="64" t="str">
        <f t="shared" ca="1" si="207"/>
        <v/>
      </c>
      <c r="DE24" s="64" t="str">
        <f t="shared" ca="1" si="207"/>
        <v/>
      </c>
      <c r="DF24" s="64" t="str">
        <f t="shared" ca="1" si="207"/>
        <v/>
      </c>
      <c r="DG24" s="64" t="str">
        <f t="shared" ca="1" si="207"/>
        <v/>
      </c>
      <c r="DH24" s="64" t="str">
        <f t="shared" ca="1" si="207"/>
        <v/>
      </c>
      <c r="DI24" s="64" t="str">
        <f t="shared" ca="1" si="207"/>
        <v/>
      </c>
      <c r="DJ24" s="64" t="str">
        <f t="shared" ca="1" si="208"/>
        <v/>
      </c>
      <c r="DK24" s="64" t="str">
        <f t="shared" ca="1" si="209"/>
        <v/>
      </c>
      <c r="DL24" s="64" t="str">
        <f t="shared" ca="1" si="210"/>
        <v/>
      </c>
      <c r="DM24" s="64"/>
      <c r="DN24" s="64"/>
      <c r="DO24" s="64">
        <f t="shared" ca="1" si="211"/>
        <v>0</v>
      </c>
      <c r="DP24" s="64">
        <f t="shared" ca="1" si="211"/>
        <v>0</v>
      </c>
      <c r="DQ24" s="64">
        <f t="shared" ca="1" si="211"/>
        <v>0</v>
      </c>
      <c r="DR24" s="64"/>
      <c r="DS24" s="64" t="str">
        <f t="shared" ca="1" si="212"/>
        <v/>
      </c>
      <c r="DT24" s="64" t="e">
        <f t="shared" ca="1" si="213"/>
        <v>#DIV/0!</v>
      </c>
      <c r="DU24" s="64">
        <f t="shared" ca="1" si="213"/>
        <v>0</v>
      </c>
      <c r="DV24" s="64">
        <f t="shared" ca="1" si="213"/>
        <v>0</v>
      </c>
      <c r="DW24" s="64">
        <f t="shared" ca="1" si="213"/>
        <v>0</v>
      </c>
      <c r="DX24" s="64" t="str">
        <f t="shared" ca="1" si="214"/>
        <v/>
      </c>
      <c r="DY24" s="64" t="str">
        <f t="shared" ca="1" si="214"/>
        <v/>
      </c>
      <c r="DZ24" s="64" t="str">
        <f t="shared" ca="1" si="214"/>
        <v/>
      </c>
      <c r="EA24" s="64" t="str">
        <f t="shared" ca="1" si="214"/>
        <v/>
      </c>
      <c r="EB24" s="64" t="str">
        <f t="shared" ca="1" si="214"/>
        <v/>
      </c>
      <c r="EC24" s="64" t="str">
        <f t="shared" ca="1" si="214"/>
        <v/>
      </c>
      <c r="ED24" s="64" t="str">
        <f t="shared" ca="1" si="214"/>
        <v/>
      </c>
      <c r="EE24" s="64" t="str">
        <f t="shared" ca="1" si="214"/>
        <v/>
      </c>
      <c r="EF24" s="64" t="str">
        <f t="shared" ca="1" si="214"/>
        <v/>
      </c>
      <c r="EG24" s="64" t="str">
        <f t="shared" ca="1" si="214"/>
        <v/>
      </c>
      <c r="EH24" s="64"/>
      <c r="EI24" s="64"/>
      <c r="EJ24" s="64"/>
      <c r="EK24" s="64"/>
      <c r="EL24" s="79"/>
      <c r="EM24" s="79"/>
      <c r="EN24" s="79"/>
      <c r="EO24" s="79"/>
      <c r="EP24" s="79"/>
      <c r="EQ24" s="79"/>
      <c r="ER24" s="79"/>
      <c r="ES24" s="79"/>
      <c r="ET24" s="79"/>
      <c r="EU24" s="79"/>
      <c r="EV24" s="79"/>
      <c r="EW24" s="79"/>
      <c r="EX24" s="79">
        <v>5</v>
      </c>
      <c r="EY24" s="283" t="str">
        <f t="shared" ca="1" si="252"/>
        <v>Error Dato</v>
      </c>
      <c r="EZ24" s="283" t="str">
        <f t="shared" ca="1" si="253"/>
        <v/>
      </c>
      <c r="FA24" s="79" t="str">
        <f t="shared" ca="1" si="254"/>
        <v/>
      </c>
      <c r="FB24" s="79">
        <f t="shared" ca="1" si="255"/>
        <v>0</v>
      </c>
      <c r="FC24" s="79" t="e">
        <f t="shared" ca="1" si="256"/>
        <v>#VALUE!</v>
      </c>
      <c r="FD24" s="79" t="str">
        <f t="shared" ca="1" si="257"/>
        <v>00</v>
      </c>
      <c r="FE24" s="79" t="str">
        <f ca="1">+IF($FD24=Gráficos!$A$302,Consolidado!BU24,"")</f>
        <v/>
      </c>
      <c r="FF24" s="79" t="str">
        <f ca="1">+IF($FD24=Gráficos!$A$302,Consolidado!BV24,"")</f>
        <v/>
      </c>
      <c r="FG24" s="79" t="str">
        <f ca="1">+IF($FD24=Gráficos!$A$302,Consolidado!BW24,"")</f>
        <v/>
      </c>
      <c r="FH24" s="79" t="str">
        <f t="shared" ca="1" si="258"/>
        <v>0000</v>
      </c>
      <c r="FI24" s="79" t="str">
        <f ca="1">+IF($FH24=Gráficos!$A$335,Consolidado!CG24,"")</f>
        <v/>
      </c>
      <c r="FJ24" s="79" t="str">
        <f ca="1">+IF($FH24=Gráficos!$A$335,Consolidado!CH24,"")</f>
        <v/>
      </c>
      <c r="FK24" s="79" t="str">
        <f ca="1">+IF($FH24=Gráficos!$A$335,Consolidado!CI24,"")</f>
        <v/>
      </c>
      <c r="FL24" s="79" t="str">
        <f t="shared" ca="1" si="259"/>
        <v/>
      </c>
      <c r="FM24" s="79">
        <f ca="1">+IF($FL24=Gráficos!$A$366,Consolidado!CW24,"")</f>
        <v>0</v>
      </c>
      <c r="FN24" s="79">
        <f ca="1">+IF($FL24=Gráficos!$A$366,Consolidado!CX24,"")</f>
        <v>0</v>
      </c>
      <c r="FO24" s="79">
        <f ca="1">+IF($FL24=Gráficos!$A$366,Consolidado!CY24,"")</f>
        <v>0</v>
      </c>
      <c r="FP24" s="79" t="e">
        <f ca="1">+IF($FL24=Gráficos!$A$366,Consolidado!CZ24,"")</f>
        <v>#DIV/0!</v>
      </c>
      <c r="FQ24" s="79" t="str">
        <f t="shared" ca="1" si="260"/>
        <v>000</v>
      </c>
      <c r="FR24" s="283">
        <f t="shared" ca="1" si="261"/>
        <v>0</v>
      </c>
      <c r="FS24" s="283">
        <f t="shared" si="262"/>
        <v>0</v>
      </c>
      <c r="FT24" s="283" t="str">
        <f t="shared" ca="1" si="263"/>
        <v/>
      </c>
      <c r="FU24" s="283" t="e">
        <f t="shared" ca="1" si="264"/>
        <v>#DIV/0!</v>
      </c>
    </row>
    <row r="25" spans="1:177" x14ac:dyDescent="0.35">
      <c r="A25" s="79">
        <v>15</v>
      </c>
      <c r="B25" s="79"/>
      <c r="C25" s="287" t="str">
        <f t="shared" si="250"/>
        <v>'15'!</v>
      </c>
      <c r="D25" s="288" t="str">
        <f t="shared" ca="1" si="195"/>
        <v>2016-2017</v>
      </c>
      <c r="E25" s="64" t="str">
        <f t="shared" ca="1" si="217"/>
        <v/>
      </c>
      <c r="F25" s="64" t="str">
        <f t="shared" ca="1" si="217"/>
        <v/>
      </c>
      <c r="G25" s="64" t="str">
        <f t="shared" ca="1" si="217"/>
        <v/>
      </c>
      <c r="H25" s="64" t="str">
        <f t="shared" ca="1" si="217"/>
        <v/>
      </c>
      <c r="I25" s="64" t="str">
        <f t="shared" ca="1" si="217"/>
        <v/>
      </c>
      <c r="J25" s="64" t="str">
        <f t="shared" ca="1" si="217"/>
        <v/>
      </c>
      <c r="K25" s="64" t="str">
        <f t="shared" ca="1" si="217"/>
        <v/>
      </c>
      <c r="L25" s="64" t="str">
        <f t="shared" ca="1" si="217"/>
        <v/>
      </c>
      <c r="M25" s="64" t="str">
        <f t="shared" ca="1" si="217"/>
        <v/>
      </c>
      <c r="N25" s="64" t="str">
        <f t="shared" ca="1" si="217"/>
        <v/>
      </c>
      <c r="O25" s="64" t="str">
        <f t="shared" ca="1" si="217"/>
        <v/>
      </c>
      <c r="P25" s="64" t="str">
        <f t="shared" ca="1" si="217"/>
        <v/>
      </c>
      <c r="Q25" s="64" t="str">
        <f t="shared" ca="1" si="217"/>
        <v/>
      </c>
      <c r="R25" s="64" t="str">
        <f t="shared" ca="1" si="217"/>
        <v/>
      </c>
      <c r="S25" s="64" t="str">
        <f t="shared" ca="1" si="217"/>
        <v/>
      </c>
      <c r="T25" s="64" t="str">
        <f t="shared" ca="1" si="217"/>
        <v/>
      </c>
      <c r="U25" s="64" t="str">
        <f t="shared" ca="1" si="267"/>
        <v/>
      </c>
      <c r="V25" s="64" t="str">
        <f t="shared" ca="1" si="267"/>
        <v/>
      </c>
      <c r="W25" s="64" t="str">
        <f t="shared" ca="1" si="267"/>
        <v/>
      </c>
      <c r="X25" s="64" t="str">
        <f t="shared" ca="1" si="267"/>
        <v/>
      </c>
      <c r="Y25" s="64" t="str">
        <f t="shared" ca="1" si="267"/>
        <v/>
      </c>
      <c r="Z25" s="64" t="str">
        <f t="shared" ca="1" si="267"/>
        <v/>
      </c>
      <c r="AA25" s="64" t="str">
        <f t="shared" ca="1" si="267"/>
        <v/>
      </c>
      <c r="AB25" s="64" t="str">
        <f t="shared" ca="1" si="267"/>
        <v/>
      </c>
      <c r="AC25" s="64" t="str">
        <f t="shared" ca="1" si="267"/>
        <v/>
      </c>
      <c r="AD25" s="64" t="str">
        <f t="shared" ca="1" si="267"/>
        <v/>
      </c>
      <c r="AE25" s="64" t="str">
        <f t="shared" ca="1" si="267"/>
        <v/>
      </c>
      <c r="AF25" s="64" t="str">
        <f t="shared" ca="1" si="267"/>
        <v/>
      </c>
      <c r="AG25" s="64" t="str">
        <f t="shared" ca="1" si="267"/>
        <v/>
      </c>
      <c r="AH25" s="64" t="str">
        <f t="shared" ca="1" si="267"/>
        <v/>
      </c>
      <c r="AI25" s="64" t="str">
        <f t="shared" ca="1" si="267"/>
        <v/>
      </c>
      <c r="AJ25" s="64" t="str">
        <f t="shared" ca="1" si="267"/>
        <v/>
      </c>
      <c r="AK25" s="64" t="str">
        <f t="shared" ca="1" si="268"/>
        <v/>
      </c>
      <c r="AL25" s="64" t="str">
        <f t="shared" ca="1" si="268"/>
        <v/>
      </c>
      <c r="AM25" s="64" t="str">
        <f t="shared" ca="1" si="268"/>
        <v/>
      </c>
      <c r="AN25" s="64" t="str">
        <f t="shared" ca="1" si="268"/>
        <v/>
      </c>
      <c r="AO25" s="64" t="str">
        <f t="shared" ca="1" si="268"/>
        <v/>
      </c>
      <c r="AP25" s="64" t="str">
        <f t="shared" ca="1" si="268"/>
        <v/>
      </c>
      <c r="AQ25" s="64" t="str">
        <f t="shared" ca="1" si="268"/>
        <v/>
      </c>
      <c r="AR25" s="64" t="str">
        <f t="shared" ca="1" si="268"/>
        <v/>
      </c>
      <c r="AS25" s="64" t="str">
        <f t="shared" ca="1" si="268"/>
        <v/>
      </c>
      <c r="AT25" s="64" t="str">
        <f t="shared" ca="1" si="268"/>
        <v/>
      </c>
      <c r="AU25" s="64" t="str">
        <f t="shared" ca="1" si="268"/>
        <v/>
      </c>
      <c r="AV25" s="64" t="str">
        <f t="shared" ca="1" si="268"/>
        <v/>
      </c>
      <c r="AW25" s="64" t="str">
        <f t="shared" ca="1" si="268"/>
        <v/>
      </c>
      <c r="AX25" s="64" t="str">
        <f t="shared" ca="1" si="268"/>
        <v/>
      </c>
      <c r="AY25" s="64" t="str">
        <f t="shared" ca="1" si="268"/>
        <v/>
      </c>
      <c r="AZ25" s="64" t="str">
        <f t="shared" ca="1" si="268"/>
        <v/>
      </c>
      <c r="BA25" s="64" t="str">
        <f t="shared" ca="1" si="265"/>
        <v/>
      </c>
      <c r="BB25" s="64" t="str">
        <f t="shared" ca="1" si="265"/>
        <v/>
      </c>
      <c r="BC25" s="64" t="str">
        <f t="shared" ca="1" si="265"/>
        <v/>
      </c>
      <c r="BD25" s="64" t="str">
        <f t="shared" ca="1" si="265"/>
        <v/>
      </c>
      <c r="BE25" s="64" t="str">
        <f t="shared" ca="1" si="265"/>
        <v/>
      </c>
      <c r="BF25" s="64" t="str">
        <f t="shared" ca="1" si="265"/>
        <v/>
      </c>
      <c r="BG25" s="64" t="str">
        <f t="shared" ca="1" si="265"/>
        <v/>
      </c>
      <c r="BH25" s="64" t="str">
        <f t="shared" ca="1" si="265"/>
        <v/>
      </c>
      <c r="BI25" s="64" t="str">
        <f t="shared" ca="1" si="265"/>
        <v/>
      </c>
      <c r="BJ25" s="64" t="str">
        <f t="shared" ca="1" si="265"/>
        <v/>
      </c>
      <c r="BK25" s="64" t="str">
        <f t="shared" ca="1" si="266"/>
        <v/>
      </c>
      <c r="BL25" s="64" t="str">
        <f t="shared" ca="1" si="266"/>
        <v/>
      </c>
      <c r="BM25" s="64" t="str">
        <f t="shared" ca="1" si="266"/>
        <v/>
      </c>
      <c r="BN25" s="64" t="str">
        <f t="shared" ca="1" si="266"/>
        <v/>
      </c>
      <c r="BO25" s="64" t="str">
        <f t="shared" ca="1" si="266"/>
        <v/>
      </c>
      <c r="BP25" s="64" t="str">
        <f t="shared" ca="1" si="266"/>
        <v/>
      </c>
      <c r="BQ25" s="64" t="str">
        <f t="shared" ca="1" si="199"/>
        <v/>
      </c>
      <c r="BR25" s="64" t="str">
        <f t="shared" ca="1" si="199"/>
        <v/>
      </c>
      <c r="BS25" s="64" t="e">
        <f t="shared" ca="1" si="251"/>
        <v>#DIV/0!</v>
      </c>
      <c r="BT25" s="64" t="str">
        <f t="shared" ca="1" si="199"/>
        <v/>
      </c>
      <c r="BU25" s="64" t="e">
        <f t="shared" ca="1" si="201"/>
        <v>#DIV/0!</v>
      </c>
      <c r="BV25" s="64" t="e">
        <f t="shared" ca="1" si="201"/>
        <v>#DIV/0!</v>
      </c>
      <c r="BW25" s="64" t="e">
        <f t="shared" ca="1" si="201"/>
        <v>#DIV/0!</v>
      </c>
      <c r="BX25" s="64" t="str">
        <f t="shared" ca="1" si="199"/>
        <v/>
      </c>
      <c r="BY25" s="64" t="str">
        <f t="shared" ca="1" si="199"/>
        <v/>
      </c>
      <c r="BZ25" s="64" t="str">
        <f t="shared" ca="1" si="199"/>
        <v/>
      </c>
      <c r="CA25" s="64">
        <f t="shared" ca="1" si="202"/>
        <v>0</v>
      </c>
      <c r="CB25" s="64">
        <f t="shared" ca="1" si="202"/>
        <v>0</v>
      </c>
      <c r="CC25" s="64">
        <f t="shared" ca="1" si="202"/>
        <v>0</v>
      </c>
      <c r="CD25" s="64" t="str">
        <f t="shared" ca="1" si="199"/>
        <v/>
      </c>
      <c r="CE25" s="64" t="str">
        <f t="shared" ca="1" si="199"/>
        <v/>
      </c>
      <c r="CF25" s="64">
        <f t="shared" ca="1" si="203"/>
        <v>0</v>
      </c>
      <c r="CG25" s="64" t="e">
        <f t="shared" ca="1" si="203"/>
        <v>#DIV/0!</v>
      </c>
      <c r="CH25" s="64" t="e">
        <f t="shared" ca="1" si="203"/>
        <v>#DIV/0!</v>
      </c>
      <c r="CI25" s="64" t="e">
        <f t="shared" ca="1" si="199"/>
        <v>#DIV/0!</v>
      </c>
      <c r="CJ25" s="64">
        <f t="shared" ca="1" si="220"/>
        <v>0</v>
      </c>
      <c r="CK25" s="64">
        <f t="shared" ca="1" si="204"/>
        <v>0</v>
      </c>
      <c r="CL25" s="64">
        <f t="shared" ca="1" si="204"/>
        <v>0</v>
      </c>
      <c r="CM25" s="64">
        <f t="shared" ca="1" si="204"/>
        <v>0</v>
      </c>
      <c r="CN25" s="64" t="str">
        <f t="shared" ca="1" si="199"/>
        <v/>
      </c>
      <c r="CO25" s="64" t="str">
        <f t="shared" ca="1" si="199"/>
        <v/>
      </c>
      <c r="CP25" s="64" t="str">
        <f t="shared" ca="1" si="199"/>
        <v/>
      </c>
      <c r="CQ25" s="64">
        <f t="shared" ca="1" si="205"/>
        <v>0</v>
      </c>
      <c r="CR25" s="64">
        <f t="shared" ca="1" si="205"/>
        <v>0</v>
      </c>
      <c r="CS25" s="64"/>
      <c r="CT25" s="64"/>
      <c r="CU25" s="64" t="str">
        <f t="shared" ca="1" si="199"/>
        <v/>
      </c>
      <c r="CV25" s="64">
        <f t="shared" ca="1" si="206"/>
        <v>0</v>
      </c>
      <c r="CW25" s="64">
        <f t="shared" ca="1" si="206"/>
        <v>0</v>
      </c>
      <c r="CX25" s="64"/>
      <c r="CY25" s="64">
        <f t="shared" ca="1" si="206"/>
        <v>0</v>
      </c>
      <c r="CZ25" s="64" t="e">
        <f t="shared" ca="1" si="207"/>
        <v>#DIV/0!</v>
      </c>
      <c r="DA25" s="64" t="str">
        <f t="shared" ca="1" si="207"/>
        <v/>
      </c>
      <c r="DB25" s="64" t="str">
        <f t="shared" ca="1" si="207"/>
        <v/>
      </c>
      <c r="DC25" s="64" t="str">
        <f t="shared" ca="1" si="207"/>
        <v/>
      </c>
      <c r="DD25" s="64" t="str">
        <f t="shared" ca="1" si="207"/>
        <v/>
      </c>
      <c r="DE25" s="64" t="str">
        <f t="shared" ca="1" si="207"/>
        <v/>
      </c>
      <c r="DF25" s="64" t="str">
        <f t="shared" ca="1" si="207"/>
        <v/>
      </c>
      <c r="DG25" s="64" t="str">
        <f t="shared" ca="1" si="207"/>
        <v/>
      </c>
      <c r="DH25" s="64" t="str">
        <f t="shared" ca="1" si="207"/>
        <v/>
      </c>
      <c r="DI25" s="64" t="str">
        <f t="shared" ca="1" si="207"/>
        <v/>
      </c>
      <c r="DJ25" s="64" t="str">
        <f t="shared" ca="1" si="208"/>
        <v/>
      </c>
      <c r="DK25" s="64" t="str">
        <f t="shared" ca="1" si="209"/>
        <v/>
      </c>
      <c r="DL25" s="64" t="str">
        <f t="shared" ca="1" si="210"/>
        <v/>
      </c>
      <c r="DM25" s="64"/>
      <c r="DN25" s="64"/>
      <c r="DO25" s="64">
        <f t="shared" ca="1" si="211"/>
        <v>0</v>
      </c>
      <c r="DP25" s="64">
        <f t="shared" ca="1" si="211"/>
        <v>0</v>
      </c>
      <c r="DQ25" s="64">
        <f t="shared" ca="1" si="211"/>
        <v>0</v>
      </c>
      <c r="DR25" s="64"/>
      <c r="DS25" s="64" t="str">
        <f t="shared" ca="1" si="212"/>
        <v/>
      </c>
      <c r="DT25" s="64" t="e">
        <f t="shared" ca="1" si="213"/>
        <v>#DIV/0!</v>
      </c>
      <c r="DU25" s="64">
        <f t="shared" ca="1" si="213"/>
        <v>0</v>
      </c>
      <c r="DV25" s="64">
        <f t="shared" ca="1" si="213"/>
        <v>0</v>
      </c>
      <c r="DW25" s="64">
        <f t="shared" ca="1" si="213"/>
        <v>0</v>
      </c>
      <c r="DX25" s="64" t="str">
        <f t="shared" ca="1" si="214"/>
        <v/>
      </c>
      <c r="DY25" s="64" t="str">
        <f t="shared" ca="1" si="214"/>
        <v/>
      </c>
      <c r="DZ25" s="64" t="str">
        <f t="shared" ca="1" si="214"/>
        <v/>
      </c>
      <c r="EA25" s="64" t="str">
        <f t="shared" ca="1" si="214"/>
        <v/>
      </c>
      <c r="EB25" s="64" t="str">
        <f t="shared" ca="1" si="214"/>
        <v/>
      </c>
      <c r="EC25" s="64" t="str">
        <f t="shared" ca="1" si="214"/>
        <v/>
      </c>
      <c r="ED25" s="64" t="str">
        <f t="shared" ca="1" si="214"/>
        <v/>
      </c>
      <c r="EE25" s="64" t="str">
        <f t="shared" ca="1" si="214"/>
        <v/>
      </c>
      <c r="EF25" s="64" t="str">
        <f t="shared" ca="1" si="214"/>
        <v/>
      </c>
      <c r="EG25" s="64" t="str">
        <f t="shared" ca="1" si="214"/>
        <v/>
      </c>
      <c r="EH25" s="64"/>
      <c r="EI25" s="64"/>
      <c r="EJ25" s="64"/>
      <c r="EK25" s="64"/>
      <c r="EL25" s="79"/>
      <c r="EM25" s="79"/>
      <c r="EN25" s="79"/>
      <c r="EO25" s="79"/>
      <c r="EP25" s="79"/>
      <c r="EQ25" s="79"/>
      <c r="ER25" s="79"/>
      <c r="ES25" s="79"/>
      <c r="ET25" s="79"/>
      <c r="EU25" s="79"/>
      <c r="EV25" s="79"/>
      <c r="EW25" s="79"/>
      <c r="EX25" s="79">
        <v>5</v>
      </c>
      <c r="EY25" s="283" t="str">
        <f t="shared" ca="1" si="252"/>
        <v>Error Dato</v>
      </c>
      <c r="EZ25" s="283" t="str">
        <f t="shared" ca="1" si="253"/>
        <v/>
      </c>
      <c r="FA25" s="79" t="str">
        <f t="shared" ca="1" si="254"/>
        <v/>
      </c>
      <c r="FB25" s="79">
        <f t="shared" ca="1" si="255"/>
        <v>0</v>
      </c>
      <c r="FC25" s="79" t="e">
        <f t="shared" ca="1" si="256"/>
        <v>#VALUE!</v>
      </c>
      <c r="FD25" s="79" t="str">
        <f t="shared" ca="1" si="257"/>
        <v>00</v>
      </c>
      <c r="FE25" s="79" t="str">
        <f ca="1">+IF($FD25=Gráficos!$A$302,Consolidado!BU25,"")</f>
        <v/>
      </c>
      <c r="FF25" s="79" t="str">
        <f ca="1">+IF($FD25=Gráficos!$A$302,Consolidado!BV25,"")</f>
        <v/>
      </c>
      <c r="FG25" s="79" t="str">
        <f ca="1">+IF($FD25=Gráficos!$A$302,Consolidado!BW25,"")</f>
        <v/>
      </c>
      <c r="FH25" s="79" t="str">
        <f t="shared" ca="1" si="258"/>
        <v>0000</v>
      </c>
      <c r="FI25" s="79" t="str">
        <f ca="1">+IF($FH25=Gráficos!$A$335,Consolidado!CG25,"")</f>
        <v/>
      </c>
      <c r="FJ25" s="79" t="str">
        <f ca="1">+IF($FH25=Gráficos!$A$335,Consolidado!CH25,"")</f>
        <v/>
      </c>
      <c r="FK25" s="79" t="str">
        <f ca="1">+IF($FH25=Gráficos!$A$335,Consolidado!CI25,"")</f>
        <v/>
      </c>
      <c r="FL25" s="79" t="str">
        <f t="shared" ca="1" si="259"/>
        <v/>
      </c>
      <c r="FM25" s="79">
        <f ca="1">+IF($FL25=Gráficos!$A$366,Consolidado!CW25,"")</f>
        <v>0</v>
      </c>
      <c r="FN25" s="79">
        <f ca="1">+IF($FL25=Gráficos!$A$366,Consolidado!CX25,"")</f>
        <v>0</v>
      </c>
      <c r="FO25" s="79">
        <f ca="1">+IF($FL25=Gráficos!$A$366,Consolidado!CY25,"")</f>
        <v>0</v>
      </c>
      <c r="FP25" s="79" t="e">
        <f ca="1">+IF($FL25=Gráficos!$A$366,Consolidado!CZ25,"")</f>
        <v>#DIV/0!</v>
      </c>
      <c r="FQ25" s="79" t="str">
        <f t="shared" ca="1" si="260"/>
        <v>000</v>
      </c>
      <c r="FR25" s="283">
        <f t="shared" ca="1" si="261"/>
        <v>0</v>
      </c>
      <c r="FS25" s="283">
        <f t="shared" si="262"/>
        <v>0</v>
      </c>
      <c r="FT25" s="283" t="str">
        <f t="shared" ca="1" si="263"/>
        <v/>
      </c>
      <c r="FU25" s="283" t="e">
        <f t="shared" ca="1" si="264"/>
        <v>#DIV/0!</v>
      </c>
    </row>
    <row r="26" spans="1:177" x14ac:dyDescent="0.35">
      <c r="A26" s="79"/>
      <c r="B26" s="79"/>
      <c r="C26" s="287"/>
      <c r="D26" s="288"/>
      <c r="E26" s="64"/>
      <c r="F26" s="64"/>
      <c r="G26" s="64"/>
      <c r="H26" s="64"/>
      <c r="I26" s="64"/>
      <c r="J26" s="64"/>
      <c r="K26" s="64"/>
      <c r="L26" s="64"/>
      <c r="M26" s="64"/>
      <c r="N26" s="64"/>
      <c r="O26" s="64"/>
      <c r="P26" s="64"/>
      <c r="Q26" s="64"/>
      <c r="R26" s="64"/>
      <c r="S26" s="64"/>
      <c r="T26" s="64"/>
      <c r="U26" s="64"/>
      <c r="V26" s="64"/>
      <c r="W26" s="64"/>
      <c r="X26" s="64"/>
      <c r="Y26" s="64"/>
      <c r="Z26" s="64"/>
      <c r="AA26" s="64"/>
      <c r="AB26" s="64"/>
      <c r="AC26" s="64"/>
      <c r="AD26" s="64"/>
      <c r="AE26" s="64"/>
      <c r="AF26" s="64"/>
      <c r="AG26" s="64"/>
      <c r="AH26" s="64"/>
      <c r="AI26" s="64"/>
      <c r="AJ26" s="64"/>
      <c r="AK26" s="64"/>
      <c r="AL26" s="64"/>
      <c r="AM26" s="64"/>
      <c r="AN26" s="64"/>
      <c r="AO26" s="64"/>
      <c r="AP26" s="64"/>
      <c r="AQ26" s="64"/>
      <c r="AR26" s="64"/>
      <c r="AS26" s="64"/>
      <c r="AT26" s="64"/>
      <c r="AU26" s="64"/>
      <c r="AV26" s="64"/>
      <c r="AW26" s="64"/>
      <c r="AX26" s="64"/>
      <c r="AY26" s="64"/>
      <c r="AZ26" s="64"/>
      <c r="BA26" s="64"/>
      <c r="BB26" s="64"/>
      <c r="BC26" s="64"/>
      <c r="BD26" s="64"/>
      <c r="BE26" s="64"/>
      <c r="BF26" s="64"/>
      <c r="BG26" s="64"/>
      <c r="BH26" s="64"/>
      <c r="BI26" s="64"/>
      <c r="BJ26" s="64"/>
      <c r="BK26" s="64"/>
      <c r="BL26" s="64"/>
      <c r="BM26" s="64"/>
      <c r="BN26" s="64"/>
      <c r="BO26" s="64"/>
      <c r="BP26" s="64"/>
      <c r="BQ26" s="64"/>
      <c r="BR26" s="64"/>
      <c r="BS26" s="64"/>
      <c r="BT26" s="64"/>
      <c r="BU26" s="64"/>
      <c r="BV26" s="64"/>
      <c r="BW26" s="64"/>
      <c r="BX26" s="64"/>
      <c r="BY26" s="64"/>
      <c r="BZ26" s="64"/>
      <c r="CA26" s="64"/>
      <c r="CB26" s="64"/>
      <c r="CC26" s="64"/>
      <c r="CD26" s="64"/>
      <c r="CE26" s="64"/>
      <c r="CF26" s="64"/>
      <c r="CG26" s="64"/>
      <c r="CH26" s="64"/>
      <c r="CI26" s="64"/>
      <c r="CJ26" s="64"/>
      <c r="CK26" s="64"/>
      <c r="CL26" s="64"/>
      <c r="CM26" s="64"/>
      <c r="CN26" s="64"/>
      <c r="CO26" s="64"/>
      <c r="CP26" s="64"/>
      <c r="CQ26" s="64"/>
      <c r="CR26" s="64"/>
      <c r="CS26" s="64"/>
      <c r="CT26" s="64"/>
      <c r="CU26" s="64"/>
      <c r="CV26" s="64"/>
      <c r="CW26" s="64"/>
      <c r="CX26" s="64"/>
      <c r="CY26" s="64"/>
      <c r="CZ26" s="64"/>
      <c r="DA26" s="64"/>
      <c r="DB26" s="64"/>
      <c r="DC26" s="64"/>
      <c r="DD26" s="64"/>
      <c r="DE26" s="64"/>
      <c r="DF26" s="64"/>
      <c r="DG26" s="64"/>
      <c r="DH26" s="64"/>
      <c r="DI26" s="64"/>
      <c r="DJ26" s="64"/>
      <c r="DK26" s="64"/>
      <c r="DL26" s="64"/>
      <c r="DM26" s="64"/>
      <c r="DN26" s="64"/>
      <c r="DO26" s="64"/>
      <c r="DP26" s="64"/>
      <c r="DQ26" s="64"/>
      <c r="DR26" s="64"/>
      <c r="DS26" s="64"/>
      <c r="DT26" s="64"/>
      <c r="DU26" s="64"/>
      <c r="DV26" s="64"/>
      <c r="DW26" s="64"/>
      <c r="DX26" s="64"/>
      <c r="DY26" s="64"/>
      <c r="DZ26" s="64"/>
      <c r="EA26" s="64"/>
      <c r="EB26" s="64"/>
      <c r="EC26" s="64"/>
      <c r="ED26" s="64"/>
      <c r="EE26" s="64"/>
      <c r="EF26" s="64"/>
      <c r="EG26" s="64"/>
      <c r="EH26" s="64"/>
      <c r="EI26" s="64"/>
      <c r="EJ26" s="64"/>
      <c r="EK26" s="64"/>
      <c r="EL26" s="79"/>
      <c r="EM26" s="79"/>
      <c r="EN26" s="79"/>
      <c r="EO26" s="79"/>
      <c r="EP26" s="79"/>
      <c r="EQ26" s="79"/>
      <c r="ER26" s="79"/>
      <c r="ES26" s="79"/>
      <c r="ET26" s="79"/>
      <c r="EU26" s="79"/>
      <c r="EV26" s="79"/>
      <c r="EW26" s="79"/>
      <c r="EX26" s="79"/>
      <c r="EY26" s="283"/>
      <c r="EZ26" s="283"/>
      <c r="FA26" s="79"/>
      <c r="FB26" s="79"/>
      <c r="FC26" s="79"/>
      <c r="FD26" s="79"/>
      <c r="FE26" s="79"/>
      <c r="FF26" s="79"/>
      <c r="FG26" s="79"/>
      <c r="FH26" s="79"/>
      <c r="FI26" s="79"/>
      <c r="FJ26" s="79"/>
      <c r="FK26" s="79"/>
      <c r="FL26" s="79"/>
      <c r="FM26" s="79"/>
      <c r="FN26" s="79"/>
      <c r="FO26" s="79"/>
      <c r="FP26" s="79"/>
      <c r="FQ26" s="79"/>
      <c r="FR26" s="283"/>
      <c r="FS26" s="283"/>
      <c r="FT26" s="283"/>
      <c r="FU26" s="283"/>
    </row>
    <row r="27" spans="1:177" x14ac:dyDescent="0.35">
      <c r="A27" s="79"/>
      <c r="B27" s="79"/>
      <c r="C27" s="287"/>
      <c r="D27" s="288"/>
      <c r="E27" s="64"/>
      <c r="F27" s="64"/>
      <c r="G27" s="64"/>
      <c r="H27" s="64"/>
      <c r="I27" s="64"/>
      <c r="J27" s="64"/>
      <c r="K27" s="64"/>
      <c r="L27" s="64"/>
      <c r="M27" s="64"/>
      <c r="N27" s="64"/>
      <c r="O27" s="64"/>
      <c r="P27" s="64"/>
      <c r="Q27" s="64"/>
      <c r="R27" s="64"/>
      <c r="S27" s="64"/>
      <c r="T27" s="64"/>
      <c r="U27" s="64"/>
      <c r="V27" s="64"/>
      <c r="W27" s="64"/>
      <c r="X27" s="64"/>
      <c r="Y27" s="64"/>
      <c r="Z27" s="64"/>
      <c r="AA27" s="64"/>
      <c r="AB27" s="64"/>
      <c r="AC27" s="64"/>
      <c r="AD27" s="64"/>
      <c r="AE27" s="64"/>
      <c r="AF27" s="64"/>
      <c r="AG27" s="64"/>
      <c r="AH27" s="64"/>
      <c r="AI27" s="64"/>
      <c r="AJ27" s="64"/>
      <c r="AK27" s="64"/>
      <c r="AL27" s="64"/>
      <c r="AM27" s="64"/>
      <c r="AN27" s="64"/>
      <c r="AO27" s="64"/>
      <c r="AP27" s="64"/>
      <c r="AQ27" s="64"/>
      <c r="AR27" s="64"/>
      <c r="AS27" s="64"/>
      <c r="AT27" s="64"/>
      <c r="AU27" s="64"/>
      <c r="AV27" s="64"/>
      <c r="AW27" s="64"/>
      <c r="AX27" s="64"/>
      <c r="AY27" s="64"/>
      <c r="AZ27" s="64"/>
      <c r="BA27" s="64"/>
      <c r="BB27" s="64"/>
      <c r="BC27" s="64"/>
      <c r="BD27" s="64"/>
      <c r="BE27" s="64"/>
      <c r="BF27" s="64"/>
      <c r="BG27" s="64"/>
      <c r="BH27" s="64"/>
      <c r="BI27" s="64"/>
      <c r="BJ27" s="64"/>
      <c r="BK27" s="64"/>
      <c r="BL27" s="64"/>
      <c r="BM27" s="64"/>
      <c r="BN27" s="64"/>
      <c r="BO27" s="64"/>
      <c r="BP27" s="64"/>
      <c r="BQ27" s="64"/>
      <c r="BR27" s="64"/>
      <c r="BS27" s="64"/>
      <c r="BT27" s="64"/>
      <c r="BU27" s="64"/>
      <c r="BV27" s="64"/>
      <c r="BW27" s="64"/>
      <c r="BX27" s="64"/>
      <c r="BY27" s="64"/>
      <c r="BZ27" s="64"/>
      <c r="CA27" s="64"/>
      <c r="CB27" s="64"/>
      <c r="CC27" s="64"/>
      <c r="CD27" s="64"/>
      <c r="CE27" s="64"/>
      <c r="CF27" s="64"/>
      <c r="CG27" s="64"/>
      <c r="CH27" s="64"/>
      <c r="CI27" s="64"/>
      <c r="CJ27" s="64"/>
      <c r="CK27" s="64"/>
      <c r="CL27" s="64"/>
      <c r="CM27" s="64"/>
      <c r="CN27" s="64"/>
      <c r="CO27" s="64"/>
      <c r="CP27" s="64"/>
      <c r="CQ27" s="64"/>
      <c r="CR27" s="64"/>
      <c r="CS27" s="64"/>
      <c r="CT27" s="64"/>
      <c r="CU27" s="64"/>
      <c r="CV27" s="64"/>
      <c r="CW27" s="64"/>
      <c r="CX27" s="64"/>
      <c r="CY27" s="64"/>
      <c r="CZ27" s="64"/>
      <c r="DA27" s="64"/>
      <c r="DB27" s="64"/>
      <c r="DC27" s="64"/>
      <c r="DD27" s="64"/>
      <c r="DE27" s="64"/>
      <c r="DF27" s="64"/>
      <c r="DG27" s="64"/>
      <c r="DH27" s="64"/>
      <c r="DI27" s="64"/>
      <c r="DJ27" s="64"/>
      <c r="DK27" s="64"/>
      <c r="DL27" s="64"/>
      <c r="DM27" s="64"/>
      <c r="DN27" s="64"/>
      <c r="DO27" s="64"/>
      <c r="DP27" s="64"/>
      <c r="DQ27" s="64"/>
      <c r="DR27" s="64"/>
      <c r="DS27" s="64"/>
      <c r="DT27" s="64"/>
      <c r="DU27" s="64"/>
      <c r="DV27" s="64"/>
      <c r="DW27" s="64"/>
      <c r="DX27" s="64"/>
      <c r="DY27" s="64"/>
      <c r="DZ27" s="64"/>
      <c r="EA27" s="64"/>
      <c r="EB27" s="64"/>
      <c r="EC27" s="64"/>
      <c r="ED27" s="64"/>
      <c r="EE27" s="64"/>
      <c r="EF27" s="64"/>
      <c r="EG27" s="64"/>
      <c r="EH27" s="64"/>
      <c r="EI27" s="64"/>
      <c r="EJ27" s="64"/>
      <c r="EK27" s="64"/>
      <c r="EL27" s="79"/>
      <c r="EM27" s="79"/>
      <c r="EN27" s="79"/>
      <c r="EO27" s="79"/>
      <c r="EP27" s="79"/>
      <c r="EQ27" s="79"/>
      <c r="ER27" s="79"/>
      <c r="ES27" s="79"/>
      <c r="ET27" s="79"/>
      <c r="EU27" s="79"/>
      <c r="EV27" s="79"/>
      <c r="EW27" s="79"/>
      <c r="EX27" s="79"/>
      <c r="EY27" s="283"/>
      <c r="EZ27" s="283"/>
      <c r="FA27" s="79"/>
      <c r="FB27" s="79"/>
      <c r="FC27" s="79"/>
      <c r="FD27" s="79"/>
      <c r="FE27" s="79"/>
      <c r="FF27" s="79"/>
      <c r="FG27" s="79"/>
      <c r="FH27" s="79"/>
      <c r="FI27" s="79"/>
      <c r="FJ27" s="79"/>
      <c r="FK27" s="79"/>
      <c r="FL27" s="79"/>
      <c r="FM27" s="79"/>
      <c r="FN27" s="79"/>
      <c r="FO27" s="79"/>
      <c r="FP27" s="79"/>
      <c r="FQ27" s="79"/>
      <c r="FR27" s="283"/>
      <c r="FS27" s="283"/>
      <c r="FT27" s="283"/>
      <c r="FU27" s="283"/>
    </row>
    <row r="28" spans="1:177" x14ac:dyDescent="0.35">
      <c r="A28" s="79"/>
      <c r="B28" s="79"/>
      <c r="C28" s="287"/>
      <c r="D28" s="288"/>
      <c r="E28" s="64"/>
      <c r="F28" s="64"/>
      <c r="G28" s="64"/>
      <c r="H28" s="64"/>
      <c r="I28" s="64"/>
      <c r="J28" s="64"/>
      <c r="K28" s="64"/>
      <c r="L28" s="64"/>
      <c r="M28" s="64"/>
      <c r="N28" s="64"/>
      <c r="O28" s="64"/>
      <c r="P28" s="64"/>
      <c r="Q28" s="64"/>
      <c r="R28" s="64"/>
      <c r="S28" s="64"/>
      <c r="T28" s="64"/>
      <c r="U28" s="64"/>
      <c r="V28" s="64"/>
      <c r="W28" s="64"/>
      <c r="X28" s="64"/>
      <c r="Y28" s="64"/>
      <c r="Z28" s="64"/>
      <c r="AA28" s="64"/>
      <c r="AB28" s="64"/>
      <c r="AC28" s="64"/>
      <c r="AD28" s="64"/>
      <c r="AE28" s="64"/>
      <c r="AF28" s="64"/>
      <c r="AG28" s="64"/>
      <c r="AH28" s="64"/>
      <c r="AI28" s="64"/>
      <c r="AJ28" s="64"/>
      <c r="AK28" s="64"/>
      <c r="AL28" s="64"/>
      <c r="AM28" s="64"/>
      <c r="AN28" s="64"/>
      <c r="AO28" s="64"/>
      <c r="AP28" s="64"/>
      <c r="AQ28" s="64"/>
      <c r="AR28" s="64"/>
      <c r="AS28" s="64"/>
      <c r="AT28" s="64"/>
      <c r="AU28" s="64"/>
      <c r="AV28" s="64"/>
      <c r="AW28" s="64"/>
      <c r="AX28" s="64"/>
      <c r="AY28" s="64"/>
      <c r="AZ28" s="64"/>
      <c r="BA28" s="64"/>
      <c r="BB28" s="64"/>
      <c r="BC28" s="64"/>
      <c r="BD28" s="64"/>
      <c r="BE28" s="64"/>
      <c r="BF28" s="64"/>
      <c r="BG28" s="64"/>
      <c r="BH28" s="64"/>
      <c r="BI28" s="64"/>
      <c r="BJ28" s="64"/>
      <c r="BK28" s="64"/>
      <c r="BL28" s="64"/>
      <c r="BM28" s="64"/>
      <c r="BN28" s="64"/>
      <c r="BO28" s="64"/>
      <c r="BP28" s="64"/>
      <c r="BQ28" s="64"/>
      <c r="BR28" s="64"/>
      <c r="BS28" s="64"/>
      <c r="BT28" s="64"/>
      <c r="BU28" s="64"/>
      <c r="BV28" s="64"/>
      <c r="BW28" s="64"/>
      <c r="BX28" s="64"/>
      <c r="BY28" s="64"/>
      <c r="BZ28" s="64"/>
      <c r="CA28" s="64"/>
      <c r="CB28" s="64"/>
      <c r="CC28" s="64"/>
      <c r="CD28" s="64"/>
      <c r="CE28" s="64"/>
      <c r="CF28" s="64"/>
      <c r="CG28" s="64"/>
      <c r="CH28" s="64"/>
      <c r="CI28" s="64"/>
      <c r="CJ28" s="64"/>
      <c r="CK28" s="64"/>
      <c r="CL28" s="64"/>
      <c r="CM28" s="64"/>
      <c r="CN28" s="64"/>
      <c r="CO28" s="64"/>
      <c r="CP28" s="64"/>
      <c r="CQ28" s="64"/>
      <c r="CR28" s="64"/>
      <c r="CS28" s="64"/>
      <c r="CT28" s="64"/>
      <c r="CU28" s="64"/>
      <c r="CV28" s="64"/>
      <c r="CW28" s="64"/>
      <c r="CX28" s="64"/>
      <c r="CY28" s="64"/>
      <c r="CZ28" s="64"/>
      <c r="DA28" s="64"/>
      <c r="DB28" s="64"/>
      <c r="DC28" s="64"/>
      <c r="DD28" s="64"/>
      <c r="DE28" s="64"/>
      <c r="DF28" s="64"/>
      <c r="DG28" s="64"/>
      <c r="DH28" s="64"/>
      <c r="DI28" s="64"/>
      <c r="DJ28" s="64"/>
      <c r="DK28" s="64"/>
      <c r="DL28" s="64"/>
      <c r="DM28" s="64"/>
      <c r="DN28" s="64"/>
      <c r="DO28" s="64"/>
      <c r="DP28" s="64"/>
      <c r="DQ28" s="64"/>
      <c r="DR28" s="64"/>
      <c r="DS28" s="64"/>
      <c r="DT28" s="64"/>
      <c r="DU28" s="64"/>
      <c r="DV28" s="64"/>
      <c r="DW28" s="64"/>
      <c r="DX28" s="64"/>
      <c r="DY28" s="64"/>
      <c r="DZ28" s="64"/>
      <c r="EA28" s="64"/>
      <c r="EB28" s="64"/>
      <c r="EC28" s="64"/>
      <c r="ED28" s="64"/>
      <c r="EE28" s="64"/>
      <c r="EF28" s="64"/>
      <c r="EG28" s="64"/>
      <c r="EH28" s="64"/>
      <c r="EI28" s="64"/>
      <c r="EJ28" s="64"/>
      <c r="EK28" s="64"/>
      <c r="EL28" s="79"/>
      <c r="EM28" s="79"/>
      <c r="EN28" s="79"/>
      <c r="EO28" s="79"/>
      <c r="EP28" s="79"/>
      <c r="EQ28" s="79"/>
      <c r="ER28" s="79"/>
      <c r="ES28" s="79"/>
      <c r="ET28" s="79"/>
      <c r="EU28" s="79"/>
      <c r="EV28" s="79"/>
      <c r="EW28" s="79"/>
      <c r="EX28" s="79"/>
      <c r="EY28" s="283"/>
      <c r="EZ28" s="283"/>
      <c r="FA28" s="79"/>
      <c r="FB28" s="79"/>
      <c r="FC28" s="79"/>
      <c r="FD28" s="79"/>
      <c r="FE28" s="79"/>
      <c r="FF28" s="79"/>
      <c r="FG28" s="79"/>
      <c r="FH28" s="79"/>
      <c r="FI28" s="79"/>
      <c r="FJ28" s="79"/>
      <c r="FK28" s="79"/>
      <c r="FL28" s="79"/>
      <c r="FM28" s="79"/>
      <c r="FN28" s="79"/>
      <c r="FO28" s="79"/>
      <c r="FP28" s="79"/>
      <c r="FQ28" s="79"/>
      <c r="FR28" s="283"/>
      <c r="FS28" s="283"/>
      <c r="FT28" s="283"/>
      <c r="FU28" s="283"/>
    </row>
  </sheetData>
  <sortState ref="CD12:CI207">
    <sortCondition ref="CD12"/>
  </sortState>
  <dataValidations xWindow="65" yWindow="367" count="2">
    <dataValidation allowBlank="1" showInputMessage="1" showErrorMessage="1" prompt="Completar esta columna hacia abajo con números correlativos, hasta el número de planillas cargadas en este libro." sqref="A11:A28"/>
    <dataValidation allowBlank="1" showInputMessage="1" showErrorMessage="1" prompt="Copiar fórmula desde esta columna (C) hasta la columna FU y pegarla en las filas sucesivas hasta la fila que tenga valor en la columna A_x000a_" sqref="C11:C28"/>
  </dataValidations>
  <pageMargins left="0.7" right="0.7" top="0.75" bottom="0.75" header="0.3" footer="0.3"/>
  <pageSetup orientation="portrait" horizontalDpi="4294967294" r:id="rId1"/>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2:EK494"/>
  <sheetViews>
    <sheetView showGridLines="0" zoomScale="85" zoomScaleNormal="85" workbookViewId="0">
      <selection activeCell="J400" sqref="J400"/>
    </sheetView>
  </sheetViews>
  <sheetFormatPr baseColWidth="10" defaultColWidth="0" defaultRowHeight="14.5" x14ac:dyDescent="0.35"/>
  <cols>
    <col min="1" max="1" width="3.453125" style="69" customWidth="1"/>
    <col min="2" max="2" width="25.26953125" style="69" customWidth="1"/>
    <col min="3" max="3" width="11.453125" style="69" customWidth="1"/>
    <col min="4" max="4" width="13.1796875" style="69" customWidth="1"/>
    <col min="5" max="19" width="11.453125" style="69" customWidth="1"/>
    <col min="20" max="23" width="11.453125" style="69" hidden="1" customWidth="1"/>
    <col min="24" max="24" width="10.81640625" style="69" hidden="1" customWidth="1"/>
    <col min="25" max="25" width="11.453125" style="69" hidden="1" customWidth="1"/>
    <col min="26" max="34" width="0" style="69" hidden="1" customWidth="1"/>
    <col min="35" max="16384" width="11.453125" style="69" hidden="1"/>
  </cols>
  <sheetData>
    <row r="2" spans="1:141" ht="23.5" x14ac:dyDescent="0.55000000000000004">
      <c r="C2" s="282" t="s">
        <v>476</v>
      </c>
    </row>
    <row r="3" spans="1:141" ht="23.5" x14ac:dyDescent="0.55000000000000004">
      <c r="C3" s="256"/>
    </row>
    <row r="4" spans="1:141" ht="16.5" customHeight="1" x14ac:dyDescent="0.35">
      <c r="B4" s="69" t="s">
        <v>442</v>
      </c>
    </row>
    <row r="5" spans="1:141" x14ac:dyDescent="0.35">
      <c r="B5" s="69" t="s">
        <v>441</v>
      </c>
    </row>
    <row r="6" spans="1:141" x14ac:dyDescent="0.35">
      <c r="B6" s="69" t="s">
        <v>468</v>
      </c>
      <c r="H6" s="238"/>
      <c r="I6" s="194" t="s">
        <v>444</v>
      </c>
    </row>
    <row r="8" spans="1:141" ht="23.5" x14ac:dyDescent="0.55000000000000004">
      <c r="C8" s="93"/>
      <c r="K8" s="93"/>
    </row>
    <row r="9" spans="1:141" ht="21" x14ac:dyDescent="0.5">
      <c r="B9" s="180" t="s">
        <v>257</v>
      </c>
      <c r="C9" s="179"/>
      <c r="D9" s="179"/>
      <c r="E9" s="179"/>
      <c r="F9" s="179"/>
      <c r="G9" s="179"/>
      <c r="H9" s="179"/>
      <c r="I9" s="179"/>
      <c r="J9" s="179"/>
      <c r="K9" s="179"/>
      <c r="L9" s="179"/>
      <c r="M9" s="179"/>
      <c r="N9" s="179"/>
      <c r="O9" s="179"/>
      <c r="P9" s="179"/>
      <c r="Q9" s="179"/>
      <c r="R9" s="179"/>
      <c r="S9" s="179"/>
      <c r="T9" s="179"/>
      <c r="U9" s="179"/>
      <c r="V9" s="179"/>
      <c r="W9" s="179"/>
      <c r="X9" s="179"/>
    </row>
    <row r="10" spans="1:141" s="78" customFormat="1" x14ac:dyDescent="0.35">
      <c r="B10" s="82"/>
      <c r="C10" s="82"/>
      <c r="D10" s="82"/>
      <c r="E10" s="82"/>
      <c r="F10" s="82"/>
      <c r="G10" s="82"/>
      <c r="H10" s="82"/>
      <c r="I10" s="82"/>
      <c r="J10" s="82"/>
      <c r="K10" s="82"/>
      <c r="L10" s="82"/>
      <c r="M10" s="82"/>
      <c r="N10" s="82"/>
      <c r="O10" s="82"/>
      <c r="P10" s="82"/>
      <c r="Q10" s="82"/>
      <c r="R10" s="82"/>
      <c r="S10" s="82"/>
      <c r="T10" s="82"/>
      <c r="U10" s="82"/>
      <c r="V10" s="82"/>
      <c r="W10" s="82"/>
      <c r="X10" s="82"/>
      <c r="BT10" s="272"/>
      <c r="BU10" s="272"/>
      <c r="BV10" s="272"/>
      <c r="BW10" s="272"/>
      <c r="BX10" s="272"/>
      <c r="BY10" s="272"/>
      <c r="BZ10" s="272"/>
      <c r="CA10" s="272"/>
      <c r="CB10" s="272"/>
      <c r="CC10" s="272"/>
      <c r="CD10" s="274"/>
      <c r="CE10" s="274"/>
      <c r="CF10" s="274"/>
      <c r="CG10" s="274"/>
      <c r="CH10" s="274"/>
      <c r="CI10" s="274"/>
      <c r="CJ10" s="274"/>
      <c r="CK10" s="274"/>
      <c r="CL10" s="274"/>
      <c r="CM10" s="274"/>
      <c r="DN10" s="275"/>
      <c r="DO10" s="275"/>
      <c r="DP10" s="275"/>
      <c r="DQ10" s="275"/>
      <c r="DR10" s="275"/>
      <c r="DS10" s="275"/>
      <c r="DT10" s="275"/>
      <c r="DU10" s="275"/>
      <c r="DV10" s="275"/>
      <c r="DW10" s="275"/>
      <c r="DX10" s="275"/>
      <c r="DY10" s="275"/>
      <c r="DZ10" s="275"/>
      <c r="EA10" s="275"/>
      <c r="EB10" s="275"/>
      <c r="EC10" s="275"/>
      <c r="ED10" s="275"/>
      <c r="EE10" s="275"/>
      <c r="EF10" s="275"/>
      <c r="EG10" s="275"/>
      <c r="EH10" s="275"/>
      <c r="EI10" s="275"/>
      <c r="EJ10" s="275"/>
      <c r="EK10" s="275"/>
    </row>
    <row r="11" spans="1:141" ht="15.5" x14ac:dyDescent="0.35">
      <c r="B11" s="184" t="s">
        <v>251</v>
      </c>
      <c r="G11" s="184" t="s">
        <v>255</v>
      </c>
    </row>
    <row r="12" spans="1:141" x14ac:dyDescent="0.35">
      <c r="C12" s="71"/>
      <c r="G12" s="69" t="s">
        <v>256</v>
      </c>
      <c r="J12" s="77"/>
    </row>
    <row r="13" spans="1:141" x14ac:dyDescent="0.35">
      <c r="A13" s="133" t="str">
        <f ca="1">+HLOOKUP($B$13,Consolidado!$B$8:$DW$9,2,FALSE)</f>
        <v>Consolidado!I11:I25</v>
      </c>
      <c r="B13" s="260" t="s">
        <v>8</v>
      </c>
      <c r="C13" s="257"/>
      <c r="D13" s="169" t="s">
        <v>250</v>
      </c>
      <c r="E13" s="92" t="s">
        <v>252</v>
      </c>
    </row>
    <row r="14" spans="1:141" x14ac:dyDescent="0.35">
      <c r="B14" s="87"/>
      <c r="C14" s="258" t="s">
        <v>167</v>
      </c>
      <c r="D14" s="83">
        <f ca="1">+COUNTIF(INDIRECT($A$13),Gráficos!$C14)</f>
        <v>0</v>
      </c>
      <c r="E14" s="85" t="e">
        <f ca="1">+D14/SUM($D$14:$D$22)</f>
        <v>#DIV/0!</v>
      </c>
      <c r="I14" s="77" t="s">
        <v>166</v>
      </c>
      <c r="J14" s="79" t="s">
        <v>167</v>
      </c>
      <c r="K14" s="79" t="s">
        <v>168</v>
      </c>
      <c r="L14" s="79" t="s">
        <v>172</v>
      </c>
      <c r="M14" s="79" t="s">
        <v>195</v>
      </c>
      <c r="N14" s="79" t="s">
        <v>196</v>
      </c>
      <c r="O14" s="79" t="s">
        <v>12</v>
      </c>
      <c r="P14" s="79" t="s">
        <v>171</v>
      </c>
      <c r="Q14" s="79" t="s">
        <v>170</v>
      </c>
      <c r="R14" s="79" t="s">
        <v>9</v>
      </c>
      <c r="S14" s="71"/>
      <c r="DN14" s="72">
        <v>4490</v>
      </c>
      <c r="DO14" s="69">
        <v>336</v>
      </c>
      <c r="DP14" s="69">
        <v>448</v>
      </c>
      <c r="DQ14" s="69">
        <v>93</v>
      </c>
      <c r="DR14" s="72">
        <v>521745</v>
      </c>
      <c r="DS14" s="72">
        <v>3652215</v>
      </c>
      <c r="DT14" s="73">
        <v>1.20430108</v>
      </c>
      <c r="DU14" s="73">
        <f t="shared" ref="DU14:DU76" si="0">+IFERROR(DP14-DO14,"")</f>
        <v>112</v>
      </c>
      <c r="DW14" s="172">
        <v>0.2857142857142857</v>
      </c>
      <c r="DX14" s="61">
        <v>0.73</v>
      </c>
      <c r="DY14" s="61">
        <v>0.03</v>
      </c>
      <c r="DZ14" s="61">
        <v>0.16</v>
      </c>
      <c r="EA14" s="61">
        <v>0</v>
      </c>
      <c r="EB14" s="61">
        <v>0.08</v>
      </c>
      <c r="EC14" s="61">
        <v>0.76</v>
      </c>
      <c r="ED14" s="61">
        <v>0</v>
      </c>
      <c r="EE14" s="61">
        <v>0.24</v>
      </c>
      <c r="EF14" s="61">
        <v>0</v>
      </c>
      <c r="EG14" s="61">
        <v>0</v>
      </c>
      <c r="EH14" s="61">
        <v>0.08</v>
      </c>
      <c r="EI14" s="61">
        <v>0.76</v>
      </c>
    </row>
    <row r="15" spans="1:141" x14ac:dyDescent="0.35">
      <c r="B15" s="87"/>
      <c r="C15" s="258" t="s">
        <v>168</v>
      </c>
      <c r="D15" s="83">
        <f ca="1">+COUNTIF(INDIRECT($A$13),Gráficos!$C15)</f>
        <v>0</v>
      </c>
      <c r="E15" s="85" t="e">
        <f t="shared" ref="E15:E22" ca="1" si="1">+D15/SUM($D$14:$D$22)</f>
        <v>#DIV/0!</v>
      </c>
      <c r="G15" s="86"/>
      <c r="H15" s="86"/>
      <c r="I15" s="107" t="s">
        <v>254</v>
      </c>
      <c r="J15" s="102">
        <f ca="1">IFERROR(COUNTIF(INDIRECT($A$13),Gráficos!J$14),"")</f>
        <v>0</v>
      </c>
      <c r="K15" s="102">
        <f ca="1">IFERROR(COUNTIF(INDIRECT($A$13),Gráficos!K$14),"")</f>
        <v>0</v>
      </c>
      <c r="L15" s="102">
        <f ca="1">IFERROR(COUNTIF(INDIRECT($A$13),Gráficos!L$14),"")</f>
        <v>0</v>
      </c>
      <c r="M15" s="102">
        <f ca="1">IFERROR(COUNTIF(INDIRECT($A$13),Gráficos!M$14),"")</f>
        <v>0</v>
      </c>
      <c r="N15" s="102">
        <f ca="1">IFERROR(COUNTIF(INDIRECT($A$13),Gráficos!N$14),"")</f>
        <v>0</v>
      </c>
      <c r="O15" s="102">
        <f ca="1">IFERROR(COUNTIF(INDIRECT($A$13),Gráficos!O$14),"")</f>
        <v>0</v>
      </c>
      <c r="P15" s="102">
        <f ca="1">IFERROR(COUNTIF(INDIRECT($A$13),Gráficos!P$14),"")</f>
        <v>0</v>
      </c>
      <c r="Q15" s="102">
        <f ca="1">IFERROR(COUNTIF(INDIRECT($A$13),Gráficos!Q$14),"")</f>
        <v>0</v>
      </c>
      <c r="R15" s="102">
        <f ca="1">IFERROR(COUNTIF(INDIRECT($A$13),Gráficos!R$14),"")</f>
        <v>0</v>
      </c>
      <c r="S15" s="71"/>
      <c r="DT15" s="73"/>
      <c r="DU15" s="73"/>
      <c r="DW15" s="172" t="s">
        <v>259</v>
      </c>
      <c r="DX15" s="61">
        <v>0</v>
      </c>
      <c r="DY15" s="61">
        <v>0</v>
      </c>
      <c r="DZ15" s="61">
        <v>0</v>
      </c>
      <c r="EA15" s="61">
        <v>0</v>
      </c>
      <c r="EB15" s="61">
        <v>0</v>
      </c>
      <c r="EC15" s="61">
        <v>0</v>
      </c>
      <c r="ED15" s="61">
        <v>0</v>
      </c>
      <c r="EE15" s="61">
        <v>0</v>
      </c>
      <c r="EF15" s="61">
        <v>0</v>
      </c>
      <c r="EG15" s="61">
        <v>0</v>
      </c>
      <c r="EH15" s="61">
        <v>0</v>
      </c>
      <c r="EI15" s="61">
        <v>0</v>
      </c>
    </row>
    <row r="16" spans="1:141" x14ac:dyDescent="0.35">
      <c r="B16" s="87"/>
      <c r="C16" s="258" t="s">
        <v>172</v>
      </c>
      <c r="D16" s="83">
        <f ca="1">+COUNTIF(INDIRECT($A$13),Gráficos!$C16)</f>
        <v>0</v>
      </c>
      <c r="E16" s="85" t="e">
        <f t="shared" ca="1" si="1"/>
        <v>#DIV/0!</v>
      </c>
      <c r="G16" s="316"/>
      <c r="H16" s="316"/>
      <c r="I16" s="317" t="s">
        <v>582</v>
      </c>
      <c r="J16" s="316"/>
      <c r="K16" s="316"/>
      <c r="L16" s="316"/>
      <c r="M16" s="316"/>
      <c r="N16" s="316"/>
      <c r="O16" s="316"/>
      <c r="P16" s="316"/>
      <c r="Q16" s="316"/>
      <c r="R16" s="316"/>
      <c r="DT16" s="73"/>
      <c r="DU16" s="73"/>
      <c r="DW16" s="172" t="s">
        <v>259</v>
      </c>
      <c r="DX16" s="61">
        <v>0</v>
      </c>
      <c r="DY16" s="61">
        <v>0</v>
      </c>
      <c r="DZ16" s="61">
        <v>0</v>
      </c>
      <c r="EA16" s="61">
        <v>0</v>
      </c>
      <c r="EB16" s="61">
        <v>0</v>
      </c>
      <c r="EC16" s="61">
        <v>0</v>
      </c>
      <c r="ED16" s="61">
        <v>0</v>
      </c>
      <c r="EE16" s="61">
        <v>0</v>
      </c>
      <c r="EF16" s="61">
        <v>0</v>
      </c>
      <c r="EG16" s="61">
        <v>0</v>
      </c>
      <c r="EH16" s="61">
        <v>0</v>
      </c>
      <c r="EI16" s="61">
        <v>0</v>
      </c>
    </row>
    <row r="17" spans="2:139" x14ac:dyDescent="0.35">
      <c r="B17" s="87"/>
      <c r="C17" s="258" t="s">
        <v>195</v>
      </c>
      <c r="D17" s="83">
        <f ca="1">+COUNTIF(INDIRECT($A$13),Gráficos!$C17)</f>
        <v>0</v>
      </c>
      <c r="E17" s="85" t="e">
        <f t="shared" ca="1" si="1"/>
        <v>#DIV/0!</v>
      </c>
      <c r="G17" s="96"/>
      <c r="I17" s="77" t="s">
        <v>31</v>
      </c>
      <c r="J17" s="103" t="str">
        <f ca="1">IFERROR(AVERAGEIF(INDIRECT($A$13),Gráficos!J$14,INDIRECT($S17)),"")</f>
        <v/>
      </c>
      <c r="K17" s="103" t="str">
        <f ca="1">IFERROR(AVERAGEIF(INDIRECT($A$13),Gráficos!K$14,INDIRECT($S17)),"")</f>
        <v/>
      </c>
      <c r="L17" s="103" t="str">
        <f ca="1">IFERROR(AVERAGEIF(INDIRECT($A$13),Gráficos!L$14,INDIRECT($S17)),"")</f>
        <v/>
      </c>
      <c r="M17" s="103" t="str">
        <f ca="1">IFERROR(AVERAGEIF(INDIRECT($A$13),Gráficos!M$14,INDIRECT($S17)),"")</f>
        <v/>
      </c>
      <c r="N17" s="103" t="str">
        <f ca="1">IFERROR(AVERAGEIF(INDIRECT($A$13),Gráficos!N$14,INDIRECT($S17)),"")</f>
        <v/>
      </c>
      <c r="O17" s="103" t="str">
        <f ca="1">IFERROR(AVERAGEIF(INDIRECT($A$13),Gráficos!O$14,INDIRECT($S17)),"")</f>
        <v/>
      </c>
      <c r="P17" s="103" t="str">
        <f ca="1">IFERROR(AVERAGEIF(INDIRECT($A$13),Gráficos!P$14,INDIRECT($S17)),"")</f>
        <v/>
      </c>
      <c r="Q17" s="103" t="str">
        <f ca="1">IFERROR(AVERAGEIF(INDIRECT($A$13),Gráficos!Q$14,INDIRECT($S17)),"")</f>
        <v/>
      </c>
      <c r="R17" s="103" t="str">
        <f ca="1">IFERROR(AVERAGEIF(INDIRECT($A$13),Gráficos!R$14,INDIRECT($S17)),"")</f>
        <v/>
      </c>
      <c r="S17" s="133" t="str">
        <f ca="1">+HLOOKUP($I17,Consolidado!$B$8:$DW$9,2,FALSE)</f>
        <v>Consolidado!AD11:AD25</v>
      </c>
      <c r="DT17" s="73"/>
      <c r="DU17" s="73"/>
      <c r="DW17" s="172" t="s">
        <v>259</v>
      </c>
      <c r="DX17" s="61">
        <v>0</v>
      </c>
      <c r="DY17" s="61">
        <v>0</v>
      </c>
      <c r="DZ17" s="61">
        <v>0</v>
      </c>
      <c r="EA17" s="61">
        <v>0</v>
      </c>
      <c r="EB17" s="61">
        <v>0</v>
      </c>
      <c r="EC17" s="61">
        <v>0</v>
      </c>
      <c r="ED17" s="61">
        <v>0</v>
      </c>
      <c r="EE17" s="61">
        <v>0</v>
      </c>
      <c r="EF17" s="61">
        <v>0</v>
      </c>
      <c r="EG17" s="61">
        <v>0</v>
      </c>
      <c r="EH17" s="61">
        <v>0</v>
      </c>
      <c r="EI17" s="61">
        <v>0</v>
      </c>
    </row>
    <row r="18" spans="2:139" x14ac:dyDescent="0.35">
      <c r="B18" s="87"/>
      <c r="C18" s="258" t="s">
        <v>196</v>
      </c>
      <c r="D18" s="83">
        <f ca="1">+COUNTIF(INDIRECT($A$13),Gráficos!$C18)</f>
        <v>0</v>
      </c>
      <c r="E18" s="85" t="e">
        <f t="shared" ca="1" si="1"/>
        <v>#DIV/0!</v>
      </c>
      <c r="G18" s="101"/>
      <c r="H18" s="76"/>
      <c r="I18" s="90" t="s">
        <v>580</v>
      </c>
      <c r="J18" s="315" t="str">
        <f ca="1">IFERROR(AVERAGEIF(INDIRECT($A$13),Gráficos!J$14,INDIRECT($S18)),"")</f>
        <v/>
      </c>
      <c r="K18" s="315" t="str">
        <f ca="1">IFERROR(AVERAGEIF(INDIRECT($A$13),Gráficos!K$14,INDIRECT($S18)),"")</f>
        <v/>
      </c>
      <c r="L18" s="315" t="str">
        <f ca="1">IFERROR(AVERAGEIF(INDIRECT($A$13),Gráficos!L$14,INDIRECT($S18)),"")</f>
        <v/>
      </c>
      <c r="M18" s="315" t="str">
        <f ca="1">IFERROR(AVERAGEIF(INDIRECT($A$13),Gráficos!M$14,INDIRECT($S18)),"")</f>
        <v/>
      </c>
      <c r="N18" s="315" t="str">
        <f ca="1">IFERROR(AVERAGEIF(INDIRECT($A$13),Gráficos!N$14,INDIRECT($S18)),"")</f>
        <v/>
      </c>
      <c r="O18" s="315" t="str">
        <f ca="1">IFERROR(AVERAGEIF(INDIRECT($A$13),Gráficos!O$14,INDIRECT($S18)),"")</f>
        <v/>
      </c>
      <c r="P18" s="315" t="str">
        <f ca="1">IFERROR(AVERAGEIF(INDIRECT($A$13),Gráficos!P$14,INDIRECT($S18)),"")</f>
        <v/>
      </c>
      <c r="Q18" s="315" t="str">
        <f ca="1">IFERROR(AVERAGEIF(INDIRECT($A$13),Gráficos!Q$14,INDIRECT($S18)),"")</f>
        <v/>
      </c>
      <c r="R18" s="315" t="str">
        <f ca="1">IFERROR(AVERAGEIF(INDIRECT($A$13),Gráficos!R$14,INDIRECT($S18)),"")</f>
        <v/>
      </c>
      <c r="S18" s="133" t="str">
        <f ca="1">+HLOOKUP($I18,Consolidado!$B$8:$FX$9,2,FALSE)</f>
        <v>Consolidado!FC11:FC25</v>
      </c>
      <c r="DT18" s="73"/>
      <c r="DU18" s="73"/>
      <c r="DW18" s="172" t="s">
        <v>259</v>
      </c>
      <c r="DX18" s="61">
        <v>0</v>
      </c>
      <c r="DY18" s="61">
        <v>0</v>
      </c>
      <c r="DZ18" s="61">
        <v>0</v>
      </c>
      <c r="EA18" s="61">
        <v>0</v>
      </c>
      <c r="EB18" s="61">
        <v>0</v>
      </c>
      <c r="EC18" s="61">
        <v>0</v>
      </c>
      <c r="ED18" s="61">
        <v>0</v>
      </c>
      <c r="EE18" s="61">
        <v>0</v>
      </c>
      <c r="EF18" s="61">
        <v>0</v>
      </c>
      <c r="EG18" s="61">
        <v>0</v>
      </c>
      <c r="EH18" s="61">
        <v>0</v>
      </c>
      <c r="EI18" s="61">
        <v>0</v>
      </c>
    </row>
    <row r="19" spans="2:139" x14ac:dyDescent="0.35">
      <c r="B19" s="87"/>
      <c r="C19" s="258" t="s">
        <v>12</v>
      </c>
      <c r="D19" s="83">
        <f ca="1">+COUNTIF(INDIRECT($A$13),Gráficos!$C19)</f>
        <v>0</v>
      </c>
      <c r="E19" s="85" t="e">
        <f t="shared" ca="1" si="1"/>
        <v>#DIV/0!</v>
      </c>
      <c r="G19" s="316"/>
      <c r="H19" s="316"/>
      <c r="I19" s="317" t="s">
        <v>583</v>
      </c>
      <c r="J19" s="316"/>
      <c r="K19" s="316"/>
      <c r="L19" s="316"/>
      <c r="M19" s="316"/>
      <c r="N19" s="316"/>
      <c r="O19" s="316"/>
      <c r="P19" s="316"/>
      <c r="Q19" s="316"/>
      <c r="R19" s="316"/>
      <c r="S19" s="95"/>
      <c r="DN19" s="69">
        <v>233</v>
      </c>
      <c r="DO19" s="69">
        <v>178</v>
      </c>
      <c r="DP19" s="69">
        <v>305</v>
      </c>
      <c r="DQ19" s="69">
        <v>135</v>
      </c>
      <c r="DR19" s="69">
        <v>29179.439999999999</v>
      </c>
      <c r="DS19" s="69">
        <v>191202</v>
      </c>
      <c r="DT19" s="73">
        <v>0.94799999999999995</v>
      </c>
      <c r="DU19" s="73">
        <f t="shared" si="0"/>
        <v>127</v>
      </c>
      <c r="DW19" s="172">
        <v>0.52587991718426497</v>
      </c>
      <c r="DX19" s="61">
        <v>0.9</v>
      </c>
      <c r="DY19" s="61">
        <v>0.1</v>
      </c>
      <c r="DZ19" s="61">
        <v>0</v>
      </c>
      <c r="EA19" s="61">
        <v>0</v>
      </c>
      <c r="EB19" s="61">
        <v>0</v>
      </c>
      <c r="EC19" s="61">
        <v>1</v>
      </c>
      <c r="ED19" s="61">
        <v>0</v>
      </c>
      <c r="EE19" s="61">
        <v>0</v>
      </c>
      <c r="EF19" s="61">
        <v>0</v>
      </c>
      <c r="EG19" s="61">
        <v>0</v>
      </c>
      <c r="EH19" s="61">
        <v>0</v>
      </c>
      <c r="EI19" s="61">
        <v>1</v>
      </c>
    </row>
    <row r="20" spans="2:139" x14ac:dyDescent="0.35">
      <c r="B20" s="87"/>
      <c r="C20" s="258" t="s">
        <v>171</v>
      </c>
      <c r="D20" s="83">
        <f ca="1">+COUNTIF(INDIRECT($A$13),Gráficos!$C20)</f>
        <v>0</v>
      </c>
      <c r="E20" s="85" t="e">
        <f t="shared" ca="1" si="1"/>
        <v>#DIV/0!</v>
      </c>
      <c r="G20" s="99"/>
      <c r="H20" s="71"/>
      <c r="I20" s="77" t="s">
        <v>31</v>
      </c>
      <c r="J20" s="104">
        <f ca="1">IFERROR(SUMIF(INDIRECT($A$13),Gráficos!J$14,INDIRECT($S17)),"")</f>
        <v>0</v>
      </c>
      <c r="K20" s="104">
        <f ca="1">IFERROR(SUMIF(INDIRECT($A$13),Gráficos!K$14,INDIRECT($S17)),"")</f>
        <v>0</v>
      </c>
      <c r="L20" s="104">
        <f ca="1">IFERROR(SUMIF(INDIRECT($A$13),Gráficos!L$14,INDIRECT($S17)),"")</f>
        <v>0</v>
      </c>
      <c r="M20" s="104">
        <f ca="1">IFERROR(SUMIF(INDIRECT($A$13),Gráficos!M$14,INDIRECT($S17)),"")</f>
        <v>0</v>
      </c>
      <c r="N20" s="104">
        <f ca="1">IFERROR(SUMIF(INDIRECT($A$13),Gráficos!N$14,INDIRECT($S17)),"")</f>
        <v>0</v>
      </c>
      <c r="O20" s="104">
        <f ca="1">IFERROR(SUMIF(INDIRECT($A$13),Gráficos!O$14,INDIRECT($S17)),"")</f>
        <v>0</v>
      </c>
      <c r="P20" s="104">
        <f ca="1">IFERROR(SUMIF(INDIRECT($A$13),Gráficos!P$14,INDIRECT($S17)),"")</f>
        <v>0</v>
      </c>
      <c r="Q20" s="104">
        <f ca="1">IFERROR(SUMIF(INDIRECT($A$13),Gráficos!Q$14,INDIRECT($S17)),"")</f>
        <v>0</v>
      </c>
      <c r="R20" s="104">
        <f ca="1">IFERROR(SUMIF(INDIRECT($A$13),Gráficos!R$14,INDIRECT($S17)),"")</f>
        <v>0</v>
      </c>
      <c r="S20" s="133"/>
      <c r="DT20" s="73"/>
      <c r="DU20" s="73"/>
      <c r="DW20" s="172" t="s">
        <v>259</v>
      </c>
      <c r="DX20" s="61">
        <v>0</v>
      </c>
      <c r="DY20" s="61">
        <v>0</v>
      </c>
      <c r="DZ20" s="61">
        <v>0</v>
      </c>
      <c r="EA20" s="61">
        <v>0</v>
      </c>
      <c r="EB20" s="61">
        <v>0</v>
      </c>
      <c r="EC20" s="61">
        <v>0</v>
      </c>
      <c r="ED20" s="61">
        <v>0</v>
      </c>
      <c r="EE20" s="61">
        <v>0</v>
      </c>
      <c r="EF20" s="61">
        <v>0</v>
      </c>
      <c r="EG20" s="61">
        <v>0</v>
      </c>
      <c r="EH20" s="61">
        <v>0</v>
      </c>
      <c r="EI20" s="61">
        <v>0</v>
      </c>
    </row>
    <row r="21" spans="2:139" x14ac:dyDescent="0.35">
      <c r="B21" s="87"/>
      <c r="C21" s="258" t="s">
        <v>170</v>
      </c>
      <c r="D21" s="83">
        <f ca="1">+COUNTIF(INDIRECT($A$13),Gráficos!$C21)</f>
        <v>0</v>
      </c>
      <c r="E21" s="85" t="e">
        <f t="shared" ca="1" si="1"/>
        <v>#DIV/0!</v>
      </c>
      <c r="G21" s="99"/>
      <c r="H21" s="71"/>
      <c r="I21" s="88" t="s">
        <v>584</v>
      </c>
      <c r="J21" s="215">
        <f ca="1">IFERROR(SUMIF(INDIRECT($A$13),Gráficos!J$14,INDIRECT($S18)),"")</f>
        <v>0</v>
      </c>
      <c r="K21" s="215">
        <f ca="1">IFERROR(SUMIF(INDIRECT($A$13),Gráficos!K$14,INDIRECT($S18)),"")</f>
        <v>0</v>
      </c>
      <c r="L21" s="215">
        <f ca="1">IFERROR(SUMIF(INDIRECT($A$13),Gráficos!L$14,INDIRECT($S18)),"")</f>
        <v>0</v>
      </c>
      <c r="M21" s="215">
        <f ca="1">IFERROR(SUMIF(INDIRECT($A$13),Gráficos!M$14,INDIRECT($S18)),"")</f>
        <v>0</v>
      </c>
      <c r="N21" s="215">
        <f ca="1">IFERROR(SUMIF(INDIRECT($A$13),Gráficos!N$14,INDIRECT($S18)),"")</f>
        <v>0</v>
      </c>
      <c r="O21" s="215">
        <f ca="1">IFERROR(SUMIF(INDIRECT($A$13),Gráficos!O$14,INDIRECT($S18)),"")</f>
        <v>0</v>
      </c>
      <c r="P21" s="215">
        <f ca="1">IFERROR(SUMIF(INDIRECT($A$13),Gráficos!P$14,INDIRECT($S18)),"")</f>
        <v>0</v>
      </c>
      <c r="Q21" s="215">
        <f ca="1">IFERROR(SUMIF(INDIRECT($A$13),Gráficos!Q$14,INDIRECT($S18)),"")</f>
        <v>0</v>
      </c>
      <c r="R21" s="215">
        <f ca="1">IFERROR(SUMIF(INDIRECT($A$13),Gráficos!R$14,INDIRECT($S18)),"")</f>
        <v>0</v>
      </c>
      <c r="S21" s="95"/>
    </row>
    <row r="22" spans="2:139" x14ac:dyDescent="0.35">
      <c r="B22" s="89"/>
      <c r="C22" s="259" t="s">
        <v>9</v>
      </c>
      <c r="D22" s="84">
        <f ca="1">+COUNTIF(INDIRECT($A$13),Gráficos!$C22)</f>
        <v>0</v>
      </c>
      <c r="E22" s="91" t="e">
        <f t="shared" ca="1" si="1"/>
        <v>#DIV/0!</v>
      </c>
      <c r="G22" s="101"/>
      <c r="H22" s="76"/>
      <c r="I22" s="90" t="s">
        <v>581</v>
      </c>
      <c r="J22" s="314">
        <f ca="1">+J20-J21</f>
        <v>0</v>
      </c>
      <c r="K22" s="314">
        <f t="shared" ref="K22:R22" ca="1" si="2">+K20-K21</f>
        <v>0</v>
      </c>
      <c r="L22" s="314">
        <f t="shared" ca="1" si="2"/>
        <v>0</v>
      </c>
      <c r="M22" s="314">
        <f t="shared" ca="1" si="2"/>
        <v>0</v>
      </c>
      <c r="N22" s="314">
        <f t="shared" ca="1" si="2"/>
        <v>0</v>
      </c>
      <c r="O22" s="314">
        <f t="shared" ca="1" si="2"/>
        <v>0</v>
      </c>
      <c r="P22" s="314">
        <f t="shared" ca="1" si="2"/>
        <v>0</v>
      </c>
      <c r="Q22" s="314">
        <f t="shared" ca="1" si="2"/>
        <v>0</v>
      </c>
      <c r="R22" s="314">
        <f t="shared" ca="1" si="2"/>
        <v>0</v>
      </c>
      <c r="DT22" s="73"/>
      <c r="DU22" s="73"/>
      <c r="DW22" s="172" t="s">
        <v>259</v>
      </c>
      <c r="DX22" s="61">
        <v>0</v>
      </c>
      <c r="DY22" s="61">
        <v>0</v>
      </c>
      <c r="DZ22" s="61">
        <v>0</v>
      </c>
      <c r="EA22" s="61">
        <v>0</v>
      </c>
      <c r="EB22" s="61">
        <v>0</v>
      </c>
      <c r="EC22" s="61">
        <v>0</v>
      </c>
      <c r="ED22" s="61">
        <v>0</v>
      </c>
      <c r="EE22" s="61">
        <v>0</v>
      </c>
      <c r="EF22" s="61">
        <v>0</v>
      </c>
      <c r="EG22" s="61">
        <v>0</v>
      </c>
      <c r="EH22" s="61">
        <v>0</v>
      </c>
      <c r="EI22" s="61">
        <v>0</v>
      </c>
    </row>
    <row r="23" spans="2:139" x14ac:dyDescent="0.35">
      <c r="B23" s="71"/>
      <c r="C23" s="71"/>
      <c r="D23" s="71"/>
      <c r="E23" s="71"/>
      <c r="J23" s="77"/>
      <c r="K23" s="95"/>
      <c r="DT23" s="73"/>
      <c r="DU23" s="73"/>
      <c r="DW23" s="172" t="s">
        <v>259</v>
      </c>
      <c r="DX23" s="61">
        <v>0</v>
      </c>
      <c r="DY23" s="61">
        <v>0</v>
      </c>
      <c r="DZ23" s="61">
        <v>0</v>
      </c>
      <c r="EA23" s="61">
        <v>0</v>
      </c>
      <c r="EB23" s="61">
        <v>0</v>
      </c>
      <c r="EC23" s="61">
        <v>0</v>
      </c>
      <c r="ED23" s="61">
        <v>0</v>
      </c>
      <c r="EE23" s="61">
        <v>0</v>
      </c>
      <c r="EF23" s="61">
        <v>0</v>
      </c>
      <c r="EG23" s="61">
        <v>0</v>
      </c>
      <c r="EH23" s="61">
        <v>0</v>
      </c>
      <c r="EI23" s="61">
        <v>0</v>
      </c>
    </row>
    <row r="24" spans="2:139" x14ac:dyDescent="0.35">
      <c r="B24" s="181"/>
      <c r="C24" s="182"/>
      <c r="D24" s="183" t="s">
        <v>253</v>
      </c>
      <c r="E24" s="94">
        <f ca="1">+SUM($D$14:$D$22)</f>
        <v>0</v>
      </c>
      <c r="G24" s="71"/>
      <c r="H24" s="71"/>
      <c r="I24" s="71"/>
      <c r="DN24" s="69">
        <v>389</v>
      </c>
      <c r="DO24" s="69">
        <v>240</v>
      </c>
      <c r="DP24" s="69">
        <v>317</v>
      </c>
      <c r="DQ24" s="69">
        <v>80</v>
      </c>
      <c r="DR24" s="69">
        <v>26628</v>
      </c>
      <c r="DS24" s="69">
        <v>200877</v>
      </c>
      <c r="DT24" s="73">
        <v>0.96250000000000002</v>
      </c>
      <c r="DU24" s="73">
        <f t="shared" si="0"/>
        <v>77</v>
      </c>
      <c r="DW24" s="172">
        <v>0.27648114901256732</v>
      </c>
      <c r="DX24" s="61">
        <v>0.9</v>
      </c>
      <c r="DY24" s="61">
        <v>0.1</v>
      </c>
      <c r="DZ24" s="61">
        <v>0</v>
      </c>
      <c r="EA24" s="61">
        <v>0</v>
      </c>
      <c r="EB24" s="61">
        <v>0</v>
      </c>
      <c r="EC24" s="61">
        <v>1</v>
      </c>
      <c r="ED24" s="61">
        <v>0</v>
      </c>
      <c r="EE24" s="61">
        <v>0</v>
      </c>
      <c r="EF24" s="61">
        <v>0</v>
      </c>
      <c r="EG24" s="61">
        <v>0</v>
      </c>
      <c r="EH24" s="61">
        <v>0</v>
      </c>
      <c r="EI24" s="61">
        <v>1</v>
      </c>
    </row>
    <row r="25" spans="2:139" x14ac:dyDescent="0.35">
      <c r="B25" s="187"/>
      <c r="C25" s="187"/>
      <c r="D25" s="188"/>
      <c r="E25" s="189"/>
      <c r="G25" s="71"/>
      <c r="H25" s="71"/>
      <c r="I25" s="71"/>
      <c r="DT25" s="73"/>
      <c r="DU25" s="73"/>
      <c r="DW25" s="172" t="s">
        <v>259</v>
      </c>
      <c r="DX25" s="61"/>
      <c r="DY25" s="61"/>
      <c r="DZ25" s="61">
        <v>0</v>
      </c>
      <c r="EA25" s="61">
        <v>0</v>
      </c>
      <c r="EB25" s="61">
        <v>0</v>
      </c>
      <c r="EC25" s="61"/>
      <c r="ED25" s="61">
        <v>0</v>
      </c>
      <c r="EE25" s="61">
        <v>0</v>
      </c>
      <c r="EF25" s="61">
        <v>0</v>
      </c>
      <c r="EG25" s="61">
        <v>0</v>
      </c>
      <c r="EH25" s="61">
        <v>0</v>
      </c>
      <c r="EI25" s="61"/>
    </row>
    <row r="26" spans="2:139" x14ac:dyDescent="0.35">
      <c r="B26" s="71"/>
      <c r="H26" s="4"/>
      <c r="P26" s="4"/>
      <c r="DT26" s="73"/>
      <c r="DU26" s="73"/>
      <c r="DW26" s="172" t="s">
        <v>259</v>
      </c>
      <c r="DX26" s="61"/>
      <c r="DY26" s="61"/>
      <c r="DZ26" s="61">
        <v>0</v>
      </c>
      <c r="EA26" s="61">
        <v>0</v>
      </c>
      <c r="EB26" s="61">
        <v>0</v>
      </c>
      <c r="EC26" s="61"/>
      <c r="ED26" s="61">
        <v>0</v>
      </c>
      <c r="EE26" s="61">
        <v>0</v>
      </c>
      <c r="EF26" s="61">
        <v>0</v>
      </c>
      <c r="EG26" s="61">
        <v>0</v>
      </c>
      <c r="EH26" s="61">
        <v>0</v>
      </c>
      <c r="EI26" s="61"/>
    </row>
    <row r="27" spans="2:139" x14ac:dyDescent="0.35">
      <c r="C27" s="71"/>
      <c r="D27" s="71"/>
      <c r="E27" s="71"/>
      <c r="DT27" s="73"/>
      <c r="DU27" s="73"/>
      <c r="DW27" s="172" t="s">
        <v>259</v>
      </c>
      <c r="DX27" s="61">
        <v>0</v>
      </c>
      <c r="DY27" s="61">
        <v>0</v>
      </c>
      <c r="DZ27" s="61">
        <v>0</v>
      </c>
      <c r="EA27" s="61">
        <v>0</v>
      </c>
      <c r="EB27" s="61">
        <v>0</v>
      </c>
      <c r="EC27" s="61">
        <v>0</v>
      </c>
      <c r="ED27" s="61">
        <v>0</v>
      </c>
      <c r="EE27" s="61">
        <v>0</v>
      </c>
      <c r="EF27" s="61">
        <v>0</v>
      </c>
      <c r="EG27" s="61">
        <v>0</v>
      </c>
      <c r="EH27" s="61">
        <v>0</v>
      </c>
      <c r="EI27" s="61">
        <v>0</v>
      </c>
    </row>
    <row r="28" spans="2:139" x14ac:dyDescent="0.35">
      <c r="DT28" s="73"/>
      <c r="DU28" s="73"/>
      <c r="DW28" s="172" t="s">
        <v>259</v>
      </c>
      <c r="DX28" s="61">
        <v>0</v>
      </c>
      <c r="DY28" s="61">
        <v>0</v>
      </c>
      <c r="DZ28" s="61">
        <v>0</v>
      </c>
      <c r="EA28" s="61">
        <v>0</v>
      </c>
      <c r="EB28" s="61">
        <v>0</v>
      </c>
      <c r="EC28" s="61">
        <v>0</v>
      </c>
      <c r="ED28" s="61">
        <v>0</v>
      </c>
      <c r="EE28" s="61">
        <v>0</v>
      </c>
      <c r="EF28" s="61">
        <v>0</v>
      </c>
      <c r="EG28" s="61">
        <v>0</v>
      </c>
      <c r="EH28" s="61">
        <v>0</v>
      </c>
      <c r="EI28" s="61">
        <v>0</v>
      </c>
    </row>
    <row r="29" spans="2:139" x14ac:dyDescent="0.35">
      <c r="DT29" s="73"/>
      <c r="DU29" s="73"/>
      <c r="DW29" s="172" t="s">
        <v>259</v>
      </c>
      <c r="DX29" s="61">
        <v>0</v>
      </c>
      <c r="DY29" s="61">
        <v>0</v>
      </c>
      <c r="DZ29" s="61">
        <v>0</v>
      </c>
      <c r="EA29" s="61">
        <v>0</v>
      </c>
      <c r="EB29" s="61">
        <v>0</v>
      </c>
      <c r="EC29" s="61">
        <v>0</v>
      </c>
      <c r="ED29" s="61">
        <v>0</v>
      </c>
      <c r="EE29" s="61">
        <v>0</v>
      </c>
      <c r="EF29" s="61">
        <v>0</v>
      </c>
      <c r="EG29" s="61">
        <v>0</v>
      </c>
      <c r="EH29" s="61">
        <v>0</v>
      </c>
      <c r="EI29" s="61">
        <v>0</v>
      </c>
    </row>
    <row r="30" spans="2:139" x14ac:dyDescent="0.35">
      <c r="DT30" s="73"/>
      <c r="DU30" s="73"/>
      <c r="DW30" s="172" t="s">
        <v>259</v>
      </c>
      <c r="DX30" s="61">
        <v>0</v>
      </c>
      <c r="DY30" s="61">
        <v>0</v>
      </c>
      <c r="DZ30" s="61">
        <v>0</v>
      </c>
      <c r="EA30" s="61">
        <v>0</v>
      </c>
      <c r="EB30" s="61">
        <v>0</v>
      </c>
      <c r="EC30" s="61">
        <v>0</v>
      </c>
      <c r="ED30" s="61">
        <v>0</v>
      </c>
      <c r="EE30" s="61">
        <v>0</v>
      </c>
      <c r="EF30" s="61">
        <v>0</v>
      </c>
      <c r="EG30" s="61">
        <v>0</v>
      </c>
      <c r="EH30" s="61">
        <v>0</v>
      </c>
      <c r="EI30" s="61">
        <v>0</v>
      </c>
    </row>
    <row r="31" spans="2:139" x14ac:dyDescent="0.35">
      <c r="DT31" s="73"/>
      <c r="DU31" s="73"/>
      <c r="DW31" s="172" t="s">
        <v>259</v>
      </c>
      <c r="DX31" s="61">
        <v>0</v>
      </c>
      <c r="DY31" s="61">
        <v>0</v>
      </c>
      <c r="DZ31" s="61">
        <v>0</v>
      </c>
      <c r="EA31" s="61">
        <v>0</v>
      </c>
      <c r="EB31" s="61">
        <v>0</v>
      </c>
      <c r="EC31" s="61">
        <v>0</v>
      </c>
      <c r="ED31" s="61">
        <v>0</v>
      </c>
      <c r="EE31" s="61">
        <v>0</v>
      </c>
      <c r="EF31" s="61">
        <v>0</v>
      </c>
      <c r="EG31" s="61">
        <v>0</v>
      </c>
      <c r="EH31" s="61">
        <v>0</v>
      </c>
      <c r="EI31" s="61">
        <v>0</v>
      </c>
    </row>
    <row r="32" spans="2:139" x14ac:dyDescent="0.35">
      <c r="DN32" s="69">
        <v>355</v>
      </c>
      <c r="DO32" s="69">
        <v>250</v>
      </c>
      <c r="DP32" s="69">
        <v>415</v>
      </c>
      <c r="DQ32" s="69">
        <v>160</v>
      </c>
      <c r="DR32" s="69">
        <v>58575</v>
      </c>
      <c r="DS32" s="69">
        <v>410025</v>
      </c>
      <c r="DT32" s="73">
        <v>1.03125</v>
      </c>
      <c r="DU32" s="73">
        <f t="shared" si="0"/>
        <v>165</v>
      </c>
      <c r="DW32" s="172">
        <v>0.49624060150375937</v>
      </c>
      <c r="DX32" s="61">
        <v>0.65</v>
      </c>
      <c r="DY32" s="61">
        <v>0.15</v>
      </c>
      <c r="DZ32" s="61">
        <v>0.2</v>
      </c>
      <c r="EA32" s="61">
        <v>0</v>
      </c>
      <c r="EB32" s="61">
        <v>0</v>
      </c>
      <c r="EC32" s="61">
        <v>0</v>
      </c>
      <c r="ED32" s="61">
        <v>0</v>
      </c>
      <c r="EE32" s="61">
        <v>1</v>
      </c>
      <c r="EF32" s="61">
        <v>0</v>
      </c>
      <c r="EG32" s="61">
        <v>0</v>
      </c>
      <c r="EH32" s="61">
        <v>0</v>
      </c>
      <c r="EI32" s="61">
        <v>0</v>
      </c>
    </row>
    <row r="33" spans="1:139" x14ac:dyDescent="0.35">
      <c r="DN33" s="69">
        <v>161</v>
      </c>
      <c r="DO33" s="69">
        <v>300</v>
      </c>
      <c r="DP33" s="69">
        <v>360</v>
      </c>
      <c r="DQ33" s="69">
        <v>100</v>
      </c>
      <c r="DR33" s="69">
        <v>9660</v>
      </c>
      <c r="DS33" s="69">
        <v>123165</v>
      </c>
      <c r="DT33" s="73">
        <v>0.6</v>
      </c>
      <c r="DU33" s="73">
        <f t="shared" si="0"/>
        <v>60</v>
      </c>
      <c r="DW33" s="172">
        <v>0.18181818181818182</v>
      </c>
      <c r="DX33" s="61">
        <v>0.9</v>
      </c>
      <c r="DY33" s="61">
        <v>0.1</v>
      </c>
      <c r="DZ33" s="61">
        <v>0</v>
      </c>
      <c r="EA33" s="61">
        <v>0</v>
      </c>
      <c r="EB33" s="61">
        <v>0</v>
      </c>
      <c r="EC33" s="61">
        <v>1</v>
      </c>
      <c r="ED33" s="61">
        <v>0</v>
      </c>
      <c r="EE33" s="61">
        <v>0</v>
      </c>
      <c r="EF33" s="61">
        <v>0</v>
      </c>
      <c r="EG33" s="61">
        <v>0</v>
      </c>
      <c r="EH33" s="61">
        <v>0</v>
      </c>
      <c r="EI33" s="61">
        <v>1</v>
      </c>
    </row>
    <row r="34" spans="1:139" x14ac:dyDescent="0.35">
      <c r="DN34" s="69">
        <v>3000</v>
      </c>
      <c r="DO34" s="69">
        <v>170</v>
      </c>
      <c r="DP34" s="69">
        <v>370</v>
      </c>
      <c r="DQ34" s="69">
        <v>220</v>
      </c>
      <c r="DR34" s="69">
        <v>794630</v>
      </c>
      <c r="DS34" s="69">
        <v>4302000</v>
      </c>
      <c r="DT34" s="73">
        <v>0.90909090909090906</v>
      </c>
      <c r="DU34" s="73">
        <f t="shared" si="0"/>
        <v>200</v>
      </c>
      <c r="DW34" s="172">
        <v>0.7407407407407407</v>
      </c>
      <c r="DX34" s="61">
        <v>0.8</v>
      </c>
      <c r="DY34" s="61">
        <v>0.08</v>
      </c>
      <c r="DZ34" s="61">
        <v>0.12</v>
      </c>
      <c r="EA34" s="61">
        <v>0</v>
      </c>
      <c r="EB34" s="61">
        <v>0</v>
      </c>
      <c r="EC34" s="61">
        <v>1</v>
      </c>
      <c r="ED34" s="61">
        <v>0</v>
      </c>
      <c r="EE34" s="61">
        <v>0</v>
      </c>
      <c r="EF34" s="61">
        <v>0</v>
      </c>
      <c r="EG34" s="61">
        <v>0</v>
      </c>
      <c r="EH34" s="61">
        <v>0</v>
      </c>
      <c r="EI34" s="61">
        <v>1</v>
      </c>
    </row>
    <row r="35" spans="1:139" x14ac:dyDescent="0.35">
      <c r="DT35" s="73"/>
      <c r="DU35" s="73"/>
      <c r="DW35" s="172" t="s">
        <v>259</v>
      </c>
      <c r="DX35" s="61">
        <v>0</v>
      </c>
      <c r="DY35" s="61">
        <v>0</v>
      </c>
      <c r="DZ35" s="61">
        <v>0</v>
      </c>
      <c r="EA35" s="61">
        <v>0</v>
      </c>
      <c r="EB35" s="61">
        <v>0</v>
      </c>
      <c r="EC35" s="61">
        <v>0</v>
      </c>
      <c r="ED35" s="61">
        <v>0</v>
      </c>
      <c r="EE35" s="61">
        <v>0</v>
      </c>
      <c r="EF35" s="61">
        <v>0</v>
      </c>
      <c r="EG35" s="61">
        <v>0</v>
      </c>
      <c r="EH35" s="61">
        <v>0</v>
      </c>
      <c r="EI35" s="61">
        <v>0</v>
      </c>
    </row>
    <row r="36" spans="1:139" x14ac:dyDescent="0.35">
      <c r="DN36" s="69">
        <v>1624</v>
      </c>
      <c r="DO36" s="69">
        <v>306</v>
      </c>
      <c r="DP36" s="69">
        <v>411</v>
      </c>
      <c r="DQ36" s="69">
        <v>85</v>
      </c>
      <c r="DR36" s="69">
        <v>139127</v>
      </c>
      <c r="DS36" s="69">
        <v>1182579.5</v>
      </c>
      <c r="DT36" s="73">
        <v>1.2352941176470589</v>
      </c>
      <c r="DU36" s="73">
        <f t="shared" si="0"/>
        <v>105</v>
      </c>
      <c r="DW36" s="172">
        <v>0.29288702928870292</v>
      </c>
      <c r="DX36" s="61">
        <v>0.7</v>
      </c>
      <c r="DY36" s="61">
        <v>0.15</v>
      </c>
      <c r="DZ36" s="61">
        <v>0.15</v>
      </c>
      <c r="EA36" s="61">
        <v>0</v>
      </c>
      <c r="EB36" s="61">
        <v>0</v>
      </c>
      <c r="EC36" s="61">
        <v>1</v>
      </c>
      <c r="ED36" s="61">
        <v>0</v>
      </c>
      <c r="EE36" s="61">
        <v>1</v>
      </c>
      <c r="EF36" s="61">
        <v>0</v>
      </c>
      <c r="EG36" s="61">
        <v>0</v>
      </c>
      <c r="EH36" s="61">
        <v>0</v>
      </c>
      <c r="EI36" s="61">
        <v>1</v>
      </c>
    </row>
    <row r="37" spans="1:139" x14ac:dyDescent="0.35">
      <c r="DT37" s="73"/>
      <c r="DU37" s="73"/>
      <c r="DW37" s="172" t="s">
        <v>259</v>
      </c>
      <c r="DX37" s="61">
        <v>0</v>
      </c>
      <c r="DY37" s="61">
        <v>0</v>
      </c>
      <c r="DZ37" s="61">
        <v>0</v>
      </c>
      <c r="EA37" s="61">
        <v>0</v>
      </c>
      <c r="EB37" s="61">
        <v>0</v>
      </c>
      <c r="EC37" s="61">
        <v>0</v>
      </c>
      <c r="ED37" s="61">
        <v>0</v>
      </c>
      <c r="EE37" s="61">
        <v>0</v>
      </c>
      <c r="EF37" s="61">
        <v>0</v>
      </c>
      <c r="EG37" s="61">
        <v>0</v>
      </c>
      <c r="EH37" s="61">
        <v>0</v>
      </c>
      <c r="EI37" s="61">
        <v>0</v>
      </c>
    </row>
    <row r="38" spans="1:139" x14ac:dyDescent="0.35">
      <c r="DT38" s="73"/>
      <c r="DU38" s="73"/>
      <c r="DW38" s="172" t="s">
        <v>259</v>
      </c>
      <c r="DX38" s="61">
        <v>0</v>
      </c>
      <c r="DY38" s="61">
        <v>0</v>
      </c>
      <c r="DZ38" s="61">
        <v>0</v>
      </c>
      <c r="EA38" s="61">
        <v>0</v>
      </c>
      <c r="EB38" s="61">
        <v>0</v>
      </c>
      <c r="EC38" s="61">
        <v>0</v>
      </c>
      <c r="ED38" s="61">
        <v>0</v>
      </c>
      <c r="EE38" s="61">
        <v>0</v>
      </c>
      <c r="EF38" s="61">
        <v>0</v>
      </c>
      <c r="EG38" s="61">
        <v>0</v>
      </c>
      <c r="EH38" s="61">
        <v>0</v>
      </c>
      <c r="EI38" s="61">
        <v>0</v>
      </c>
    </row>
    <row r="39" spans="1:139" x14ac:dyDescent="0.35">
      <c r="DN39" s="69">
        <v>500</v>
      </c>
      <c r="DO39" s="69">
        <v>180</v>
      </c>
      <c r="DP39" s="69">
        <v>330</v>
      </c>
      <c r="DQ39" s="69">
        <v>120</v>
      </c>
      <c r="DR39" s="69">
        <v>75000</v>
      </c>
      <c r="DS39" s="69">
        <v>450000</v>
      </c>
      <c r="DT39" s="73">
        <v>1.25</v>
      </c>
      <c r="DU39" s="73">
        <f t="shared" si="0"/>
        <v>150</v>
      </c>
      <c r="DW39" s="172">
        <v>0.58823529411764708</v>
      </c>
      <c r="DX39" s="61">
        <v>0.6</v>
      </c>
      <c r="DY39" s="61">
        <v>0</v>
      </c>
      <c r="DZ39" s="61">
        <v>0.3</v>
      </c>
      <c r="EA39" s="61">
        <v>0</v>
      </c>
      <c r="EB39" s="61">
        <v>0.1</v>
      </c>
      <c r="EC39" s="61">
        <v>0</v>
      </c>
      <c r="ED39" s="61">
        <v>0</v>
      </c>
      <c r="EE39" s="61">
        <v>0</v>
      </c>
      <c r="EF39" s="61">
        <v>0</v>
      </c>
      <c r="EG39" s="61">
        <v>0</v>
      </c>
      <c r="EH39" s="61">
        <v>0.1</v>
      </c>
      <c r="EI39" s="61">
        <v>0</v>
      </c>
    </row>
    <row r="40" spans="1:139" x14ac:dyDescent="0.35">
      <c r="DT40" s="73"/>
      <c r="DU40" s="73"/>
      <c r="DW40" s="172" t="s">
        <v>259</v>
      </c>
      <c r="DX40" s="61">
        <v>0</v>
      </c>
      <c r="DY40" s="61">
        <v>0</v>
      </c>
      <c r="DZ40" s="61">
        <v>0</v>
      </c>
      <c r="EA40" s="61">
        <v>0</v>
      </c>
      <c r="EB40" s="61">
        <v>0</v>
      </c>
      <c r="EC40" s="61">
        <v>0</v>
      </c>
      <c r="ED40" s="61">
        <v>0</v>
      </c>
      <c r="EE40" s="61">
        <v>0</v>
      </c>
      <c r="EF40" s="61">
        <v>0</v>
      </c>
      <c r="EG40" s="61">
        <v>0</v>
      </c>
      <c r="EH40" s="61">
        <v>0</v>
      </c>
      <c r="EI40" s="61">
        <v>0</v>
      </c>
    </row>
    <row r="41" spans="1:139" x14ac:dyDescent="0.35">
      <c r="DT41" s="73"/>
      <c r="DU41" s="73"/>
      <c r="DW41" s="172" t="s">
        <v>259</v>
      </c>
      <c r="DX41" s="61">
        <v>0</v>
      </c>
      <c r="DY41" s="61">
        <v>0</v>
      </c>
      <c r="DZ41" s="61">
        <v>0</v>
      </c>
      <c r="EA41" s="61">
        <v>0</v>
      </c>
      <c r="EB41" s="61">
        <v>0</v>
      </c>
      <c r="EC41" s="61">
        <v>0</v>
      </c>
      <c r="ED41" s="61">
        <v>0</v>
      </c>
      <c r="EE41" s="61">
        <v>0</v>
      </c>
      <c r="EF41" s="61">
        <v>0</v>
      </c>
      <c r="EG41" s="61">
        <v>0</v>
      </c>
      <c r="EH41" s="61">
        <v>0</v>
      </c>
      <c r="EI41" s="61">
        <v>0</v>
      </c>
    </row>
    <row r="42" spans="1:139" x14ac:dyDescent="0.35">
      <c r="DT42" s="73"/>
      <c r="DU42" s="73"/>
      <c r="DW42" s="172" t="s">
        <v>259</v>
      </c>
      <c r="DX42" s="61">
        <v>0</v>
      </c>
      <c r="DY42" s="61">
        <v>0</v>
      </c>
      <c r="DZ42" s="61">
        <v>0</v>
      </c>
      <c r="EA42" s="61">
        <v>0</v>
      </c>
      <c r="EB42" s="61">
        <v>0</v>
      </c>
      <c r="EC42" s="61">
        <v>0</v>
      </c>
      <c r="ED42" s="61">
        <v>0</v>
      </c>
      <c r="EE42" s="61">
        <v>0</v>
      </c>
      <c r="EF42" s="61">
        <v>0</v>
      </c>
      <c r="EG42" s="61">
        <v>0</v>
      </c>
      <c r="EH42" s="61">
        <v>0</v>
      </c>
      <c r="EI42" s="61">
        <v>0</v>
      </c>
    </row>
    <row r="43" spans="1:139" x14ac:dyDescent="0.35">
      <c r="DN43" s="69">
        <v>200</v>
      </c>
      <c r="DO43" s="69">
        <v>350</v>
      </c>
      <c r="DP43" s="69">
        <v>460</v>
      </c>
      <c r="DQ43" s="69">
        <v>75</v>
      </c>
      <c r="DR43" s="69">
        <v>22000</v>
      </c>
      <c r="DS43" s="69">
        <v>198000</v>
      </c>
      <c r="DT43" s="73">
        <v>1.4666666666666666</v>
      </c>
      <c r="DU43" s="73">
        <f t="shared" si="0"/>
        <v>110</v>
      </c>
      <c r="DW43" s="172">
        <v>0.27160493827160492</v>
      </c>
      <c r="DX43" s="61">
        <v>0.6</v>
      </c>
      <c r="DY43" s="61">
        <v>0.1</v>
      </c>
      <c r="DZ43" s="61">
        <v>0.28999999999999998</v>
      </c>
      <c r="EA43" s="61">
        <v>0</v>
      </c>
      <c r="EB43" s="61">
        <v>0.01</v>
      </c>
      <c r="EC43" s="61">
        <v>1</v>
      </c>
      <c r="ED43" s="61">
        <v>0</v>
      </c>
      <c r="EE43" s="61">
        <v>1</v>
      </c>
      <c r="EF43" s="61">
        <v>0</v>
      </c>
      <c r="EG43" s="61">
        <v>0</v>
      </c>
      <c r="EH43" s="61">
        <v>0.01</v>
      </c>
      <c r="EI43" s="61">
        <v>1</v>
      </c>
    </row>
    <row r="44" spans="1:139" ht="21" x14ac:dyDescent="0.5">
      <c r="B44" s="180" t="s">
        <v>258</v>
      </c>
      <c r="C44" s="179"/>
      <c r="D44" s="179"/>
      <c r="E44" s="179"/>
      <c r="F44" s="179"/>
      <c r="G44" s="179"/>
      <c r="H44" s="179"/>
      <c r="I44" s="179"/>
      <c r="J44" s="179"/>
      <c r="K44" s="179"/>
      <c r="L44" s="179"/>
      <c r="M44" s="179"/>
      <c r="N44" s="179"/>
      <c r="O44" s="179"/>
      <c r="P44" s="179"/>
      <c r="Q44" s="179"/>
      <c r="R44" s="179"/>
      <c r="S44" s="179"/>
      <c r="T44" s="179"/>
      <c r="U44" s="179"/>
      <c r="V44" s="179"/>
      <c r="W44" s="179"/>
      <c r="X44" s="179"/>
      <c r="DN44" s="69">
        <v>350</v>
      </c>
      <c r="DO44" s="69">
        <v>200</v>
      </c>
      <c r="DP44" s="69">
        <v>340</v>
      </c>
      <c r="DQ44" s="69">
        <v>90</v>
      </c>
      <c r="DR44" s="69">
        <v>23715</v>
      </c>
      <c r="DS44" s="69">
        <v>240000</v>
      </c>
      <c r="DT44" s="73">
        <v>1.5555555555555556</v>
      </c>
      <c r="DU44" s="73">
        <f t="shared" si="0"/>
        <v>140</v>
      </c>
      <c r="DW44" s="172">
        <v>0.51851851851851849</v>
      </c>
      <c r="DX44" s="170">
        <v>0.55000000000000004</v>
      </c>
      <c r="DY44" s="170">
        <v>0.22</v>
      </c>
      <c r="DZ44" s="170">
        <v>0.23</v>
      </c>
      <c r="EA44" s="170">
        <v>0</v>
      </c>
      <c r="EB44" s="170">
        <v>0</v>
      </c>
      <c r="EC44" s="61">
        <v>1</v>
      </c>
      <c r="ED44" s="61">
        <v>0</v>
      </c>
      <c r="EE44" s="61">
        <v>1</v>
      </c>
      <c r="EF44" s="61">
        <v>0</v>
      </c>
      <c r="EG44" s="61">
        <v>0</v>
      </c>
      <c r="EH44" s="170">
        <v>0</v>
      </c>
      <c r="EI44" s="61">
        <v>1</v>
      </c>
    </row>
    <row r="45" spans="1:139" s="78" customFormat="1" x14ac:dyDescent="0.35">
      <c r="B45" s="82"/>
      <c r="C45" s="82"/>
      <c r="D45" s="82"/>
      <c r="E45" s="82"/>
      <c r="F45" s="82"/>
      <c r="G45" s="82"/>
      <c r="H45" s="82"/>
      <c r="I45" s="82"/>
      <c r="J45" s="82"/>
      <c r="K45" s="82"/>
      <c r="L45" s="82"/>
      <c r="M45" s="82"/>
      <c r="N45" s="82"/>
      <c r="O45" s="82"/>
      <c r="P45" s="82"/>
      <c r="Q45" s="82"/>
      <c r="R45" s="82"/>
      <c r="S45" s="82"/>
      <c r="T45" s="82"/>
      <c r="U45" s="82"/>
      <c r="V45" s="82"/>
      <c r="W45" s="82"/>
      <c r="X45" s="82"/>
      <c r="DN45" s="4">
        <v>255</v>
      </c>
      <c r="DO45" s="4">
        <v>180</v>
      </c>
      <c r="DP45" s="4">
        <v>330</v>
      </c>
      <c r="DQ45" s="4">
        <v>120</v>
      </c>
      <c r="DR45" s="4">
        <v>25500</v>
      </c>
      <c r="DS45" s="4">
        <v>255000</v>
      </c>
      <c r="DT45" s="114">
        <v>1.25</v>
      </c>
      <c r="DU45" s="114">
        <f t="shared" si="0"/>
        <v>150</v>
      </c>
      <c r="DW45" s="173">
        <v>0.58823529411764708</v>
      </c>
      <c r="DX45" s="113">
        <v>0.88</v>
      </c>
      <c r="DY45" s="113">
        <v>0.12</v>
      </c>
      <c r="DZ45" s="113"/>
      <c r="EA45" s="113"/>
      <c r="EB45" s="113"/>
      <c r="EC45" s="113">
        <v>1</v>
      </c>
      <c r="ED45" s="113">
        <v>0</v>
      </c>
      <c r="EE45" s="113"/>
      <c r="EF45" s="113"/>
      <c r="EG45" s="113"/>
      <c r="EH45" s="113"/>
      <c r="EI45" s="113">
        <v>1</v>
      </c>
    </row>
    <row r="46" spans="1:139" ht="15.5" x14ac:dyDescent="0.35">
      <c r="B46" s="1" t="s">
        <v>439</v>
      </c>
      <c r="DT46" s="73" t="s">
        <v>259</v>
      </c>
      <c r="DU46" s="73"/>
      <c r="DW46" s="172" t="s">
        <v>259</v>
      </c>
      <c r="DX46" s="61"/>
      <c r="DY46" s="61"/>
      <c r="DZ46" s="61"/>
      <c r="EA46" s="61"/>
      <c r="EB46" s="61"/>
      <c r="EC46" s="61"/>
      <c r="ED46" s="61"/>
      <c r="EE46" s="61"/>
      <c r="EF46" s="61"/>
      <c r="EG46" s="61"/>
    </row>
    <row r="47" spans="1:139" x14ac:dyDescent="0.35">
      <c r="B47" s="261" t="s">
        <v>8</v>
      </c>
      <c r="C47" s="107" t="s">
        <v>167</v>
      </c>
      <c r="D47" s="107" t="s">
        <v>168</v>
      </c>
      <c r="E47" s="107" t="s">
        <v>172</v>
      </c>
      <c r="F47" s="107" t="s">
        <v>195</v>
      </c>
      <c r="G47" s="107" t="s">
        <v>196</v>
      </c>
      <c r="H47" s="107" t="s">
        <v>12</v>
      </c>
      <c r="I47" s="107" t="s">
        <v>170</v>
      </c>
      <c r="J47" s="108" t="s">
        <v>9</v>
      </c>
      <c r="K47" s="185" t="str">
        <f ca="1">+HLOOKUP($B$47,Consolidado!$B$8:$DW$9,2,FALSE)</f>
        <v>Consolidado!I11:I25</v>
      </c>
      <c r="DN47" s="70">
        <v>1247</v>
      </c>
      <c r="DO47" s="70">
        <v>172.7</v>
      </c>
      <c r="DP47" s="70">
        <v>349.8</v>
      </c>
      <c r="DQ47" s="70">
        <v>200</v>
      </c>
      <c r="DR47" s="70">
        <v>220719</v>
      </c>
      <c r="DS47" s="70">
        <v>1522340</v>
      </c>
      <c r="DT47" s="116">
        <v>0.88550000000000006</v>
      </c>
      <c r="DU47" s="116">
        <f t="shared" si="0"/>
        <v>177.10000000000002</v>
      </c>
      <c r="DW47" s="174">
        <v>0.67789473684210533</v>
      </c>
      <c r="DX47" s="115">
        <v>0.55000000000000004</v>
      </c>
      <c r="DY47" s="115">
        <v>0.1851800067611255</v>
      </c>
      <c r="DZ47" s="115">
        <v>0.17654808440247732</v>
      </c>
      <c r="EA47" s="115">
        <v>6.8234853930150358E-2</v>
      </c>
      <c r="EB47" s="115">
        <v>1.378481897578776E-2</v>
      </c>
      <c r="EC47" s="115"/>
      <c r="ED47" s="115"/>
      <c r="EE47" s="115"/>
      <c r="EF47" s="115"/>
      <c r="EG47" s="115"/>
    </row>
    <row r="48" spans="1:139" x14ac:dyDescent="0.35">
      <c r="A48" s="106" t="s">
        <v>24</v>
      </c>
      <c r="B48" s="83" t="s">
        <v>198</v>
      </c>
      <c r="C48" s="100">
        <f ca="1">IFERROR(SUMIF(INDIRECT($K$47),Gráficos!C$47,(INDIRECT($K48))),"")</f>
        <v>0</v>
      </c>
      <c r="D48" s="100">
        <f ca="1">IFERROR(SUMIF(INDIRECT($K$47),Gráficos!D$47,(INDIRECT($K48))),"")</f>
        <v>0</v>
      </c>
      <c r="E48" s="100">
        <f ca="1">IFERROR(SUMIF(INDIRECT($K$47),Gráficos!E$47,(INDIRECT($K48))),"")</f>
        <v>0</v>
      </c>
      <c r="F48" s="100">
        <f ca="1">IFERROR(SUMIF(INDIRECT($K$47),Gráficos!F$47,(INDIRECT($K48))),"")</f>
        <v>0</v>
      </c>
      <c r="G48" s="100">
        <f ca="1">IFERROR(SUMIF(INDIRECT($K$47),Gráficos!G$47,(INDIRECT($K48))),"")</f>
        <v>0</v>
      </c>
      <c r="H48" s="100">
        <f ca="1">IFERROR(SUMIF(INDIRECT($K$47),Gráficos!H$47,(INDIRECT($K48))),"")</f>
        <v>0</v>
      </c>
      <c r="I48" s="100">
        <f ca="1">IFERROR(SUMIF(INDIRECT($K$47),Gráficos!I$47,(INDIRECT($K48))),"")</f>
        <v>0</v>
      </c>
      <c r="J48" s="109">
        <f ca="1">IFERROR(SUMIF(INDIRECT($K$47),Gráficos!J$47,(INDIRECT($K48))),"")</f>
        <v>0</v>
      </c>
      <c r="K48" s="186" t="str">
        <f ca="1">+HLOOKUP(Gráficos!$A48,Consolidado!$A$8:$DW$10,2,FALSE)</f>
        <v>Consolidado!O11:O25</v>
      </c>
      <c r="DN48" s="70"/>
      <c r="DO48" s="70"/>
      <c r="DP48" s="70"/>
      <c r="DQ48" s="70"/>
      <c r="DR48" s="70"/>
      <c r="DS48" s="70"/>
      <c r="DT48" s="116" t="s">
        <v>259</v>
      </c>
      <c r="DU48" s="116"/>
      <c r="DW48" s="174" t="s">
        <v>259</v>
      </c>
      <c r="DX48" s="115"/>
      <c r="DY48" s="115"/>
      <c r="DZ48" s="115"/>
      <c r="EA48" s="115"/>
      <c r="EB48" s="115"/>
      <c r="EC48" s="115"/>
      <c r="ED48" s="115"/>
      <c r="EE48" s="115"/>
      <c r="EF48" s="115"/>
      <c r="EG48" s="115"/>
    </row>
    <row r="49" spans="1:137" x14ac:dyDescent="0.35">
      <c r="A49" s="106" t="s">
        <v>25</v>
      </c>
      <c r="B49" s="83" t="s">
        <v>109</v>
      </c>
      <c r="C49" s="100">
        <f ca="1">IFERROR(SUMIF(INDIRECT($K$47),Gráficos!C$47,(INDIRECT($K49))),"")</f>
        <v>0</v>
      </c>
      <c r="D49" s="100">
        <f ca="1">IFERROR(SUMIF(INDIRECT($K$47),Gráficos!D$47,(INDIRECT($K49))),"")</f>
        <v>0</v>
      </c>
      <c r="E49" s="100">
        <f ca="1">IFERROR(SUMIF(INDIRECT($K$47),Gráficos!E$47,(INDIRECT($K49))),"")</f>
        <v>0</v>
      </c>
      <c r="F49" s="100">
        <f ca="1">IFERROR(SUMIF(INDIRECT($K$47),Gráficos!F$47,(INDIRECT($K49))),"")</f>
        <v>0</v>
      </c>
      <c r="G49" s="100">
        <f ca="1">IFERROR(SUMIF(INDIRECT($K$47),Gráficos!G$47,(INDIRECT($K49))),"")</f>
        <v>0</v>
      </c>
      <c r="H49" s="100">
        <f ca="1">IFERROR(SUMIF(INDIRECT($K$47),Gráficos!H$47,(INDIRECT($K49))),"")</f>
        <v>0</v>
      </c>
      <c r="I49" s="100">
        <f ca="1">IFERROR(SUMIF(INDIRECT($K$47),Gráficos!I$47,(INDIRECT($K49))),"")</f>
        <v>0</v>
      </c>
      <c r="J49" s="109">
        <f ca="1">IFERROR(SUMIF(INDIRECT($K$47),Gráficos!J$47,(INDIRECT($K49))),"")</f>
        <v>0</v>
      </c>
      <c r="K49" s="186" t="str">
        <f ca="1">+HLOOKUP(Gráficos!$A49,Consolidado!$A$8:$DW$10,2,FALSE)</f>
        <v>Consolidado!P11:P25</v>
      </c>
      <c r="DN49" s="70">
        <v>701</v>
      </c>
      <c r="DO49" s="70">
        <v>185</v>
      </c>
      <c r="DP49" s="70">
        <v>323</v>
      </c>
      <c r="DQ49" s="70">
        <v>153</v>
      </c>
      <c r="DR49" s="70">
        <v>96738</v>
      </c>
      <c r="DS49" s="70">
        <v>696514</v>
      </c>
      <c r="DT49" s="116">
        <v>0.90196078431372551</v>
      </c>
      <c r="DU49" s="116">
        <f t="shared" si="0"/>
        <v>138</v>
      </c>
      <c r="DW49" s="174">
        <v>0.54330708661417326</v>
      </c>
      <c r="DX49" s="115"/>
      <c r="DY49" s="115"/>
      <c r="DZ49" s="115"/>
      <c r="EA49" s="115"/>
      <c r="EB49" s="115"/>
      <c r="EC49" s="115"/>
      <c r="ED49" s="115"/>
      <c r="EE49" s="115"/>
      <c r="EF49" s="115"/>
      <c r="EG49" s="115"/>
    </row>
    <row r="50" spans="1:137" x14ac:dyDescent="0.35">
      <c r="A50" s="106" t="s">
        <v>28</v>
      </c>
      <c r="B50" s="83" t="s">
        <v>199</v>
      </c>
      <c r="C50" s="100">
        <f ca="1">IFERROR(SUMIF(INDIRECT($K$47),Gráficos!C$47,(INDIRECT($K50))),"")</f>
        <v>0</v>
      </c>
      <c r="D50" s="100">
        <f ca="1">IFERROR(SUMIF(INDIRECT($K$47),Gráficos!D$47,(INDIRECT($K50))),"")</f>
        <v>0</v>
      </c>
      <c r="E50" s="100">
        <f ca="1">IFERROR(SUMIF(INDIRECT($K$47),Gráficos!E$47,(INDIRECT($K50))),"")</f>
        <v>0</v>
      </c>
      <c r="F50" s="100">
        <f ca="1">IFERROR(SUMIF(INDIRECT($K$47),Gráficos!F$47,(INDIRECT($K50))),"")</f>
        <v>0</v>
      </c>
      <c r="G50" s="100">
        <f ca="1">IFERROR(SUMIF(INDIRECT($K$47),Gráficos!G$47,(INDIRECT($K50))),"")</f>
        <v>0</v>
      </c>
      <c r="H50" s="100">
        <f ca="1">IFERROR(SUMIF(INDIRECT($K$47),Gráficos!H$47,(INDIRECT($K50))),"")</f>
        <v>0</v>
      </c>
      <c r="I50" s="100">
        <f ca="1">IFERROR(SUMIF(INDIRECT($K$47),Gráficos!I$47,(INDIRECT($K50))),"")</f>
        <v>0</v>
      </c>
      <c r="J50" s="109">
        <f ca="1">IFERROR(SUMIF(INDIRECT($K$47),Gráficos!J$47,(INDIRECT($K50))),"")</f>
        <v>0</v>
      </c>
      <c r="K50" s="186" t="str">
        <f ca="1">+HLOOKUP(Gráficos!$A50,Consolidado!$A$8:$DW$10,2,FALSE)</f>
        <v>Consolidado!Q11:Q25</v>
      </c>
      <c r="DN50" s="70">
        <v>400</v>
      </c>
      <c r="DO50" s="70"/>
      <c r="DP50" s="70"/>
      <c r="DQ50" s="70"/>
      <c r="DR50" s="70"/>
      <c r="DS50" s="70"/>
      <c r="DT50" s="116" t="s">
        <v>259</v>
      </c>
      <c r="DU50" s="116"/>
      <c r="DW50" s="174" t="s">
        <v>259</v>
      </c>
      <c r="DX50" s="115"/>
      <c r="DY50" s="115"/>
      <c r="DZ50" s="115"/>
      <c r="EA50" s="115"/>
      <c r="EB50" s="115"/>
      <c r="EC50" s="115"/>
      <c r="ED50" s="115"/>
      <c r="EE50" s="115"/>
      <c r="EF50" s="115"/>
      <c r="EG50" s="115"/>
    </row>
    <row r="51" spans="1:137" x14ac:dyDescent="0.35">
      <c r="A51" s="106" t="s">
        <v>29</v>
      </c>
      <c r="B51" s="83" t="s">
        <v>203</v>
      </c>
      <c r="C51" s="100">
        <f ca="1">IFERROR(SUMIF(INDIRECT($K$47),Gráficos!C$47,(INDIRECT($K51))),"")</f>
        <v>0</v>
      </c>
      <c r="D51" s="100">
        <f ca="1">IFERROR(SUMIF(INDIRECT($K$47),Gráficos!D$47,(INDIRECT($K51))),"")</f>
        <v>0</v>
      </c>
      <c r="E51" s="100">
        <f ca="1">IFERROR(SUMIF(INDIRECT($K$47),Gráficos!E$47,(INDIRECT($K51))),"")</f>
        <v>0</v>
      </c>
      <c r="F51" s="100">
        <f ca="1">IFERROR(SUMIF(INDIRECT($K$47),Gráficos!F$47,(INDIRECT($K51))),"")</f>
        <v>0</v>
      </c>
      <c r="G51" s="100">
        <f ca="1">IFERROR(SUMIF(INDIRECT($K$47),Gráficos!G$47,(INDIRECT($K51))),"")</f>
        <v>0</v>
      </c>
      <c r="H51" s="100">
        <f ca="1">IFERROR(SUMIF(INDIRECT($K$47),Gráficos!H$47,(INDIRECT($K51))),"")</f>
        <v>0</v>
      </c>
      <c r="I51" s="100">
        <f ca="1">IFERROR(SUMIF(INDIRECT($K$47),Gráficos!I$47,(INDIRECT($K51))),"")</f>
        <v>0</v>
      </c>
      <c r="J51" s="109">
        <f ca="1">IFERROR(SUMIF(INDIRECT($K$47),Gráficos!J$47,(INDIRECT($K51))),"")</f>
        <v>0</v>
      </c>
      <c r="K51" s="186" t="str">
        <f ca="1">+HLOOKUP(Gráficos!$A51,Consolidado!$A$8:$DW$10,2,FALSE)</f>
        <v>Consolidado!R11:R25</v>
      </c>
      <c r="DN51" s="70">
        <v>375</v>
      </c>
      <c r="DO51" s="70">
        <v>221</v>
      </c>
      <c r="DP51" s="70">
        <v>373</v>
      </c>
      <c r="DQ51" s="70">
        <v>217</v>
      </c>
      <c r="DR51" s="70">
        <v>57000</v>
      </c>
      <c r="DS51" s="70">
        <v>456000</v>
      </c>
      <c r="DT51" s="116">
        <v>0.70046082949308752</v>
      </c>
      <c r="DU51" s="116">
        <f t="shared" si="0"/>
        <v>152</v>
      </c>
      <c r="DW51" s="174">
        <v>0.51178451178451179</v>
      </c>
      <c r="DX51" s="115"/>
      <c r="DY51" s="115"/>
      <c r="DZ51" s="115"/>
      <c r="EA51" s="115"/>
      <c r="EB51" s="115"/>
      <c r="EC51" s="115"/>
      <c r="ED51" s="115"/>
      <c r="EE51" s="115"/>
      <c r="EF51" s="115"/>
      <c r="EG51" s="115"/>
    </row>
    <row r="52" spans="1:137" x14ac:dyDescent="0.35">
      <c r="A52" s="106">
        <f ca="1">+Consolidado!$S$8</f>
        <v>0</v>
      </c>
      <c r="B52" s="83">
        <f ca="1">+A52</f>
        <v>0</v>
      </c>
      <c r="C52" s="100">
        <f ca="1">IFERROR(SUMIF(INDIRECT($K$47),Gráficos!C$47,(INDIRECT($K52))),"")</f>
        <v>0</v>
      </c>
      <c r="D52" s="100">
        <f ca="1">IFERROR(SUMIF(INDIRECT($K$47),Gráficos!D$47,(INDIRECT($K52))),"")</f>
        <v>0</v>
      </c>
      <c r="E52" s="100">
        <f ca="1">IFERROR(SUMIF(INDIRECT($K$47),Gráficos!E$47,(INDIRECT($K52))),"")</f>
        <v>0</v>
      </c>
      <c r="F52" s="100">
        <f ca="1">IFERROR(SUMIF(INDIRECT($K$47),Gráficos!F$47,(INDIRECT($K52))),"")</f>
        <v>0</v>
      </c>
      <c r="G52" s="100">
        <f ca="1">IFERROR(SUMIF(INDIRECT($K$47),Gráficos!G$47,(INDIRECT($K52))),"")</f>
        <v>0</v>
      </c>
      <c r="H52" s="100">
        <f ca="1">IFERROR(SUMIF(INDIRECT($K$47),Gráficos!H$47,(INDIRECT($K52))),"")</f>
        <v>0</v>
      </c>
      <c r="I52" s="100">
        <f ca="1">IFERROR(SUMIF(INDIRECT($K$47),Gráficos!I$47,(INDIRECT($K52))),"")</f>
        <v>0</v>
      </c>
      <c r="J52" s="109">
        <f ca="1">IFERROR(SUMIF(INDIRECT($K$47),Gráficos!J$47,(INDIRECT($K52))),"")</f>
        <v>0</v>
      </c>
      <c r="K52" s="186" t="str">
        <f ca="1">+HLOOKUP(Gráficos!$A52,Consolidado!$A$8:$DW$10,2,FALSE)</f>
        <v>Consolidado!L11:L25</v>
      </c>
      <c r="DN52" s="70"/>
      <c r="DO52" s="70"/>
      <c r="DP52" s="70"/>
      <c r="DQ52" s="70"/>
      <c r="DR52" s="70"/>
      <c r="DS52" s="70"/>
      <c r="DT52" s="116"/>
      <c r="DU52" s="116"/>
      <c r="DW52" s="174"/>
      <c r="DX52" s="115"/>
      <c r="DY52" s="115"/>
      <c r="DZ52" s="115"/>
      <c r="EA52" s="115"/>
      <c r="EB52" s="115"/>
      <c r="EC52" s="115"/>
      <c r="ED52" s="115"/>
      <c r="EE52" s="115"/>
      <c r="EF52" s="115"/>
      <c r="EG52" s="115"/>
    </row>
    <row r="53" spans="1:137" x14ac:dyDescent="0.35">
      <c r="A53" s="106">
        <f ca="1">+Consolidado!$T$8</f>
        <v>0</v>
      </c>
      <c r="B53" s="83">
        <f ca="1">+A53</f>
        <v>0</v>
      </c>
      <c r="C53" s="100">
        <f ca="1">IFERROR(SUMIF(INDIRECT($K$47),Gráficos!C$47,(INDIRECT($K53))),"")</f>
        <v>0</v>
      </c>
      <c r="D53" s="100">
        <f ca="1">IFERROR(SUMIF(INDIRECT($K$47),Gráficos!D$47,(INDIRECT($K53))),"")</f>
        <v>0</v>
      </c>
      <c r="E53" s="100">
        <f ca="1">IFERROR(SUMIF(INDIRECT($K$47),Gráficos!E$47,(INDIRECT($K53))),"")</f>
        <v>0</v>
      </c>
      <c r="F53" s="100">
        <f ca="1">IFERROR(SUMIF(INDIRECT($K$47),Gráficos!F$47,(INDIRECT($K53))),"")</f>
        <v>0</v>
      </c>
      <c r="G53" s="100">
        <f ca="1">IFERROR(SUMIF(INDIRECT($K$47),Gráficos!G$47,(INDIRECT($K53))),"")</f>
        <v>0</v>
      </c>
      <c r="H53" s="100">
        <f ca="1">IFERROR(SUMIF(INDIRECT($K$47),Gráficos!H$47,(INDIRECT($K53))),"")</f>
        <v>0</v>
      </c>
      <c r="I53" s="100">
        <f ca="1">IFERROR(SUMIF(INDIRECT($K$47),Gráficos!I$47,(INDIRECT($K53))),"")</f>
        <v>0</v>
      </c>
      <c r="J53" s="109">
        <f ca="1">IFERROR(SUMIF(INDIRECT($K$47),Gráficos!J$47,(INDIRECT($K53))),"")</f>
        <v>0</v>
      </c>
      <c r="K53" s="186" t="str">
        <f ca="1">+HLOOKUP(Gráficos!$A53,Consolidado!$A$8:$DW$10,2,FALSE)</f>
        <v>Consolidado!L11:L25</v>
      </c>
      <c r="DN53" s="70"/>
      <c r="DO53" s="70"/>
      <c r="DP53" s="70"/>
      <c r="DQ53" s="70"/>
      <c r="DR53" s="70"/>
      <c r="DS53" s="70"/>
      <c r="DT53" s="116"/>
      <c r="DU53" s="116"/>
      <c r="DW53" s="174"/>
      <c r="DX53" s="115"/>
      <c r="DY53" s="115"/>
      <c r="DZ53" s="115"/>
      <c r="EA53" s="115"/>
      <c r="EB53" s="115"/>
      <c r="EC53" s="115"/>
      <c r="ED53" s="115"/>
      <c r="EE53" s="115"/>
      <c r="EF53" s="115"/>
      <c r="EG53" s="115"/>
    </row>
    <row r="54" spans="1:137" x14ac:dyDescent="0.35">
      <c r="A54" s="106" t="s">
        <v>20</v>
      </c>
      <c r="B54" s="83" t="s">
        <v>200</v>
      </c>
      <c r="C54" s="100" t="str">
        <f ca="1">IFERROR(SUMIF(INDIRECT($K$47),Gráficos!C$47,(INDIRECT($K54))),"")</f>
        <v/>
      </c>
      <c r="D54" s="100" t="str">
        <f ca="1">IFERROR(SUMIF(INDIRECT($K$47),Gráficos!D$47,(INDIRECT($K54))),"")</f>
        <v/>
      </c>
      <c r="E54" s="100" t="str">
        <f ca="1">IFERROR(SUMIF(INDIRECT($K$47),Gráficos!E$47,(INDIRECT($K54))),"")</f>
        <v/>
      </c>
      <c r="F54" s="100" t="str">
        <f ca="1">IFERROR(SUMIF(INDIRECT($K$47),Gráficos!F$47,(INDIRECT($K54))),"")</f>
        <v/>
      </c>
      <c r="G54" s="100" t="str">
        <f ca="1">IFERROR(SUMIF(INDIRECT($K$47),Gráficos!G$47,(INDIRECT($K54))),"")</f>
        <v/>
      </c>
      <c r="H54" s="100" t="str">
        <f ca="1">IFERROR(SUMIF(INDIRECT($K$47),Gráficos!H$47,(INDIRECT($K54))),"")</f>
        <v/>
      </c>
      <c r="I54" s="100" t="str">
        <f ca="1">IFERROR(SUMIF(INDIRECT($K$47),Gráficos!I$47,(INDIRECT($K54))),"")</f>
        <v/>
      </c>
      <c r="J54" s="109" t="str">
        <f ca="1">IFERROR(SUMIF(INDIRECT($K$47),Gráficos!J$47,(INDIRECT($K54))),"")</f>
        <v/>
      </c>
      <c r="K54" s="186" t="e">
        <f ca="1">+HLOOKUP(Gráficos!$A54,Consolidado!$A$8:$DW$10,2,FALSE)</f>
        <v>#N/A</v>
      </c>
      <c r="DN54" s="69">
        <v>118</v>
      </c>
      <c r="DO54" s="69">
        <v>305</v>
      </c>
      <c r="DP54" s="69">
        <v>444</v>
      </c>
      <c r="DQ54" s="69">
        <v>127</v>
      </c>
      <c r="DR54" s="69">
        <v>48701</v>
      </c>
      <c r="DT54" s="73">
        <v>1.094488188976378</v>
      </c>
      <c r="DU54" s="73">
        <f t="shared" si="0"/>
        <v>139</v>
      </c>
      <c r="DW54" s="172">
        <v>0.3711615487316422</v>
      </c>
      <c r="DX54" s="61">
        <v>0.67708305763906906</v>
      </c>
      <c r="DY54" s="61">
        <v>0.31249966916688282</v>
      </c>
      <c r="DZ54" s="61">
        <v>1.041727319404818E-2</v>
      </c>
      <c r="EA54" s="61">
        <v>0</v>
      </c>
      <c r="EB54" s="61">
        <v>0</v>
      </c>
      <c r="EC54" s="61"/>
      <c r="ED54" s="61"/>
      <c r="EE54" s="61"/>
      <c r="EF54" s="61"/>
      <c r="EG54" s="61"/>
    </row>
    <row r="55" spans="1:137" x14ac:dyDescent="0.35">
      <c r="A55" s="106" t="s">
        <v>23</v>
      </c>
      <c r="B55" s="83" t="s">
        <v>202</v>
      </c>
      <c r="C55" s="100" t="str">
        <f ca="1">IFERROR(SUMIF(INDIRECT($K$47),Gráficos!C$47,(INDIRECT($K55))),"")</f>
        <v/>
      </c>
      <c r="D55" s="100" t="str">
        <f ca="1">IFERROR(SUMIF(INDIRECT($K$47),Gráficos!D$47,(INDIRECT($K55))),"")</f>
        <v/>
      </c>
      <c r="E55" s="100" t="str">
        <f ca="1">IFERROR(SUMIF(INDIRECT($K$47),Gráficos!E$47,(INDIRECT($K55))),"")</f>
        <v/>
      </c>
      <c r="F55" s="100" t="str">
        <f ca="1">IFERROR(SUMIF(INDIRECT($K$47),Gráficos!F$47,(INDIRECT($K55))),"")</f>
        <v/>
      </c>
      <c r="G55" s="100" t="str">
        <f ca="1">IFERROR(SUMIF(INDIRECT($K$47),Gráficos!G$47,(INDIRECT($K55))),"")</f>
        <v/>
      </c>
      <c r="H55" s="100" t="str">
        <f ca="1">IFERROR(SUMIF(INDIRECT($K$47),Gráficos!H$47,(INDIRECT($K55))),"")</f>
        <v/>
      </c>
      <c r="I55" s="100" t="str">
        <f ca="1">IFERROR(SUMIF(INDIRECT($K$47),Gráficos!I$47,(INDIRECT($K55))),"")</f>
        <v/>
      </c>
      <c r="J55" s="109" t="str">
        <f ca="1">IFERROR(SUMIF(INDIRECT($K$47),Gráficos!J$47,(INDIRECT($K55))),"")</f>
        <v/>
      </c>
      <c r="K55" s="186" t="e">
        <f ca="1">+HLOOKUP(Gráficos!$A55,Consolidado!$A$8:$DW$10,2,FALSE)</f>
        <v>#N/A</v>
      </c>
      <c r="DT55" s="73" t="s">
        <v>259</v>
      </c>
      <c r="DU55" s="73"/>
      <c r="DW55" s="172" t="s">
        <v>259</v>
      </c>
      <c r="DX55" s="61"/>
      <c r="DY55" s="61"/>
      <c r="DZ55" s="61"/>
      <c r="EA55" s="61"/>
      <c r="EB55" s="61"/>
      <c r="EC55" s="61"/>
      <c r="ED55" s="61"/>
      <c r="EE55" s="61"/>
      <c r="EF55" s="61"/>
      <c r="EG55" s="61"/>
    </row>
    <row r="56" spans="1:137" x14ac:dyDescent="0.35">
      <c r="A56" s="106" t="s">
        <v>27</v>
      </c>
      <c r="B56" s="84" t="s">
        <v>201</v>
      </c>
      <c r="C56" s="110" t="str">
        <f ca="1">IFERROR(SUMIF(INDIRECT($K$47),Gráficos!C$47,(INDIRECT($K56))),"")</f>
        <v/>
      </c>
      <c r="D56" s="110" t="str">
        <f ca="1">IFERROR(SUMIF(INDIRECT($K$47),Gráficos!D$47,(INDIRECT($K56))),"")</f>
        <v/>
      </c>
      <c r="E56" s="110" t="str">
        <f ca="1">IFERROR(SUMIF(INDIRECT($K$47),Gráficos!E$47,(INDIRECT($K56))),"")</f>
        <v/>
      </c>
      <c r="F56" s="110" t="str">
        <f ca="1">IFERROR(SUMIF(INDIRECT($K$47),Gráficos!F$47,(INDIRECT($K56))),"")</f>
        <v/>
      </c>
      <c r="G56" s="110" t="str">
        <f ca="1">IFERROR(SUMIF(INDIRECT($K$47),Gráficos!G$47,(INDIRECT($K56))),"")</f>
        <v/>
      </c>
      <c r="H56" s="110" t="str">
        <f ca="1">IFERROR(SUMIF(INDIRECT($K$47),Gráficos!H$47,(INDIRECT($K56))),"")</f>
        <v/>
      </c>
      <c r="I56" s="110" t="str">
        <f ca="1">IFERROR(SUMIF(INDIRECT($K$47),Gráficos!I$47,(INDIRECT($K56))),"")</f>
        <v/>
      </c>
      <c r="J56" s="111" t="str">
        <f ca="1">IFERROR(SUMIF(INDIRECT($K$47),Gráficos!J$47,(INDIRECT($K56))),"")</f>
        <v/>
      </c>
      <c r="K56" s="186" t="e">
        <f ca="1">+HLOOKUP(Gráficos!$A56,Consolidado!$A$8:$DW$10,2,FALSE)</f>
        <v>#N/A</v>
      </c>
      <c r="DN56" s="69">
        <v>840</v>
      </c>
      <c r="DO56" s="69">
        <v>204</v>
      </c>
      <c r="DP56" s="69">
        <v>386</v>
      </c>
      <c r="DQ56" s="69">
        <v>204</v>
      </c>
      <c r="DR56" s="69">
        <v>221465</v>
      </c>
      <c r="DS56" s="69">
        <v>1591333</v>
      </c>
      <c r="DT56" s="73">
        <v>1.077</v>
      </c>
      <c r="DU56" s="73">
        <f t="shared" si="0"/>
        <v>182</v>
      </c>
      <c r="DW56" s="172">
        <v>0.61694915254237293</v>
      </c>
      <c r="DX56" s="61">
        <v>0.74257807762423078</v>
      </c>
      <c r="DY56" s="61">
        <v>0.15109596797150565</v>
      </c>
      <c r="DZ56" s="61">
        <v>0</v>
      </c>
      <c r="EA56" s="61">
        <v>0.1</v>
      </c>
      <c r="EB56" s="61">
        <v>6.3259544042635618E-3</v>
      </c>
      <c r="EC56" s="61">
        <v>1</v>
      </c>
      <c r="ED56" s="61">
        <v>0</v>
      </c>
      <c r="EE56" s="61">
        <v>0</v>
      </c>
      <c r="EF56" s="61">
        <v>0</v>
      </c>
      <c r="EG56" s="61">
        <v>0</v>
      </c>
    </row>
    <row r="57" spans="1:137" x14ac:dyDescent="0.35">
      <c r="DN57" s="4">
        <v>1399</v>
      </c>
      <c r="DO57" s="4">
        <v>150</v>
      </c>
      <c r="DP57" s="4">
        <v>300</v>
      </c>
      <c r="DQ57" s="150">
        <v>159.05815535089451</v>
      </c>
      <c r="DR57" s="4">
        <v>481555</v>
      </c>
      <c r="DS57" s="4">
        <v>2912759</v>
      </c>
      <c r="DT57" s="114">
        <v>0.9430512988729719</v>
      </c>
      <c r="DU57" s="114">
        <f t="shared" si="0"/>
        <v>150</v>
      </c>
      <c r="DW57" s="173">
        <v>0.66666666666666663</v>
      </c>
      <c r="DX57" s="276">
        <v>0.26936200351625389</v>
      </c>
      <c r="DY57" s="276">
        <v>0.19164819334520983</v>
      </c>
      <c r="DZ57" s="276">
        <v>0.48259104168933997</v>
      </c>
      <c r="EA57" s="276">
        <v>1.1556053899412893E-2</v>
      </c>
      <c r="EB57" s="276">
        <v>4.4842707549783416E-2</v>
      </c>
      <c r="EC57" s="113">
        <v>1</v>
      </c>
      <c r="ED57" s="113">
        <v>0</v>
      </c>
      <c r="EE57" s="113">
        <v>1</v>
      </c>
      <c r="EF57" s="113">
        <v>1</v>
      </c>
      <c r="EG57" s="113">
        <v>0</v>
      </c>
    </row>
    <row r="58" spans="1:137" x14ac:dyDescent="0.35">
      <c r="DN58" s="73">
        <v>4912.583333333333</v>
      </c>
      <c r="DO58" s="73">
        <v>113.65355071327794</v>
      </c>
      <c r="DP58" s="134">
        <v>304.96335001471886</v>
      </c>
      <c r="DQ58" s="134">
        <v>283.42021986816599</v>
      </c>
      <c r="DR58" s="69">
        <v>1210345</v>
      </c>
      <c r="DS58" s="69">
        <v>8570015.1999999993</v>
      </c>
      <c r="DT58" s="73">
        <v>0.67500406072096564</v>
      </c>
      <c r="DU58" s="73">
        <f t="shared" si="0"/>
        <v>191.30979930144093</v>
      </c>
      <c r="DW58" s="172">
        <v>0.91400896126622289</v>
      </c>
      <c r="DX58" s="61">
        <v>0.64738225901863045</v>
      </c>
      <c r="DY58" s="61">
        <v>0.15277853882919601</v>
      </c>
      <c r="DZ58" s="61">
        <v>0.18541974114585003</v>
      </c>
      <c r="EA58" s="61">
        <v>0</v>
      </c>
      <c r="EB58" s="61">
        <v>1.441946100632352E-2</v>
      </c>
      <c r="EC58" s="61">
        <v>1</v>
      </c>
      <c r="ED58" s="61">
        <v>0</v>
      </c>
      <c r="EE58" s="61">
        <v>1</v>
      </c>
      <c r="EF58" s="61"/>
      <c r="EG58" s="61">
        <v>0</v>
      </c>
    </row>
    <row r="59" spans="1:137" x14ac:dyDescent="0.35">
      <c r="DN59" s="4">
        <v>8629</v>
      </c>
      <c r="DO59" s="114">
        <v>170.88</v>
      </c>
      <c r="DP59" s="4">
        <v>355</v>
      </c>
      <c r="DQ59" s="150">
        <v>242.04066146747445</v>
      </c>
      <c r="DR59" s="4">
        <v>2395885</v>
      </c>
      <c r="DS59" s="4">
        <v>16971082</v>
      </c>
      <c r="DT59" s="114">
        <v>0.76069863172449703</v>
      </c>
      <c r="DU59" s="114">
        <f t="shared" si="0"/>
        <v>184.12</v>
      </c>
      <c r="DW59" s="173">
        <v>0.70023579523845747</v>
      </c>
      <c r="DX59" s="113">
        <v>0.48441902525719926</v>
      </c>
      <c r="DY59" s="113">
        <v>0.10635226439893461</v>
      </c>
      <c r="DZ59" s="113">
        <v>0.35839300051699707</v>
      </c>
      <c r="EA59" s="113">
        <v>0</v>
      </c>
      <c r="EB59" s="113">
        <v>5.0835709826869024E-2</v>
      </c>
      <c r="EC59" s="113">
        <v>1</v>
      </c>
      <c r="ED59" s="113">
        <v>0</v>
      </c>
      <c r="EE59" s="113">
        <v>1</v>
      </c>
      <c r="EF59" s="113">
        <v>0</v>
      </c>
      <c r="EG59" s="113">
        <v>1</v>
      </c>
    </row>
    <row r="60" spans="1:137" ht="15.5" x14ac:dyDescent="0.35">
      <c r="B60" s="57" t="s">
        <v>167</v>
      </c>
      <c r="C60" s="112"/>
      <c r="D60" s="112" t="s">
        <v>168</v>
      </c>
      <c r="F60" s="112" t="s">
        <v>172</v>
      </c>
      <c r="I60" s="112" t="s">
        <v>195</v>
      </c>
      <c r="K60" s="57" t="s">
        <v>196</v>
      </c>
      <c r="M60" s="112" t="s">
        <v>12</v>
      </c>
      <c r="P60" s="112" t="s">
        <v>170</v>
      </c>
      <c r="Q60" s="112"/>
      <c r="T60" s="112"/>
      <c r="DN60" s="69">
        <v>1337</v>
      </c>
      <c r="DO60" s="69">
        <v>187</v>
      </c>
      <c r="DP60" s="69">
        <v>381</v>
      </c>
      <c r="DR60" s="69">
        <v>484517</v>
      </c>
      <c r="DS60" s="69">
        <v>3586380.56</v>
      </c>
      <c r="DT60" s="73">
        <v>0.99</v>
      </c>
      <c r="DU60" s="73">
        <f t="shared" si="0"/>
        <v>194</v>
      </c>
      <c r="DW60" s="172">
        <v>0.68309859154929575</v>
      </c>
      <c r="DX60" s="61">
        <v>0.46624031444114228</v>
      </c>
      <c r="DY60" s="61">
        <v>0.12146713175358057</v>
      </c>
      <c r="DZ60" s="61">
        <v>0.41222619163427543</v>
      </c>
      <c r="EA60" s="61">
        <v>0</v>
      </c>
      <c r="EB60" s="61">
        <v>6.6362171001754788E-5</v>
      </c>
      <c r="EC60" s="61">
        <v>1</v>
      </c>
      <c r="ED60" s="61">
        <v>0</v>
      </c>
      <c r="EE60" s="61">
        <v>1</v>
      </c>
      <c r="EF60" s="61"/>
      <c r="EG60" s="61">
        <v>0</v>
      </c>
    </row>
    <row r="61" spans="1:137" x14ac:dyDescent="0.35">
      <c r="DT61" s="73" t="s">
        <v>259</v>
      </c>
      <c r="DU61" s="73"/>
      <c r="DW61" s="172" t="s">
        <v>259</v>
      </c>
      <c r="DX61" s="61"/>
      <c r="DY61" s="61"/>
      <c r="DZ61" s="61"/>
      <c r="EA61" s="61">
        <v>0</v>
      </c>
      <c r="EB61" s="61"/>
      <c r="EC61" s="61">
        <v>1</v>
      </c>
      <c r="ED61" s="61">
        <v>0</v>
      </c>
      <c r="EE61" s="61">
        <v>1</v>
      </c>
      <c r="EF61" s="61"/>
      <c r="EG61" s="61"/>
    </row>
    <row r="62" spans="1:137" x14ac:dyDescent="0.35">
      <c r="DN62" s="69">
        <v>4000</v>
      </c>
      <c r="DO62" s="69">
        <v>150</v>
      </c>
      <c r="DP62" s="69">
        <v>290</v>
      </c>
      <c r="DQ62" s="69">
        <v>120</v>
      </c>
      <c r="DR62" s="69">
        <v>560000</v>
      </c>
      <c r="DS62" s="69">
        <v>1900000</v>
      </c>
      <c r="DT62" s="73">
        <v>1.1666666666666667</v>
      </c>
      <c r="DU62" s="73">
        <f t="shared" si="0"/>
        <v>140</v>
      </c>
      <c r="DW62" s="172">
        <v>0.63636363636363635</v>
      </c>
      <c r="DX62" s="61">
        <v>0.69</v>
      </c>
      <c r="DY62" s="61">
        <v>0.15</v>
      </c>
      <c r="DZ62" s="61">
        <v>0</v>
      </c>
      <c r="EA62" s="61">
        <v>0.15</v>
      </c>
      <c r="EB62" s="61">
        <v>1.0000000000000009E-2</v>
      </c>
      <c r="EC62" s="61">
        <v>1</v>
      </c>
      <c r="ED62" s="61"/>
      <c r="EE62" s="61">
        <v>1</v>
      </c>
      <c r="EF62" s="61"/>
      <c r="EG62" s="61"/>
    </row>
    <row r="63" spans="1:137" x14ac:dyDescent="0.35">
      <c r="DT63" s="73"/>
      <c r="DU63" s="73"/>
      <c r="DW63" s="172" t="s">
        <v>259</v>
      </c>
      <c r="DX63" s="61"/>
      <c r="DY63" s="61"/>
      <c r="DZ63" s="61"/>
      <c r="EA63" s="61"/>
      <c r="EB63" s="61"/>
      <c r="EC63" s="61"/>
      <c r="ED63" s="61"/>
      <c r="EE63" s="61"/>
      <c r="EF63" s="61"/>
      <c r="EG63" s="61"/>
    </row>
    <row r="64" spans="1:137" x14ac:dyDescent="0.35">
      <c r="DT64" s="73"/>
      <c r="DU64" s="73"/>
      <c r="DW64" s="172" t="s">
        <v>259</v>
      </c>
      <c r="DX64" s="61"/>
      <c r="DY64" s="61"/>
      <c r="DZ64" s="61"/>
      <c r="EA64" s="61"/>
      <c r="EB64" s="61"/>
      <c r="EC64" s="61"/>
      <c r="ED64" s="61"/>
      <c r="EE64" s="61"/>
      <c r="EF64" s="61"/>
      <c r="EG64" s="61"/>
    </row>
    <row r="65" spans="1:137" x14ac:dyDescent="0.35">
      <c r="N65" s="77"/>
      <c r="DT65" s="73"/>
      <c r="DU65" s="73"/>
      <c r="DW65" s="172" t="s">
        <v>259</v>
      </c>
      <c r="DX65" s="61"/>
      <c r="DY65" s="61"/>
      <c r="DZ65" s="61"/>
      <c r="EA65" s="61"/>
      <c r="EB65" s="61"/>
      <c r="EC65" s="61"/>
      <c r="ED65" s="61"/>
      <c r="EE65" s="61"/>
      <c r="EF65" s="61"/>
      <c r="EG65" s="61"/>
    </row>
    <row r="66" spans="1:137" x14ac:dyDescent="0.35">
      <c r="DT66" s="73"/>
      <c r="DU66" s="73"/>
      <c r="DW66" s="172" t="s">
        <v>259</v>
      </c>
      <c r="DX66" s="61"/>
      <c r="DY66" s="61"/>
      <c r="DZ66" s="61"/>
      <c r="EA66" s="61"/>
      <c r="EB66" s="61"/>
      <c r="EC66" s="61"/>
      <c r="ED66" s="61"/>
      <c r="EE66" s="61"/>
      <c r="EF66" s="61"/>
      <c r="EG66" s="61"/>
    </row>
    <row r="67" spans="1:137" x14ac:dyDescent="0.35">
      <c r="DT67" s="73"/>
      <c r="DU67" s="73"/>
      <c r="DW67" s="172" t="s">
        <v>259</v>
      </c>
      <c r="DX67" s="61"/>
      <c r="DY67" s="61"/>
      <c r="DZ67" s="61"/>
      <c r="EA67" s="61"/>
      <c r="EB67" s="61"/>
      <c r="EC67" s="61"/>
      <c r="ED67" s="61"/>
      <c r="EE67" s="61"/>
      <c r="EF67" s="61"/>
      <c r="EG67" s="61"/>
    </row>
    <row r="68" spans="1:137" x14ac:dyDescent="0.35">
      <c r="DN68" s="69">
        <v>1332</v>
      </c>
      <c r="DO68" s="69">
        <v>320</v>
      </c>
      <c r="DP68" s="69">
        <v>392</v>
      </c>
      <c r="DQ68" s="69">
        <v>90</v>
      </c>
      <c r="DR68" s="69">
        <v>107000</v>
      </c>
      <c r="DS68" s="69">
        <v>891980</v>
      </c>
      <c r="DT68" s="73">
        <v>0.8</v>
      </c>
      <c r="DU68" s="73">
        <f t="shared" si="0"/>
        <v>72</v>
      </c>
      <c r="DW68" s="172">
        <v>0.20224719101123595</v>
      </c>
      <c r="DX68" s="61">
        <v>0.05</v>
      </c>
      <c r="DY68" s="61">
        <v>0</v>
      </c>
      <c r="DZ68" s="61">
        <v>0.9</v>
      </c>
      <c r="EA68" s="61">
        <v>0.02</v>
      </c>
      <c r="EB68" s="61">
        <v>0.05</v>
      </c>
      <c r="EC68" s="61">
        <v>1</v>
      </c>
      <c r="ED68" s="61">
        <v>0</v>
      </c>
      <c r="EE68" s="61">
        <v>1</v>
      </c>
      <c r="EF68" s="61">
        <v>1</v>
      </c>
      <c r="EG68" s="61">
        <v>0</v>
      </c>
    </row>
    <row r="69" spans="1:137" x14ac:dyDescent="0.35">
      <c r="DN69" s="69">
        <v>184</v>
      </c>
      <c r="DO69" s="69">
        <v>268</v>
      </c>
      <c r="DP69" s="69">
        <v>360</v>
      </c>
      <c r="DQ69" s="69">
        <v>90</v>
      </c>
      <c r="DR69" s="69">
        <v>16560</v>
      </c>
      <c r="DS69" s="69">
        <v>140760</v>
      </c>
      <c r="DT69" s="73">
        <v>1.0222222222222221</v>
      </c>
      <c r="DU69" s="73">
        <f t="shared" si="0"/>
        <v>92</v>
      </c>
      <c r="DW69" s="172">
        <v>0.2929936305732484</v>
      </c>
      <c r="DX69" s="61">
        <v>0.85</v>
      </c>
      <c r="DY69" s="61">
        <v>0.1</v>
      </c>
      <c r="DZ69" s="61">
        <v>0</v>
      </c>
      <c r="EA69" s="61">
        <v>0.05</v>
      </c>
      <c r="EB69" s="61">
        <v>0</v>
      </c>
      <c r="EC69" s="61">
        <v>1</v>
      </c>
      <c r="ED69" s="61">
        <v>0</v>
      </c>
      <c r="EE69" s="61">
        <v>0</v>
      </c>
      <c r="EF69" s="61">
        <v>1</v>
      </c>
      <c r="EG69" s="61">
        <v>0</v>
      </c>
    </row>
    <row r="70" spans="1:137" x14ac:dyDescent="0.35">
      <c r="DT70" s="73" t="s">
        <v>259</v>
      </c>
      <c r="DU70" s="73"/>
      <c r="DW70" s="172" t="s">
        <v>259</v>
      </c>
      <c r="DX70" s="61">
        <v>0</v>
      </c>
      <c r="DY70" s="61">
        <v>0</v>
      </c>
      <c r="DZ70" s="61">
        <v>0</v>
      </c>
      <c r="EA70" s="61">
        <v>0</v>
      </c>
      <c r="EB70" s="61">
        <v>0</v>
      </c>
      <c r="EC70" s="61">
        <v>0</v>
      </c>
      <c r="ED70" s="61">
        <v>0</v>
      </c>
      <c r="EE70" s="61">
        <v>0</v>
      </c>
      <c r="EF70" s="61">
        <v>0</v>
      </c>
      <c r="EG70" s="61">
        <v>0</v>
      </c>
    </row>
    <row r="71" spans="1:137" x14ac:dyDescent="0.35">
      <c r="B71" s="71"/>
      <c r="C71" s="71"/>
      <c r="D71" s="71"/>
      <c r="E71" s="71"/>
      <c r="F71" s="71"/>
      <c r="G71" s="71"/>
      <c r="H71" s="71"/>
      <c r="I71" s="71"/>
      <c r="J71" s="71"/>
      <c r="K71" s="71"/>
      <c r="L71" s="71"/>
      <c r="M71" s="71"/>
      <c r="N71" s="71"/>
      <c r="O71" s="71"/>
      <c r="P71" s="71"/>
      <c r="Q71" s="71"/>
      <c r="R71" s="71"/>
      <c r="S71" s="71"/>
      <c r="T71" s="71"/>
      <c r="U71" s="71"/>
      <c r="V71" s="71"/>
      <c r="DN71" s="69">
        <v>350</v>
      </c>
      <c r="DO71" s="69">
        <v>260</v>
      </c>
      <c r="DP71" s="69">
        <v>360</v>
      </c>
      <c r="DQ71" s="69">
        <v>95</v>
      </c>
      <c r="DR71" s="69">
        <v>35000</v>
      </c>
      <c r="DS71" s="69">
        <v>280000</v>
      </c>
      <c r="DT71" s="73">
        <v>1.0526315789473684</v>
      </c>
      <c r="DU71" s="73">
        <f t="shared" si="0"/>
        <v>100</v>
      </c>
      <c r="DW71" s="172">
        <v>0.32258064516129031</v>
      </c>
      <c r="DX71" s="61">
        <v>0.6</v>
      </c>
      <c r="DY71" s="61">
        <v>0</v>
      </c>
      <c r="DZ71" s="61">
        <v>0.3</v>
      </c>
      <c r="EA71" s="61">
        <v>0.02</v>
      </c>
      <c r="EB71" s="61">
        <v>0.08</v>
      </c>
      <c r="EC71" s="61">
        <v>1</v>
      </c>
      <c r="ED71" s="61">
        <v>0</v>
      </c>
      <c r="EE71" s="61">
        <v>1</v>
      </c>
      <c r="EF71" s="61">
        <v>1</v>
      </c>
      <c r="EG71" s="61">
        <v>0</v>
      </c>
    </row>
    <row r="72" spans="1:137" x14ac:dyDescent="0.35">
      <c r="B72" s="71"/>
      <c r="C72" s="71"/>
      <c r="D72" s="71"/>
      <c r="E72" s="71"/>
      <c r="F72" s="71"/>
      <c r="G72" s="71"/>
      <c r="H72" s="71"/>
      <c r="I72" s="71"/>
      <c r="J72" s="71"/>
      <c r="K72" s="71"/>
      <c r="L72" s="71"/>
      <c r="M72" s="71"/>
      <c r="N72" s="71"/>
      <c r="O72" s="71"/>
      <c r="P72" s="71"/>
      <c r="Q72" s="71"/>
      <c r="R72" s="71"/>
      <c r="S72" s="71"/>
      <c r="T72" s="71"/>
      <c r="U72" s="71"/>
      <c r="V72" s="71"/>
      <c r="DN72" s="4">
        <v>120</v>
      </c>
      <c r="DO72" s="4">
        <v>180</v>
      </c>
      <c r="DP72" s="4">
        <v>320</v>
      </c>
      <c r="DQ72" s="4">
        <v>116</v>
      </c>
      <c r="DR72" s="4">
        <v>16800</v>
      </c>
      <c r="DS72" s="4">
        <v>109200</v>
      </c>
      <c r="DT72" s="114">
        <v>1.2068965517241379</v>
      </c>
      <c r="DU72" s="114">
        <f t="shared" si="0"/>
        <v>140</v>
      </c>
      <c r="DW72" s="173">
        <v>0.56000000000000005</v>
      </c>
      <c r="DX72" s="113">
        <v>0.85</v>
      </c>
      <c r="DY72" s="113">
        <v>0.15</v>
      </c>
      <c r="DZ72" s="113">
        <v>0</v>
      </c>
      <c r="EA72" s="113">
        <v>0</v>
      </c>
      <c r="EB72" s="113">
        <v>0</v>
      </c>
      <c r="EC72" s="113">
        <v>1</v>
      </c>
      <c r="ED72" s="113">
        <v>0</v>
      </c>
      <c r="EE72" s="113">
        <v>0</v>
      </c>
      <c r="EF72" s="113">
        <v>0</v>
      </c>
      <c r="EG72" s="113">
        <v>0</v>
      </c>
    </row>
    <row r="73" spans="1:137" x14ac:dyDescent="0.35">
      <c r="B73" s="71"/>
      <c r="C73" s="71"/>
      <c r="D73" s="71"/>
      <c r="E73" s="71"/>
      <c r="F73" s="71"/>
      <c r="G73" s="71"/>
      <c r="H73" s="71"/>
      <c r="I73" s="71"/>
      <c r="J73" s="71"/>
      <c r="K73" s="71"/>
      <c r="L73" s="71"/>
      <c r="M73" s="71"/>
      <c r="N73" s="71"/>
      <c r="O73" s="71"/>
      <c r="P73" s="71"/>
      <c r="Q73" s="71"/>
      <c r="R73" s="71"/>
      <c r="S73" s="71"/>
      <c r="T73" s="71"/>
      <c r="U73" s="71"/>
      <c r="V73" s="71"/>
      <c r="DN73" s="69">
        <v>150</v>
      </c>
      <c r="DO73" s="69">
        <v>280</v>
      </c>
      <c r="DP73" s="69">
        <v>400</v>
      </c>
      <c r="DQ73" s="69">
        <v>120</v>
      </c>
      <c r="DR73" s="69">
        <v>18000</v>
      </c>
      <c r="DS73" s="69">
        <v>144000</v>
      </c>
      <c r="DT73" s="73">
        <v>1</v>
      </c>
      <c r="DU73" s="73">
        <f t="shared" si="0"/>
        <v>120</v>
      </c>
      <c r="DW73" s="172">
        <v>0.35294117647058826</v>
      </c>
      <c r="DX73" s="61">
        <v>0.6</v>
      </c>
      <c r="DY73" s="61">
        <v>0.05</v>
      </c>
      <c r="DZ73" s="61">
        <v>0.3</v>
      </c>
      <c r="EA73" s="61">
        <v>0.02</v>
      </c>
      <c r="EB73" s="61">
        <v>0.03</v>
      </c>
      <c r="EC73" s="61">
        <v>1</v>
      </c>
      <c r="ED73" s="61">
        <v>0</v>
      </c>
      <c r="EE73" s="61">
        <v>1</v>
      </c>
      <c r="EF73" s="61">
        <v>1</v>
      </c>
      <c r="EG73" s="61">
        <v>0</v>
      </c>
    </row>
    <row r="74" spans="1:137" ht="21" x14ac:dyDescent="0.5">
      <c r="B74" s="180" t="s">
        <v>440</v>
      </c>
      <c r="C74" s="179"/>
      <c r="D74" s="179"/>
      <c r="E74" s="179"/>
      <c r="F74" s="179"/>
      <c r="G74" s="179"/>
      <c r="H74" s="179"/>
      <c r="I74" s="179"/>
      <c r="J74" s="179"/>
      <c r="K74" s="179"/>
      <c r="L74" s="179"/>
      <c r="M74" s="179"/>
      <c r="N74" s="179"/>
      <c r="O74" s="179"/>
      <c r="P74" s="179"/>
      <c r="Q74" s="179"/>
      <c r="R74" s="179"/>
      <c r="S74" s="179"/>
      <c r="T74" s="179"/>
      <c r="U74" s="179"/>
      <c r="V74" s="179"/>
      <c r="W74" s="179"/>
      <c r="X74" s="179"/>
      <c r="DT74" s="73" t="s">
        <v>259</v>
      </c>
      <c r="DU74" s="73"/>
      <c r="DW74" s="172" t="s">
        <v>259</v>
      </c>
      <c r="DX74" s="61">
        <v>0</v>
      </c>
      <c r="DY74" s="61">
        <v>0</v>
      </c>
      <c r="DZ74" s="61">
        <v>0</v>
      </c>
      <c r="EA74" s="61">
        <v>0</v>
      </c>
      <c r="EB74" s="61">
        <v>0</v>
      </c>
      <c r="EC74" s="61">
        <v>0</v>
      </c>
      <c r="ED74" s="61">
        <v>0</v>
      </c>
      <c r="EE74" s="61">
        <v>0</v>
      </c>
      <c r="EF74" s="61">
        <v>0</v>
      </c>
      <c r="EG74" s="61">
        <v>0</v>
      </c>
    </row>
    <row r="75" spans="1:137" s="78" customFormat="1" ht="15" thickBot="1" x14ac:dyDescent="0.4">
      <c r="B75" s="82"/>
      <c r="C75" s="82"/>
      <c r="D75" s="82"/>
      <c r="E75" s="82"/>
      <c r="F75" s="82"/>
      <c r="G75" s="82"/>
      <c r="H75" s="82"/>
      <c r="I75" s="82"/>
      <c r="J75" s="82"/>
      <c r="K75" s="82"/>
      <c r="L75" s="82"/>
      <c r="M75" s="82"/>
      <c r="N75" s="82"/>
      <c r="O75" s="82"/>
      <c r="P75" s="82"/>
      <c r="Q75" s="82"/>
      <c r="R75" s="82"/>
      <c r="S75" s="82"/>
      <c r="T75" s="82"/>
      <c r="U75" s="82"/>
      <c r="V75" s="82"/>
      <c r="W75" s="82"/>
      <c r="X75" s="82"/>
      <c r="DN75" s="69">
        <v>450</v>
      </c>
      <c r="DO75" s="69">
        <v>160</v>
      </c>
      <c r="DP75" s="69">
        <v>320</v>
      </c>
      <c r="DQ75" s="69">
        <v>210</v>
      </c>
      <c r="DR75" s="69">
        <v>72000</v>
      </c>
      <c r="DS75" s="69">
        <v>504000</v>
      </c>
      <c r="DT75" s="73">
        <v>0.76190476190476186</v>
      </c>
      <c r="DU75" s="73">
        <f t="shared" si="0"/>
        <v>160</v>
      </c>
      <c r="DW75" s="172">
        <v>0.66666666666666663</v>
      </c>
      <c r="DX75" s="61">
        <v>0.65</v>
      </c>
      <c r="DY75" s="61">
        <v>0</v>
      </c>
      <c r="DZ75" s="61">
        <v>0.32</v>
      </c>
      <c r="EA75" s="61">
        <v>2.8000000000000001E-2</v>
      </c>
      <c r="EB75" s="61">
        <v>2E-3</v>
      </c>
      <c r="EC75" s="61">
        <v>1</v>
      </c>
      <c r="ED75" s="61">
        <v>0</v>
      </c>
      <c r="EE75" s="61">
        <v>1</v>
      </c>
      <c r="EF75" s="61">
        <v>1</v>
      </c>
      <c r="EG75" s="61">
        <v>0</v>
      </c>
    </row>
    <row r="76" spans="1:137" x14ac:dyDescent="0.35">
      <c r="B76" s="224"/>
      <c r="C76" s="225"/>
      <c r="D76" s="193" t="s">
        <v>443</v>
      </c>
      <c r="F76" s="82"/>
      <c r="G76" s="82"/>
      <c r="H76" s="82"/>
      <c r="I76" s="82"/>
      <c r="J76" s="82"/>
      <c r="K76" s="82"/>
      <c r="L76" s="82"/>
      <c r="M76" s="82"/>
      <c r="N76" s="82"/>
      <c r="O76" s="82"/>
      <c r="P76" s="82"/>
      <c r="Q76" s="82"/>
      <c r="R76" s="82"/>
      <c r="S76" s="82"/>
      <c r="T76" s="82"/>
      <c r="U76" s="82"/>
      <c r="V76" s="82"/>
      <c r="W76" s="82"/>
      <c r="X76" s="82"/>
      <c r="DN76" s="69">
        <v>450</v>
      </c>
      <c r="DO76" s="69">
        <v>260</v>
      </c>
      <c r="DP76" s="69">
        <v>350</v>
      </c>
      <c r="DQ76" s="69">
        <v>90</v>
      </c>
      <c r="DR76" s="69">
        <v>40500</v>
      </c>
      <c r="DS76" s="69">
        <v>283500</v>
      </c>
      <c r="DT76" s="73">
        <v>1</v>
      </c>
      <c r="DU76" s="73">
        <f t="shared" si="0"/>
        <v>90</v>
      </c>
      <c r="DW76" s="172">
        <v>0.29508196721311475</v>
      </c>
      <c r="DX76" s="61">
        <v>0.61899999999999999</v>
      </c>
      <c r="DY76" s="61">
        <v>2.1000000000000001E-2</v>
      </c>
      <c r="DZ76" s="61">
        <v>0.36</v>
      </c>
      <c r="EA76" s="61">
        <v>0</v>
      </c>
      <c r="EB76" s="61">
        <v>0</v>
      </c>
      <c r="EC76" s="61">
        <v>1</v>
      </c>
      <c r="ED76" s="61">
        <v>0</v>
      </c>
      <c r="EE76" s="61">
        <v>1</v>
      </c>
      <c r="EF76" s="61">
        <v>0</v>
      </c>
      <c r="EG76" s="61">
        <v>0</v>
      </c>
    </row>
    <row r="77" spans="1:137" ht="15" thickBot="1" x14ac:dyDescent="0.4">
      <c r="A77" s="190" t="str">
        <f ca="1">+HLOOKUP(Gráficos!$C77,Consolidado!$A$8:$DW$10,2,FALSE)</f>
        <v>Consolidado!I11:I25</v>
      </c>
      <c r="B77" s="191"/>
      <c r="C77" s="192" t="s">
        <v>8</v>
      </c>
      <c r="D77" s="250" t="s">
        <v>167</v>
      </c>
      <c r="E77" s="194" t="s">
        <v>444</v>
      </c>
      <c r="DT77" s="73" t="s">
        <v>259</v>
      </c>
      <c r="DU77" s="73"/>
      <c r="DW77" s="172" t="s">
        <v>259</v>
      </c>
      <c r="DX77" s="61">
        <v>0</v>
      </c>
      <c r="DY77" s="61">
        <v>0</v>
      </c>
      <c r="DZ77" s="61">
        <v>0</v>
      </c>
      <c r="EA77" s="61">
        <v>0</v>
      </c>
      <c r="EB77" s="61">
        <v>0</v>
      </c>
      <c r="EC77" s="61">
        <v>0</v>
      </c>
      <c r="ED77" s="61">
        <v>0</v>
      </c>
      <c r="EE77" s="61">
        <v>0</v>
      </c>
      <c r="EF77" s="61">
        <v>0</v>
      </c>
      <c r="EG77" s="61">
        <v>0</v>
      </c>
    </row>
    <row r="78" spans="1:137" x14ac:dyDescent="0.35">
      <c r="A78" s="190"/>
      <c r="B78" s="71"/>
      <c r="C78" s="88"/>
      <c r="D78" s="194"/>
      <c r="E78" s="194"/>
      <c r="J78" s="13"/>
      <c r="DT78" s="73"/>
      <c r="DU78" s="73"/>
      <c r="DW78" s="172" t="s">
        <v>259</v>
      </c>
      <c r="DX78" s="61"/>
      <c r="DY78" s="61"/>
      <c r="DZ78" s="61"/>
      <c r="EA78" s="61"/>
      <c r="EB78" s="61"/>
      <c r="EC78" s="61"/>
      <c r="ED78" s="61"/>
      <c r="EE78" s="61"/>
      <c r="EF78" s="61"/>
      <c r="EG78" s="61"/>
    </row>
    <row r="79" spans="1:137" x14ac:dyDescent="0.35">
      <c r="DT79" s="73"/>
      <c r="DU79" s="73"/>
      <c r="DW79" s="172" t="s">
        <v>259</v>
      </c>
      <c r="DX79" s="61"/>
      <c r="DY79" s="61"/>
      <c r="DZ79" s="61"/>
      <c r="EA79" s="61"/>
      <c r="EB79" s="61"/>
      <c r="EC79" s="61"/>
      <c r="ED79" s="61"/>
      <c r="EE79" s="61"/>
      <c r="EF79" s="61"/>
      <c r="EG79" s="61"/>
    </row>
    <row r="80" spans="1:137" x14ac:dyDescent="0.35">
      <c r="A80" s="190" t="str">
        <f ca="1">+HLOOKUP(Gráficos!B$80,Consolidado!$A$8:$DW$10,2,FALSE)</f>
        <v>Consolidado!AK11:AK25</v>
      </c>
      <c r="B80" s="223" t="s">
        <v>43</v>
      </c>
      <c r="C80" s="241" t="s">
        <v>455</v>
      </c>
      <c r="D80" s="239"/>
      <c r="E80" s="239"/>
      <c r="F80" s="239"/>
      <c r="G80" s="240"/>
      <c r="H80" s="240"/>
      <c r="U80" s="77"/>
      <c r="V80" s="81"/>
      <c r="DT80" s="73"/>
      <c r="DU80" s="73"/>
      <c r="DW80" s="172" t="s">
        <v>259</v>
      </c>
      <c r="DX80" s="61"/>
      <c r="DY80" s="61"/>
      <c r="DZ80" s="61"/>
      <c r="EA80" s="61"/>
      <c r="EB80" s="61"/>
      <c r="EC80" s="61"/>
      <c r="ED80" s="61"/>
      <c r="EE80" s="61"/>
      <c r="EF80" s="61"/>
      <c r="EG80" s="61"/>
    </row>
    <row r="81" spans="1:137" x14ac:dyDescent="0.35">
      <c r="B81" s="195" t="s">
        <v>446</v>
      </c>
      <c r="C81" s="196" t="s">
        <v>445</v>
      </c>
      <c r="D81" s="196" t="s">
        <v>445</v>
      </c>
      <c r="U81" s="77"/>
      <c r="V81" s="81"/>
      <c r="W81" s="77"/>
      <c r="DT81" s="73"/>
      <c r="DU81" s="73"/>
      <c r="DW81" s="172" t="s">
        <v>259</v>
      </c>
      <c r="DX81" s="61"/>
      <c r="DY81" s="61"/>
      <c r="DZ81" s="61"/>
      <c r="EA81" s="61"/>
      <c r="EB81" s="61"/>
      <c r="EC81" s="61"/>
      <c r="ED81" s="61"/>
      <c r="EE81" s="61"/>
      <c r="EF81" s="61"/>
      <c r="EG81" s="61"/>
    </row>
    <row r="82" spans="1:137" x14ac:dyDescent="0.35">
      <c r="B82" s="69" t="s">
        <v>453</v>
      </c>
      <c r="C82" s="198" t="s">
        <v>448</v>
      </c>
      <c r="D82" s="199" t="s">
        <v>448</v>
      </c>
      <c r="E82" s="119" t="s">
        <v>228</v>
      </c>
      <c r="F82" s="123" t="s">
        <v>38</v>
      </c>
      <c r="W82" s="66"/>
      <c r="DT82" s="73"/>
      <c r="DU82" s="73"/>
      <c r="DW82" s="172" t="s">
        <v>259</v>
      </c>
      <c r="DX82" s="61"/>
      <c r="DY82" s="61"/>
      <c r="DZ82" s="61"/>
      <c r="EA82" s="61"/>
      <c r="EB82" s="61"/>
      <c r="EC82" s="61"/>
      <c r="ED82" s="61"/>
      <c r="EE82" s="61"/>
      <c r="EF82" s="61"/>
      <c r="EG82" s="61"/>
    </row>
    <row r="83" spans="1:137" x14ac:dyDescent="0.35">
      <c r="A83" s="127" t="s">
        <v>260</v>
      </c>
      <c r="B83" s="69" t="s">
        <v>454</v>
      </c>
      <c r="C83" s="200" t="s">
        <v>447</v>
      </c>
      <c r="D83" s="201" t="s">
        <v>449</v>
      </c>
      <c r="E83" s="122"/>
      <c r="F83" s="197"/>
      <c r="W83" s="66"/>
      <c r="DT83" s="73"/>
      <c r="DU83" s="73"/>
      <c r="DW83" s="172" t="s">
        <v>259</v>
      </c>
      <c r="DX83" s="61"/>
      <c r="DY83" s="61"/>
      <c r="DZ83" s="61"/>
      <c r="EA83" s="61"/>
      <c r="EB83" s="61"/>
      <c r="EC83" s="61"/>
      <c r="ED83" s="61"/>
      <c r="EE83" s="61"/>
      <c r="EF83" s="61"/>
      <c r="EG83" s="61"/>
    </row>
    <row r="84" spans="1:137" x14ac:dyDescent="0.35">
      <c r="A84" s="127" t="str">
        <f>"&gt;"&amp;C84</f>
        <v>&gt;5000</v>
      </c>
      <c r="C84" s="202">
        <v>5000</v>
      </c>
      <c r="D84" s="203"/>
      <c r="E84" s="118">
        <f ca="1">IFERROR(COUNTIFS(INDIRECT($A$77),Gráficos!D$77,INDIRECT($A$80),"&gt;"&amp;$C84),"")</f>
        <v>0</v>
      </c>
      <c r="F84" s="124" t="e">
        <f ca="1">+E84/SUM($E$84:$E$88)</f>
        <v>#DIV/0!</v>
      </c>
      <c r="U84" s="77"/>
      <c r="W84" s="79"/>
      <c r="DT84" s="73"/>
      <c r="DU84" s="73"/>
      <c r="DW84" s="172" t="s">
        <v>259</v>
      </c>
      <c r="DX84" s="61"/>
      <c r="DY84" s="61"/>
      <c r="DZ84" s="61"/>
      <c r="EA84" s="61"/>
      <c r="EB84" s="61"/>
      <c r="EC84" s="61"/>
      <c r="ED84" s="61"/>
      <c r="EE84" s="61"/>
      <c r="EF84" s="61"/>
      <c r="EG84" s="61"/>
    </row>
    <row r="85" spans="1:137" x14ac:dyDescent="0.35">
      <c r="A85" s="127" t="str">
        <f>C85&amp;"-"&amp;D85</f>
        <v>3000-5000</v>
      </c>
      <c r="C85" s="202">
        <v>3000</v>
      </c>
      <c r="D85" s="203">
        <v>5000</v>
      </c>
      <c r="E85" s="120">
        <f ca="1">IFERROR(COUNTIFS(INDIRECT($A$77),Gráficos!D$77,INDIRECT($A$80),"&gt;"&amp;$C85,INDIRECT($A$80),"&lt;="&amp;$D85),"")</f>
        <v>0</v>
      </c>
      <c r="F85" s="125" t="e">
        <f ca="1">+E85/SUM($E$84:$E$88)</f>
        <v>#DIV/0!</v>
      </c>
      <c r="U85" s="77"/>
      <c r="V85" s="61"/>
      <c r="W85" s="79"/>
      <c r="DT85" s="73"/>
      <c r="DU85" s="73"/>
      <c r="DW85" s="172" t="s">
        <v>259</v>
      </c>
      <c r="DX85" s="61"/>
      <c r="DY85" s="61"/>
      <c r="DZ85" s="61"/>
      <c r="EA85" s="61"/>
      <c r="EB85" s="61"/>
      <c r="EC85" s="61"/>
      <c r="ED85" s="61"/>
      <c r="EE85" s="61"/>
      <c r="EF85" s="61"/>
      <c r="EG85" s="61"/>
    </row>
    <row r="86" spans="1:137" x14ac:dyDescent="0.35">
      <c r="A86" s="127" t="str">
        <f>C86&amp;"-"&amp;D86</f>
        <v>1500-3000</v>
      </c>
      <c r="C86" s="202">
        <v>1500</v>
      </c>
      <c r="D86" s="203">
        <v>3000</v>
      </c>
      <c r="E86" s="120">
        <f ca="1">IFERROR(COUNTIFS(INDIRECT($A$77),Gráficos!D$77,INDIRECT($A$80),"&gt;"&amp;$C86,INDIRECT($A$80),"&lt;="&amp;$D86),"")</f>
        <v>0</v>
      </c>
      <c r="F86" s="125" t="e">
        <f ca="1">+E86/SUM($E$84:$E$88)</f>
        <v>#DIV/0!</v>
      </c>
      <c r="U86" s="77"/>
      <c r="V86" s="80"/>
      <c r="W86" s="79"/>
      <c r="DT86" s="73"/>
      <c r="DU86" s="73"/>
      <c r="DW86" s="172" t="s">
        <v>259</v>
      </c>
      <c r="DX86" s="61"/>
      <c r="DY86" s="61"/>
      <c r="DZ86" s="61"/>
      <c r="EA86" s="61"/>
      <c r="EB86" s="61"/>
      <c r="EC86" s="61"/>
      <c r="ED86" s="61"/>
      <c r="EE86" s="61"/>
      <c r="EF86" s="61"/>
      <c r="EG86" s="61"/>
    </row>
    <row r="87" spans="1:137" x14ac:dyDescent="0.35">
      <c r="A87" s="127" t="str">
        <f>C87&amp;"-"&amp;D87</f>
        <v>500-1500</v>
      </c>
      <c r="C87" s="202">
        <v>500</v>
      </c>
      <c r="D87" s="203">
        <v>1500</v>
      </c>
      <c r="E87" s="120">
        <f ca="1">IFERROR(COUNTIFS(INDIRECT($A$77),Gráficos!D$77,INDIRECT($A$80),"&gt;"&amp;$C87,INDIRECT($A$80),"&lt;="&amp;$D87),"")</f>
        <v>0</v>
      </c>
      <c r="F87" s="125" t="e">
        <f ca="1">+E87/SUM($E$84:$E$88)</f>
        <v>#DIV/0!</v>
      </c>
      <c r="W87" s="79"/>
      <c r="DT87" s="73"/>
      <c r="DU87" s="73"/>
      <c r="DW87" s="172" t="s">
        <v>259</v>
      </c>
      <c r="DX87" s="61"/>
      <c r="DY87" s="61"/>
      <c r="DZ87" s="61"/>
      <c r="EA87" s="61"/>
      <c r="EB87" s="61"/>
      <c r="EC87" s="61"/>
      <c r="ED87" s="61"/>
      <c r="EE87" s="61"/>
      <c r="EF87" s="61"/>
      <c r="EG87" s="61"/>
    </row>
    <row r="88" spans="1:137" x14ac:dyDescent="0.35">
      <c r="A88" s="127" t="str">
        <f>+"&lt;"&amp;D88</f>
        <v>&lt;500</v>
      </c>
      <c r="C88" s="204">
        <v>0</v>
      </c>
      <c r="D88" s="205">
        <v>500</v>
      </c>
      <c r="E88" s="121">
        <f ca="1">IFERROR(COUNTIFS(INDIRECT($A$77),Gráficos!D$77,INDIRECT($A$80),"&gt;"&amp;$C88,INDIRECT($A$80),"&lt;="&amp;$D88),"")</f>
        <v>0</v>
      </c>
      <c r="F88" s="126" t="e">
        <f ca="1">+E88/SUM($E$84:$E$88)</f>
        <v>#DIV/0!</v>
      </c>
      <c r="J88" s="74"/>
      <c r="DT88" s="73"/>
      <c r="DU88" s="73"/>
      <c r="DW88" s="172" t="s">
        <v>259</v>
      </c>
      <c r="DX88" s="61"/>
      <c r="DY88" s="61"/>
      <c r="DZ88" s="61"/>
      <c r="EA88" s="61"/>
      <c r="EB88" s="61"/>
      <c r="EC88" s="61"/>
      <c r="ED88" s="61"/>
      <c r="EE88" s="61"/>
      <c r="EF88" s="61"/>
      <c r="EG88" s="61"/>
    </row>
    <row r="89" spans="1:137" x14ac:dyDescent="0.35">
      <c r="C89" s="13"/>
      <c r="J89" s="74"/>
      <c r="DT89" s="73"/>
      <c r="DU89" s="73"/>
      <c r="DW89" s="172" t="s">
        <v>259</v>
      </c>
      <c r="DX89" s="61"/>
      <c r="DY89" s="61"/>
      <c r="DZ89" s="61"/>
      <c r="EA89" s="61"/>
      <c r="EB89" s="61"/>
      <c r="EC89" s="61"/>
      <c r="ED89" s="61"/>
      <c r="EE89" s="61"/>
      <c r="EF89" s="61"/>
      <c r="EG89" s="61"/>
    </row>
    <row r="90" spans="1:137" x14ac:dyDescent="0.35">
      <c r="DT90" s="73"/>
      <c r="DU90" s="73"/>
      <c r="DW90" s="172" t="s">
        <v>259</v>
      </c>
      <c r="DX90" s="61"/>
      <c r="DY90" s="61"/>
      <c r="DZ90" s="61"/>
      <c r="EA90" s="61"/>
      <c r="EB90" s="61"/>
      <c r="EC90" s="61"/>
      <c r="ED90" s="61"/>
      <c r="EE90" s="61"/>
      <c r="EF90" s="61"/>
      <c r="EG90" s="61"/>
    </row>
    <row r="91" spans="1:137" x14ac:dyDescent="0.35">
      <c r="DT91" s="73"/>
      <c r="DU91" s="73"/>
      <c r="DW91" s="172" t="s">
        <v>259</v>
      </c>
      <c r="DX91" s="61"/>
      <c r="DY91" s="61"/>
      <c r="DZ91" s="61"/>
      <c r="EA91" s="61"/>
      <c r="EB91" s="61"/>
      <c r="EC91" s="61"/>
      <c r="ED91" s="61"/>
      <c r="EE91" s="61"/>
      <c r="EF91" s="61"/>
      <c r="EG91" s="61"/>
    </row>
    <row r="92" spans="1:137" x14ac:dyDescent="0.35">
      <c r="B92" s="223" t="s">
        <v>187</v>
      </c>
      <c r="C92" s="241" t="s">
        <v>456</v>
      </c>
      <c r="D92" s="239"/>
      <c r="E92" s="239"/>
      <c r="F92" s="239"/>
      <c r="G92" s="240"/>
      <c r="H92" s="240"/>
      <c r="DT92" s="73"/>
      <c r="DU92" s="73"/>
      <c r="DW92" s="172" t="s">
        <v>259</v>
      </c>
      <c r="DX92" s="61"/>
      <c r="DY92" s="61"/>
      <c r="DZ92" s="61"/>
      <c r="EA92" s="61"/>
      <c r="EB92" s="61"/>
      <c r="EC92" s="61"/>
      <c r="ED92" s="61"/>
      <c r="EE92" s="61"/>
      <c r="EF92" s="61"/>
      <c r="EG92" s="61"/>
    </row>
    <row r="93" spans="1:137" x14ac:dyDescent="0.35">
      <c r="B93" s="195" t="s">
        <v>446</v>
      </c>
      <c r="C93" s="196" t="s">
        <v>445</v>
      </c>
      <c r="D93" s="196" t="s">
        <v>445</v>
      </c>
      <c r="E93" s="196"/>
      <c r="DT93" s="73"/>
      <c r="DU93" s="73"/>
      <c r="DW93" s="172" t="s">
        <v>259</v>
      </c>
      <c r="DX93" s="61"/>
      <c r="DY93" s="61"/>
      <c r="DZ93" s="61"/>
      <c r="EA93" s="61"/>
      <c r="EB93" s="61"/>
      <c r="EC93" s="61"/>
      <c r="ED93" s="61"/>
      <c r="EE93" s="61"/>
      <c r="EF93" s="61"/>
      <c r="EG93" s="61"/>
    </row>
    <row r="94" spans="1:137" x14ac:dyDescent="0.35">
      <c r="A94" s="190" t="str">
        <f ca="1">+HLOOKUP(Gráficos!B$92,Consolidado!$A$8:$DW$10,2,FALSE)</f>
        <v>Consolidado!AN11:AN25</v>
      </c>
      <c r="C94" s="206" t="s">
        <v>448</v>
      </c>
      <c r="D94" s="207" t="s">
        <v>448</v>
      </c>
      <c r="E94" s="118" t="s">
        <v>261</v>
      </c>
      <c r="F94" s="123" t="s">
        <v>38</v>
      </c>
      <c r="DT94" s="73"/>
      <c r="DU94" s="73"/>
      <c r="DW94" s="172" t="s">
        <v>259</v>
      </c>
      <c r="DX94" s="61"/>
      <c r="DY94" s="61"/>
      <c r="DZ94" s="61"/>
      <c r="EA94" s="61"/>
      <c r="EB94" s="61"/>
      <c r="EC94" s="61"/>
      <c r="ED94" s="61"/>
      <c r="EE94" s="61"/>
      <c r="EF94" s="61"/>
      <c r="EG94" s="61"/>
    </row>
    <row r="95" spans="1:137" x14ac:dyDescent="0.35">
      <c r="A95" s="127" t="s">
        <v>260</v>
      </c>
      <c r="C95" s="208" t="s">
        <v>447</v>
      </c>
      <c r="D95" s="209" t="s">
        <v>449</v>
      </c>
      <c r="E95" s="122"/>
      <c r="F95" s="126"/>
      <c r="DT95" s="73"/>
      <c r="DU95" s="73"/>
      <c r="DW95" s="172" t="s">
        <v>259</v>
      </c>
      <c r="DX95" s="61"/>
      <c r="DY95" s="61"/>
      <c r="DZ95" s="61"/>
      <c r="EA95" s="61"/>
      <c r="EB95" s="61"/>
      <c r="EC95" s="61"/>
      <c r="ED95" s="61"/>
      <c r="EE95" s="61"/>
      <c r="EF95" s="61"/>
      <c r="EG95" s="61"/>
    </row>
    <row r="96" spans="1:137" x14ac:dyDescent="0.35">
      <c r="A96" s="214" t="str">
        <f>"&gt;"&amp;C96</f>
        <v>&gt;151</v>
      </c>
      <c r="C96" s="210">
        <f>+D97+1</f>
        <v>151</v>
      </c>
      <c r="D96" s="211"/>
      <c r="E96" s="118">
        <f ca="1">IFERROR(COUNTIFS(INDIRECT($A$77),Gráficos!D$77,INDIRECT($A$80),"&gt;"&amp;$C96),"")</f>
        <v>0</v>
      </c>
      <c r="F96" s="125" t="e">
        <f ca="1">+E96/SUM(E$96:E$99)</f>
        <v>#DIV/0!</v>
      </c>
      <c r="DT96" s="73"/>
      <c r="DU96" s="73"/>
      <c r="DW96" s="172" t="s">
        <v>259</v>
      </c>
      <c r="DX96" s="61"/>
      <c r="DY96" s="61"/>
      <c r="DZ96" s="61"/>
      <c r="EA96" s="61"/>
      <c r="EB96" s="61"/>
      <c r="EC96" s="61"/>
      <c r="ED96" s="61"/>
      <c r="EE96" s="61"/>
      <c r="EF96" s="61"/>
      <c r="EG96" s="61"/>
    </row>
    <row r="97" spans="1:137" x14ac:dyDescent="0.35">
      <c r="A97" s="214" t="str">
        <f>C97&amp;"-"&amp;D97</f>
        <v>101-150</v>
      </c>
      <c r="C97" s="210">
        <f>+D98+1</f>
        <v>101</v>
      </c>
      <c r="D97" s="211">
        <f>+D98+D99</f>
        <v>150</v>
      </c>
      <c r="E97" s="120">
        <f ca="1">IFERROR(COUNTIFS(INDIRECT($A$77),$D$77,INDIRECT(A$94),"&gt;"&amp;C97,INDIRECT(A$94),"&lt;="&amp;D97),"")</f>
        <v>0</v>
      </c>
      <c r="F97" s="125" t="e">
        <f ca="1">+E97/SUM(E$96:E$99)</f>
        <v>#DIV/0!</v>
      </c>
      <c r="DT97" s="73"/>
      <c r="DU97" s="73"/>
      <c r="DW97" s="172" t="s">
        <v>259</v>
      </c>
      <c r="DX97" s="61"/>
      <c r="DY97" s="61"/>
      <c r="DZ97" s="61"/>
      <c r="EA97" s="61"/>
      <c r="EB97" s="61"/>
      <c r="EC97" s="61"/>
      <c r="ED97" s="61"/>
      <c r="EE97" s="61"/>
      <c r="EF97" s="61"/>
      <c r="EG97" s="61"/>
    </row>
    <row r="98" spans="1:137" x14ac:dyDescent="0.35">
      <c r="A98" s="214" t="str">
        <f>C98&amp;"-"&amp;D98</f>
        <v>51-100</v>
      </c>
      <c r="C98" s="210">
        <f>+D99+1</f>
        <v>51</v>
      </c>
      <c r="D98" s="211">
        <f>+D99+D99</f>
        <v>100</v>
      </c>
      <c r="E98" s="120">
        <f ca="1">IFERROR(COUNTIFS(INDIRECT($A$77),$D$77,INDIRECT(A$94),"&gt;"&amp;C98,INDIRECT(A$94),"&lt;="&amp;D98),"")</f>
        <v>0</v>
      </c>
      <c r="F98" s="125" t="e">
        <f ca="1">+E98/SUM(E$96:E$99)</f>
        <v>#DIV/0!</v>
      </c>
      <c r="DT98" s="73"/>
      <c r="DU98" s="73"/>
      <c r="DW98" s="172" t="s">
        <v>259</v>
      </c>
      <c r="DX98" s="61"/>
      <c r="DY98" s="61"/>
      <c r="DZ98" s="61"/>
      <c r="EA98" s="61"/>
      <c r="EB98" s="61"/>
      <c r="EC98" s="61"/>
      <c r="ED98" s="61"/>
      <c r="EE98" s="61"/>
      <c r="EF98" s="61"/>
      <c r="EG98" s="61"/>
    </row>
    <row r="99" spans="1:137" x14ac:dyDescent="0.35">
      <c r="A99" s="214" t="str">
        <f>+"&lt;"&amp;D99</f>
        <v>&lt;50</v>
      </c>
      <c r="C99" s="212"/>
      <c r="D99" s="213">
        <v>50</v>
      </c>
      <c r="E99" s="121">
        <f ca="1">IFERROR(COUNTIFS(INDIRECT($A$77),$D$77,INDIRECT(A$94),"&gt;"&amp;C99,INDIRECT(A$94),"&lt;="&amp;D99),"")</f>
        <v>0</v>
      </c>
      <c r="F99" s="126" t="e">
        <f ca="1">+E99/SUM(E$96:E$99)</f>
        <v>#DIV/0!</v>
      </c>
      <c r="DT99" s="73"/>
      <c r="DU99" s="73"/>
      <c r="DW99" s="172" t="s">
        <v>259</v>
      </c>
      <c r="DX99" s="61"/>
      <c r="DY99" s="61"/>
      <c r="DZ99" s="61"/>
      <c r="EA99" s="61"/>
      <c r="EB99" s="61"/>
      <c r="EC99" s="61"/>
      <c r="ED99" s="61"/>
      <c r="EE99" s="61"/>
      <c r="EF99" s="61"/>
      <c r="EG99" s="61"/>
    </row>
    <row r="100" spans="1:137" x14ac:dyDescent="0.35">
      <c r="A100" s="214"/>
      <c r="C100" s="215"/>
      <c r="D100" s="215"/>
      <c r="E100" s="215"/>
      <c r="F100" s="166"/>
      <c r="DT100" s="73"/>
      <c r="DU100" s="73"/>
      <c r="DW100" s="172" t="s">
        <v>259</v>
      </c>
      <c r="DX100" s="61"/>
      <c r="DY100" s="61"/>
      <c r="DZ100" s="61"/>
      <c r="EA100" s="61"/>
      <c r="EB100" s="61"/>
      <c r="EC100" s="61"/>
      <c r="ED100" s="61"/>
      <c r="EE100" s="61"/>
      <c r="EF100" s="61"/>
      <c r="EG100" s="61"/>
    </row>
    <row r="101" spans="1:137" x14ac:dyDescent="0.35">
      <c r="A101" s="214"/>
      <c r="C101" s="215"/>
      <c r="D101" s="215"/>
      <c r="E101" s="215"/>
      <c r="F101" s="166"/>
      <c r="DT101" s="73"/>
      <c r="DU101" s="73"/>
      <c r="DW101" s="172" t="s">
        <v>259</v>
      </c>
      <c r="DX101" s="61"/>
      <c r="DY101" s="61"/>
      <c r="DZ101" s="61"/>
      <c r="EA101" s="61"/>
      <c r="EB101" s="61"/>
      <c r="EC101" s="61"/>
      <c r="ED101" s="61"/>
      <c r="EE101" s="61"/>
      <c r="EF101" s="61"/>
      <c r="EG101" s="61"/>
    </row>
    <row r="102" spans="1:137" x14ac:dyDescent="0.35">
      <c r="DT102" s="73"/>
      <c r="DU102" s="73"/>
      <c r="DW102" s="172" t="s">
        <v>259</v>
      </c>
      <c r="DX102" s="61"/>
      <c r="DY102" s="61"/>
      <c r="DZ102" s="61"/>
      <c r="EA102" s="61"/>
      <c r="EB102" s="61"/>
      <c r="EC102" s="61"/>
      <c r="ED102" s="61"/>
      <c r="EE102" s="61"/>
      <c r="EF102" s="61"/>
      <c r="EG102" s="61"/>
    </row>
    <row r="103" spans="1:137" x14ac:dyDescent="0.35">
      <c r="B103" s="223" t="s">
        <v>516</v>
      </c>
      <c r="C103" s="241" t="s">
        <v>456</v>
      </c>
      <c r="D103" s="239"/>
      <c r="E103" s="239"/>
      <c r="F103" s="239"/>
      <c r="G103" s="240"/>
      <c r="H103" s="240"/>
      <c r="DN103" s="69">
        <v>300</v>
      </c>
      <c r="DO103" s="69">
        <v>290</v>
      </c>
      <c r="DP103" s="69">
        <v>410</v>
      </c>
      <c r="DQ103" s="69">
        <v>86</v>
      </c>
      <c r="DR103" s="69">
        <v>36000</v>
      </c>
      <c r="DS103" s="134">
        <v>193500</v>
      </c>
      <c r="DT103" s="171">
        <v>1.4</v>
      </c>
      <c r="DU103" s="73">
        <f t="shared" ref="DU103:DU112" si="3">+IFERROR(DP103-DO103,"")</f>
        <v>120</v>
      </c>
      <c r="DW103" s="172">
        <v>0.34285714285714286</v>
      </c>
      <c r="DX103" s="61">
        <v>0.79049999999999998</v>
      </c>
      <c r="DY103" s="61">
        <v>0.13950000000000007</v>
      </c>
      <c r="DZ103" s="61">
        <v>0</v>
      </c>
      <c r="EA103" s="61">
        <v>0.05</v>
      </c>
      <c r="EB103" s="61">
        <v>0.02</v>
      </c>
      <c r="EC103" s="61">
        <v>1</v>
      </c>
      <c r="ED103" s="61">
        <v>0</v>
      </c>
      <c r="EE103" s="61">
        <v>0</v>
      </c>
      <c r="EF103" s="61">
        <v>1</v>
      </c>
      <c r="EG103" s="61">
        <v>0</v>
      </c>
    </row>
    <row r="104" spans="1:137" x14ac:dyDescent="0.35">
      <c r="A104" s="190" t="str">
        <f ca="1">+HLOOKUP(Gráficos!B$103,Consolidado!$A$8:$DW$10,2,FALSE)</f>
        <v>Consolidado!AO11:AO25</v>
      </c>
      <c r="B104" s="195" t="s">
        <v>446</v>
      </c>
      <c r="C104" s="196" t="s">
        <v>445</v>
      </c>
      <c r="D104" s="196" t="s">
        <v>445</v>
      </c>
      <c r="E104" s="196"/>
      <c r="DT104" s="73"/>
      <c r="DU104" s="73"/>
      <c r="DW104" s="172" t="s">
        <v>259</v>
      </c>
      <c r="DX104" s="61"/>
      <c r="DY104" s="61"/>
      <c r="DZ104" s="61"/>
      <c r="EA104" s="61"/>
      <c r="EB104" s="61"/>
      <c r="EC104" s="61"/>
      <c r="ED104" s="61"/>
      <c r="EE104" s="61"/>
      <c r="EF104" s="61"/>
      <c r="EG104" s="61"/>
    </row>
    <row r="105" spans="1:137" x14ac:dyDescent="0.35">
      <c r="C105" s="206" t="s">
        <v>448</v>
      </c>
      <c r="D105" s="207" t="s">
        <v>448</v>
      </c>
      <c r="E105" s="118" t="s">
        <v>228</v>
      </c>
      <c r="F105" s="123"/>
      <c r="DT105" s="73"/>
      <c r="DU105" s="73"/>
      <c r="DW105" s="172" t="s">
        <v>259</v>
      </c>
      <c r="DX105" s="61"/>
      <c r="DY105" s="61"/>
      <c r="DZ105" s="61"/>
      <c r="EA105" s="61"/>
      <c r="EB105" s="61"/>
      <c r="EC105" s="61"/>
      <c r="ED105" s="61"/>
      <c r="EE105" s="61"/>
      <c r="EF105" s="61"/>
      <c r="EG105" s="61"/>
    </row>
    <row r="106" spans="1:137" x14ac:dyDescent="0.35">
      <c r="A106" s="127" t="s">
        <v>260</v>
      </c>
      <c r="C106" s="208" t="s">
        <v>447</v>
      </c>
      <c r="D106" s="209" t="s">
        <v>449</v>
      </c>
      <c r="E106" s="122"/>
      <c r="F106" s="126"/>
      <c r="H106" s="71"/>
      <c r="I106" s="71"/>
      <c r="J106" s="71"/>
      <c r="K106" s="71"/>
      <c r="L106" s="71"/>
      <c r="M106" s="71"/>
      <c r="N106" s="71"/>
      <c r="O106" s="71"/>
      <c r="P106" s="71"/>
      <c r="Q106" s="71"/>
      <c r="R106" s="71"/>
      <c r="S106" s="71"/>
      <c r="T106" s="71"/>
      <c r="U106" s="71"/>
      <c r="V106" s="71"/>
      <c r="W106" s="71"/>
      <c r="X106" s="71"/>
      <c r="Y106" s="71"/>
      <c r="DT106" s="73"/>
      <c r="DU106" s="73"/>
      <c r="DW106" s="172" t="s">
        <v>259</v>
      </c>
      <c r="DX106" s="61"/>
      <c r="DY106" s="61"/>
      <c r="DZ106" s="61"/>
      <c r="EA106" s="61"/>
      <c r="EB106" s="61"/>
      <c r="EC106" s="61"/>
      <c r="ED106" s="61"/>
      <c r="EE106" s="61"/>
      <c r="EF106" s="61"/>
      <c r="EG106" s="61"/>
    </row>
    <row r="107" spans="1:137" x14ac:dyDescent="0.35">
      <c r="A107" s="214" t="str">
        <f>"&gt;"&amp;C107</f>
        <v>&gt;151</v>
      </c>
      <c r="C107" s="210">
        <f>+D108+1</f>
        <v>151</v>
      </c>
      <c r="D107" s="211"/>
      <c r="E107" s="120">
        <f ca="1">IFERROR(COUNTIFS(INDIRECT($A$77),$D$77,INDIRECT(A$104),"&gt;"&amp;C107),"")</f>
        <v>0</v>
      </c>
      <c r="F107" s="125" t="e">
        <f ca="1">+E107/SUM(E$107:E$110)</f>
        <v>#DIV/0!</v>
      </c>
      <c r="H107" s="71"/>
      <c r="I107" s="71"/>
      <c r="J107" s="71"/>
      <c r="K107" s="71"/>
      <c r="L107" s="71"/>
      <c r="M107" s="71"/>
      <c r="N107" s="71"/>
      <c r="O107" s="71"/>
      <c r="P107" s="71"/>
      <c r="Q107" s="71"/>
      <c r="R107" s="71"/>
      <c r="S107" s="71"/>
      <c r="T107" s="71"/>
      <c r="U107" s="71"/>
      <c r="V107" s="71"/>
      <c r="W107" s="71"/>
      <c r="X107" s="71"/>
      <c r="Y107" s="71"/>
      <c r="DT107" s="73"/>
      <c r="DU107" s="73"/>
      <c r="DW107" s="172" t="s">
        <v>259</v>
      </c>
      <c r="DX107" s="61"/>
      <c r="DY107" s="61"/>
      <c r="DZ107" s="61"/>
      <c r="EA107" s="61"/>
      <c r="EB107" s="61"/>
      <c r="EC107" s="61"/>
      <c r="ED107" s="61"/>
      <c r="EE107" s="61"/>
      <c r="EF107" s="61"/>
      <c r="EG107" s="61"/>
    </row>
    <row r="108" spans="1:137" x14ac:dyDescent="0.35">
      <c r="A108" s="214" t="str">
        <f>C108&amp;"-"&amp;D108</f>
        <v>101-150</v>
      </c>
      <c r="C108" s="210">
        <f>+D109+1</f>
        <v>101</v>
      </c>
      <c r="D108" s="211">
        <f>+D109+D110</f>
        <v>150</v>
      </c>
      <c r="E108" s="120">
        <f ca="1">IFERROR(COUNTIFS(INDIRECT($A$77),$D$77,INDIRECT(A$104),"&gt;"&amp;C108,INDIRECT(A$104),"&lt;="&amp;D108),"")</f>
        <v>0</v>
      </c>
      <c r="F108" s="125" t="e">
        <f ca="1">+E108/SUM(E$107:E$110)</f>
        <v>#DIV/0!</v>
      </c>
      <c r="H108" s="71"/>
      <c r="I108" s="71"/>
      <c r="J108" s="71"/>
      <c r="K108" s="71"/>
      <c r="L108" s="71"/>
      <c r="M108" s="71"/>
      <c r="N108" s="71"/>
      <c r="O108" s="71"/>
      <c r="P108" s="71"/>
      <c r="Q108" s="71"/>
      <c r="R108" s="71"/>
      <c r="S108" s="71"/>
      <c r="T108" s="71"/>
      <c r="U108" s="71"/>
      <c r="V108" s="71"/>
      <c r="W108" s="71"/>
      <c r="X108" s="71"/>
      <c r="Y108" s="71"/>
      <c r="DN108" s="69">
        <v>300</v>
      </c>
      <c r="DO108" s="69">
        <v>290</v>
      </c>
      <c r="DP108" s="69">
        <v>400</v>
      </c>
      <c r="DQ108" s="134">
        <v>84.615384615384613</v>
      </c>
      <c r="DR108" s="69">
        <v>33000</v>
      </c>
      <c r="DS108" s="134">
        <v>203076.92307692306</v>
      </c>
      <c r="DT108" s="171">
        <v>1.3</v>
      </c>
      <c r="DU108" s="73">
        <f t="shared" si="3"/>
        <v>110</v>
      </c>
      <c r="DW108" s="172">
        <v>0.3188405797101449</v>
      </c>
      <c r="DX108" s="61">
        <v>0.79049999999999998</v>
      </c>
      <c r="DY108" s="61">
        <v>0.13950000000000007</v>
      </c>
      <c r="DZ108" s="61">
        <v>0</v>
      </c>
      <c r="EA108" s="61">
        <v>0.05</v>
      </c>
      <c r="EB108" s="61">
        <v>0.02</v>
      </c>
      <c r="EC108" s="61">
        <v>1</v>
      </c>
      <c r="ED108" s="61">
        <v>0</v>
      </c>
      <c r="EE108" s="61">
        <v>0</v>
      </c>
      <c r="EF108" s="61">
        <v>1</v>
      </c>
      <c r="EG108" s="61">
        <v>0</v>
      </c>
    </row>
    <row r="109" spans="1:137" x14ac:dyDescent="0.35">
      <c r="A109" s="214" t="str">
        <f>C109&amp;"-"&amp;D109</f>
        <v>51-100</v>
      </c>
      <c r="C109" s="210">
        <f>+D110+1</f>
        <v>51</v>
      </c>
      <c r="D109" s="211">
        <f>+D110+D110</f>
        <v>100</v>
      </c>
      <c r="E109" s="120">
        <f ca="1">IFERROR(COUNTIFS(INDIRECT($A$77),$D$77,INDIRECT(A$104),"&gt;"&amp;C109,INDIRECT(A$104),"&lt;="&amp;D109),"")</f>
        <v>0</v>
      </c>
      <c r="F109" s="125" t="e">
        <f ca="1">+E109/SUM(E$107:E$110)</f>
        <v>#DIV/0!</v>
      </c>
      <c r="H109" s="71"/>
      <c r="I109" s="71"/>
      <c r="J109" s="71"/>
      <c r="K109" s="71"/>
      <c r="L109" s="71"/>
      <c r="M109" s="71"/>
      <c r="N109" s="71"/>
      <c r="O109" s="71"/>
      <c r="P109" s="71"/>
      <c r="Q109" s="71"/>
      <c r="R109" s="71"/>
      <c r="S109" s="71"/>
      <c r="T109" s="71"/>
      <c r="U109" s="71"/>
      <c r="V109" s="71"/>
      <c r="W109" s="71"/>
      <c r="X109" s="71"/>
      <c r="Y109" s="71"/>
      <c r="DT109" s="73"/>
      <c r="DU109" s="73"/>
      <c r="DW109" s="172" t="s">
        <v>259</v>
      </c>
      <c r="DX109" s="61"/>
      <c r="DY109" s="61"/>
      <c r="DZ109" s="61"/>
      <c r="EA109" s="61"/>
      <c r="EB109" s="61"/>
      <c r="EC109" s="61"/>
      <c r="ED109" s="61"/>
      <c r="EE109" s="61"/>
      <c r="EF109" s="61"/>
      <c r="EG109" s="61"/>
    </row>
    <row r="110" spans="1:137" x14ac:dyDescent="0.35">
      <c r="A110" s="214" t="str">
        <f>+"&lt;"&amp;D110</f>
        <v>&lt;50</v>
      </c>
      <c r="C110" s="212">
        <v>0</v>
      </c>
      <c r="D110" s="213">
        <v>50</v>
      </c>
      <c r="E110" s="121">
        <f ca="1">IFERROR(COUNTIFS(INDIRECT($A$77),$D$77,INDIRECT(A$104),"&gt;"&amp;C110,INDIRECT(A$104),"&lt;="&amp;D110),"")</f>
        <v>0</v>
      </c>
      <c r="F110" s="126" t="e">
        <f ca="1">+E110/SUM(E$107:E$110)</f>
        <v>#DIV/0!</v>
      </c>
      <c r="DT110" s="73"/>
      <c r="DU110" s="73"/>
      <c r="DW110" s="172" t="s">
        <v>259</v>
      </c>
      <c r="DX110" s="61"/>
      <c r="DY110" s="61"/>
      <c r="DZ110" s="61"/>
      <c r="EA110" s="61"/>
      <c r="EB110" s="61"/>
      <c r="EC110" s="61"/>
      <c r="ED110" s="61"/>
      <c r="EE110" s="61"/>
      <c r="EF110" s="61"/>
      <c r="EG110" s="61"/>
    </row>
    <row r="111" spans="1:137" x14ac:dyDescent="0.35">
      <c r="D111" s="77"/>
      <c r="DT111" s="73"/>
      <c r="DU111" s="73"/>
      <c r="DW111" s="172" t="s">
        <v>259</v>
      </c>
      <c r="DX111" s="61"/>
      <c r="DY111" s="61"/>
      <c r="DZ111" s="61"/>
      <c r="EA111" s="61"/>
      <c r="EB111" s="61"/>
      <c r="EC111" s="61"/>
      <c r="ED111" s="61"/>
      <c r="EE111" s="61"/>
      <c r="EF111" s="61"/>
      <c r="EG111" s="61"/>
    </row>
    <row r="112" spans="1:137" x14ac:dyDescent="0.35">
      <c r="DN112" s="69">
        <v>600</v>
      </c>
      <c r="DO112" s="69">
        <v>220</v>
      </c>
      <c r="DP112" s="69">
        <v>320</v>
      </c>
      <c r="DQ112" s="69">
        <v>120</v>
      </c>
      <c r="DR112" s="69">
        <v>60000</v>
      </c>
      <c r="DS112" s="134"/>
      <c r="DT112" s="171">
        <v>0.9</v>
      </c>
      <c r="DU112" s="73">
        <f t="shared" si="3"/>
        <v>100</v>
      </c>
      <c r="DW112" s="172">
        <v>0.37037037037037035</v>
      </c>
      <c r="DX112" s="61">
        <v>1</v>
      </c>
      <c r="DY112" s="61"/>
      <c r="DZ112" s="61">
        <v>0</v>
      </c>
      <c r="EA112" s="61"/>
      <c r="EB112" s="61"/>
      <c r="EC112" s="61"/>
      <c r="ED112" s="61"/>
      <c r="EE112" s="61"/>
      <c r="EF112" s="61"/>
      <c r="EG112" s="61"/>
    </row>
    <row r="113" spans="1:137" x14ac:dyDescent="0.35">
      <c r="DT113" s="73"/>
      <c r="DU113" s="73"/>
      <c r="DW113" s="172" t="s">
        <v>259</v>
      </c>
      <c r="DX113" s="61"/>
      <c r="DY113" s="61"/>
      <c r="DZ113" s="61"/>
      <c r="EA113" s="61"/>
      <c r="EB113" s="61"/>
      <c r="EC113" s="61"/>
      <c r="ED113" s="61"/>
      <c r="EE113" s="61"/>
      <c r="EF113" s="61"/>
      <c r="EG113" s="61"/>
    </row>
    <row r="114" spans="1:137" x14ac:dyDescent="0.35">
      <c r="D114" s="130"/>
      <c r="DT114" s="73"/>
      <c r="DU114" s="73"/>
      <c r="DW114" s="172" t="s">
        <v>259</v>
      </c>
      <c r="DX114" s="61"/>
      <c r="DY114" s="61"/>
      <c r="DZ114" s="61"/>
      <c r="EA114" s="61"/>
      <c r="EB114" s="61"/>
      <c r="EC114" s="61"/>
      <c r="ED114" s="61"/>
      <c r="EE114" s="61"/>
      <c r="EF114" s="61"/>
      <c r="EG114" s="61"/>
    </row>
    <row r="115" spans="1:137" x14ac:dyDescent="0.35">
      <c r="B115" s="223" t="s">
        <v>39</v>
      </c>
      <c r="C115" s="241" t="s">
        <v>457</v>
      </c>
      <c r="D115" s="239"/>
      <c r="E115" s="239"/>
      <c r="F115" s="239"/>
      <c r="G115" s="240"/>
      <c r="H115" s="240"/>
      <c r="DT115" s="73"/>
      <c r="DU115" s="73"/>
      <c r="DW115" s="172" t="s">
        <v>259</v>
      </c>
      <c r="DX115" s="61"/>
      <c r="DY115" s="61"/>
      <c r="DZ115" s="61"/>
      <c r="EA115" s="61"/>
      <c r="EB115" s="61"/>
      <c r="EC115" s="61"/>
      <c r="ED115" s="61"/>
      <c r="EE115" s="61"/>
      <c r="EF115" s="61"/>
      <c r="EG115" s="61"/>
    </row>
    <row r="116" spans="1:137" x14ac:dyDescent="0.35">
      <c r="A116" s="81" t="str">
        <f ca="1">+HLOOKUP(Gráficos!B$115,Consolidado!$A$8:$DW$10,2,FALSE)</f>
        <v>Consolidado!AQ11:AQ25</v>
      </c>
      <c r="B116" s="195" t="s">
        <v>446</v>
      </c>
      <c r="C116" s="196" t="s">
        <v>445</v>
      </c>
      <c r="D116" s="196" t="s">
        <v>445</v>
      </c>
      <c r="DT116" s="73"/>
      <c r="DU116" s="73"/>
      <c r="DW116" s="172" t="s">
        <v>259</v>
      </c>
      <c r="DX116" s="61"/>
      <c r="DY116" s="61"/>
      <c r="DZ116" s="61"/>
      <c r="EA116" s="61"/>
      <c r="EB116" s="61"/>
      <c r="EC116" s="61"/>
      <c r="ED116" s="61"/>
      <c r="EE116" s="61"/>
      <c r="EF116" s="61"/>
      <c r="EG116" s="61"/>
    </row>
    <row r="117" spans="1:137" x14ac:dyDescent="0.35">
      <c r="A117" s="127" t="s">
        <v>260</v>
      </c>
      <c r="C117" s="206" t="s">
        <v>448</v>
      </c>
      <c r="D117" s="207" t="s">
        <v>448</v>
      </c>
      <c r="E117" s="118" t="s">
        <v>228</v>
      </c>
      <c r="F117" s="118"/>
      <c r="DT117" s="73"/>
      <c r="DU117" s="73"/>
      <c r="DW117" s="172" t="s">
        <v>259</v>
      </c>
      <c r="DX117" s="61"/>
      <c r="DY117" s="61"/>
      <c r="DZ117" s="61"/>
      <c r="EA117" s="61"/>
      <c r="EB117" s="61"/>
      <c r="EC117" s="61"/>
      <c r="ED117" s="61"/>
      <c r="EE117" s="61"/>
      <c r="EF117" s="61"/>
      <c r="EG117" s="61"/>
    </row>
    <row r="118" spans="1:137" x14ac:dyDescent="0.35">
      <c r="C118" s="208" t="s">
        <v>447</v>
      </c>
      <c r="D118" s="209" t="s">
        <v>449</v>
      </c>
      <c r="E118" s="122"/>
      <c r="F118" s="122"/>
      <c r="I118" s="128"/>
      <c r="M118" s="61"/>
      <c r="O118" s="127"/>
      <c r="S118" s="61"/>
      <c r="DT118" s="73"/>
      <c r="DU118" s="73"/>
      <c r="DW118" s="172" t="s">
        <v>259</v>
      </c>
      <c r="DX118" s="61"/>
      <c r="DY118" s="61"/>
      <c r="DZ118" s="61"/>
      <c r="EA118" s="61"/>
      <c r="EB118" s="61"/>
      <c r="EC118" s="61"/>
      <c r="ED118" s="61"/>
      <c r="EE118" s="61"/>
      <c r="EF118" s="61"/>
      <c r="EG118" s="61"/>
    </row>
    <row r="119" spans="1:137" x14ac:dyDescent="0.35">
      <c r="A119" s="128" t="str">
        <f>"&gt;"&amp;C119</f>
        <v>&gt;0,61</v>
      </c>
      <c r="C119" s="216">
        <v>0.61</v>
      </c>
      <c r="D119" s="217">
        <v>1</v>
      </c>
      <c r="E119" s="83">
        <f ca="1">IFERROR(COUNTIFS(INDIRECT($A$77),$D$77,INDIRECT(A$116),"&gt;"&amp;C119),"")</f>
        <v>0</v>
      </c>
      <c r="F119" s="85" t="e">
        <f ca="1">+E119/SUM(E$119:E$122)</f>
        <v>#DIV/0!</v>
      </c>
      <c r="I119" s="128"/>
      <c r="M119" s="61"/>
      <c r="O119" s="127"/>
      <c r="S119" s="61"/>
      <c r="DT119" s="73"/>
      <c r="DU119" s="73"/>
      <c r="DW119" s="172" t="s">
        <v>259</v>
      </c>
      <c r="DX119" s="61"/>
      <c r="DY119" s="61"/>
      <c r="DZ119" s="61"/>
      <c r="EA119" s="61"/>
      <c r="EB119" s="61"/>
      <c r="EC119" s="61"/>
      <c r="ED119" s="61"/>
      <c r="EE119" s="61"/>
      <c r="EF119" s="61"/>
      <c r="EG119" s="61"/>
    </row>
    <row r="120" spans="1:137" x14ac:dyDescent="0.35">
      <c r="A120" s="128" t="str">
        <f>C120&amp;"-"&amp;D120</f>
        <v>0,41-0,6</v>
      </c>
      <c r="C120" s="218">
        <v>0.41</v>
      </c>
      <c r="D120" s="219">
        <v>0.6</v>
      </c>
      <c r="E120" s="83">
        <f ca="1">IFERROR(COUNTIFS(INDIRECT($A$77),$D$77,INDIRECT(A$116),"&gt;"&amp;C120,INDIRECT(A$116),"&lt;="&amp;D120),"")</f>
        <v>0</v>
      </c>
      <c r="F120" s="85" t="e">
        <f ca="1">+E120/SUM(E$119:E$122)</f>
        <v>#DIV/0!</v>
      </c>
      <c r="I120" s="128"/>
      <c r="M120" s="61"/>
      <c r="O120" s="127"/>
      <c r="S120" s="61"/>
      <c r="DT120" s="73"/>
      <c r="DU120" s="73"/>
      <c r="DW120" s="172" t="s">
        <v>259</v>
      </c>
      <c r="DX120" s="61"/>
      <c r="DY120" s="61"/>
      <c r="DZ120" s="61"/>
      <c r="EA120" s="61"/>
      <c r="EB120" s="61"/>
      <c r="EC120" s="61"/>
      <c r="ED120" s="61"/>
      <c r="EE120" s="61"/>
      <c r="EF120" s="61"/>
      <c r="EG120" s="61"/>
    </row>
    <row r="121" spans="1:137" x14ac:dyDescent="0.35">
      <c r="A121" s="128" t="str">
        <f>C121&amp;"-"&amp;D121</f>
        <v>0,28-0,4</v>
      </c>
      <c r="C121" s="218">
        <v>0.28000000000000003</v>
      </c>
      <c r="D121" s="219">
        <v>0.4</v>
      </c>
      <c r="E121" s="83">
        <f ca="1">IFERROR(COUNTIFS(INDIRECT($A$77),$D$77,INDIRECT(A$116),"&gt;"&amp;C121,INDIRECT(A$116),"&lt;="&amp;D121),"")</f>
        <v>0</v>
      </c>
      <c r="F121" s="85" t="e">
        <f ca="1">+E121/SUM(E$119:E$122)</f>
        <v>#DIV/0!</v>
      </c>
      <c r="I121" s="128"/>
      <c r="M121" s="61"/>
      <c r="O121" s="127"/>
      <c r="S121" s="61"/>
      <c r="DT121" s="73"/>
      <c r="DU121" s="73"/>
      <c r="DW121" s="172" t="s">
        <v>259</v>
      </c>
      <c r="DX121" s="61"/>
      <c r="DY121" s="61"/>
      <c r="DZ121" s="61"/>
      <c r="EA121" s="61"/>
      <c r="EB121" s="61"/>
      <c r="EC121" s="61"/>
      <c r="ED121" s="61"/>
      <c r="EE121" s="61"/>
      <c r="EF121" s="61"/>
      <c r="EG121" s="61"/>
    </row>
    <row r="122" spans="1:137" x14ac:dyDescent="0.35">
      <c r="A122" s="128" t="str">
        <f>+"&lt;"&amp;D122</f>
        <v>&lt;0,27</v>
      </c>
      <c r="C122" s="220">
        <v>0</v>
      </c>
      <c r="D122" s="221">
        <v>0.27</v>
      </c>
      <c r="E122" s="84">
        <f ca="1">IFERROR(COUNTIFS(INDIRECT($A$77),$D$77,INDIRECT(A$116),"&gt;"&amp;C122,INDIRECT(A$116),"&lt;="&amp;D122),"")</f>
        <v>0</v>
      </c>
      <c r="F122" s="91" t="e">
        <f ca="1">+E122/SUM(E$119:E$122)</f>
        <v>#DIV/0!</v>
      </c>
      <c r="I122" s="128"/>
      <c r="M122" s="61"/>
      <c r="O122" s="127"/>
      <c r="S122" s="61"/>
      <c r="DT122" s="73"/>
      <c r="DU122" s="73"/>
      <c r="DW122" s="172" t="s">
        <v>259</v>
      </c>
      <c r="DX122" s="61"/>
      <c r="DY122" s="61"/>
      <c r="DZ122" s="61"/>
      <c r="EA122" s="61"/>
      <c r="EB122" s="61"/>
      <c r="EC122" s="61"/>
      <c r="ED122" s="61"/>
      <c r="EE122" s="61"/>
      <c r="EF122" s="61"/>
      <c r="EG122" s="61"/>
    </row>
    <row r="123" spans="1:137" x14ac:dyDescent="0.35">
      <c r="I123" s="128"/>
      <c r="M123" s="61"/>
      <c r="O123" s="127"/>
      <c r="S123" s="61"/>
      <c r="DT123" s="73"/>
      <c r="DU123" s="73"/>
      <c r="DW123" s="172" t="s">
        <v>259</v>
      </c>
      <c r="DX123" s="61"/>
      <c r="DY123" s="61"/>
      <c r="DZ123" s="61"/>
      <c r="EA123" s="61"/>
      <c r="EB123" s="61"/>
      <c r="EC123" s="61"/>
      <c r="ED123" s="61"/>
      <c r="EE123" s="61"/>
      <c r="EF123" s="61"/>
      <c r="EG123" s="61"/>
    </row>
    <row r="124" spans="1:137" x14ac:dyDescent="0.35">
      <c r="I124" s="128"/>
      <c r="M124" s="61"/>
      <c r="O124" s="127"/>
      <c r="S124" s="61"/>
      <c r="DT124" s="73"/>
      <c r="DU124" s="73"/>
      <c r="DW124" s="172" t="s">
        <v>259</v>
      </c>
      <c r="DX124" s="61"/>
      <c r="DY124" s="61"/>
      <c r="DZ124" s="61"/>
      <c r="EA124" s="61"/>
      <c r="EB124" s="61"/>
      <c r="EC124" s="61"/>
      <c r="ED124" s="61"/>
      <c r="EE124" s="61"/>
      <c r="EF124" s="61"/>
      <c r="EG124" s="61"/>
    </row>
    <row r="125" spans="1:137" x14ac:dyDescent="0.35">
      <c r="I125" s="128"/>
      <c r="M125" s="61"/>
      <c r="O125" s="127"/>
      <c r="S125" s="61"/>
      <c r="DT125" s="73"/>
      <c r="DU125" s="73"/>
      <c r="DW125" s="172" t="s">
        <v>259</v>
      </c>
      <c r="DX125" s="61"/>
      <c r="DY125" s="61"/>
      <c r="DZ125" s="61"/>
      <c r="EA125" s="61"/>
      <c r="EB125" s="61"/>
      <c r="EC125" s="61"/>
      <c r="ED125" s="61"/>
      <c r="EE125" s="61"/>
      <c r="EF125" s="61"/>
      <c r="EG125" s="61"/>
    </row>
    <row r="126" spans="1:137" x14ac:dyDescent="0.35">
      <c r="D126" s="65"/>
      <c r="I126" s="128"/>
      <c r="M126" s="61"/>
      <c r="O126" s="127"/>
      <c r="S126" s="61"/>
      <c r="DT126" s="73"/>
      <c r="DU126" s="73"/>
      <c r="DW126" s="172" t="s">
        <v>259</v>
      </c>
      <c r="DX126" s="61"/>
      <c r="DY126" s="61"/>
      <c r="DZ126" s="61"/>
      <c r="EA126" s="61"/>
      <c r="EB126" s="61"/>
      <c r="EC126" s="61"/>
      <c r="ED126" s="61"/>
      <c r="EE126" s="61"/>
      <c r="EF126" s="61"/>
      <c r="EG126" s="61"/>
    </row>
    <row r="127" spans="1:137" x14ac:dyDescent="0.35">
      <c r="B127" s="223" t="s">
        <v>42</v>
      </c>
      <c r="C127" s="241" t="s">
        <v>458</v>
      </c>
      <c r="D127" s="241"/>
      <c r="E127" s="241"/>
      <c r="F127" s="241"/>
      <c r="G127" s="241"/>
      <c r="H127" s="241"/>
      <c r="I127" s="128"/>
      <c r="M127" s="61"/>
      <c r="O127" s="127"/>
      <c r="S127" s="61"/>
      <c r="DT127" s="73"/>
      <c r="DU127" s="73"/>
      <c r="DW127" s="172" t="s">
        <v>259</v>
      </c>
      <c r="DX127" s="61"/>
      <c r="DY127" s="61"/>
      <c r="DZ127" s="61"/>
      <c r="EA127" s="61"/>
      <c r="EB127" s="61"/>
      <c r="EC127" s="61"/>
      <c r="ED127" s="61"/>
      <c r="EE127" s="61"/>
      <c r="EF127" s="61"/>
      <c r="EG127" s="61"/>
    </row>
    <row r="128" spans="1:137" x14ac:dyDescent="0.35">
      <c r="A128" s="81" t="str">
        <f ca="1">+HLOOKUP(Gráficos!B$127,Consolidado!$A$8:$DW$10,2,FALSE)</f>
        <v>Consolidado!AR11:AR25</v>
      </c>
      <c r="B128" s="195" t="s">
        <v>446</v>
      </c>
      <c r="C128" s="196" t="s">
        <v>445</v>
      </c>
      <c r="D128" s="196" t="s">
        <v>445</v>
      </c>
      <c r="I128" s="128"/>
      <c r="M128" s="61"/>
      <c r="O128" s="127"/>
      <c r="S128" s="61"/>
      <c r="DT128" s="73"/>
      <c r="DU128" s="73"/>
      <c r="DW128" s="172" t="s">
        <v>259</v>
      </c>
      <c r="DX128" s="61"/>
      <c r="DY128" s="61"/>
      <c r="DZ128" s="61"/>
      <c r="EA128" s="61"/>
      <c r="EB128" s="61"/>
      <c r="EC128" s="61"/>
      <c r="ED128" s="61"/>
      <c r="EE128" s="61"/>
      <c r="EF128" s="61"/>
      <c r="EG128" s="61"/>
    </row>
    <row r="129" spans="1:137" x14ac:dyDescent="0.35">
      <c r="C129" s="206" t="s">
        <v>448</v>
      </c>
      <c r="D129" s="207" t="s">
        <v>448</v>
      </c>
      <c r="E129" s="118" t="s">
        <v>228</v>
      </c>
      <c r="F129" s="118"/>
      <c r="I129" s="128"/>
      <c r="M129" s="61"/>
      <c r="O129" s="127"/>
      <c r="S129" s="61"/>
      <c r="DT129" s="73"/>
      <c r="DU129" s="73"/>
      <c r="DW129" s="172" t="s">
        <v>259</v>
      </c>
      <c r="DX129" s="61"/>
      <c r="DY129" s="61"/>
      <c r="DZ129" s="61"/>
      <c r="EA129" s="61"/>
      <c r="EB129" s="61"/>
      <c r="EC129" s="61"/>
      <c r="ED129" s="61"/>
      <c r="EE129" s="61"/>
      <c r="EF129" s="61"/>
      <c r="EG129" s="61"/>
    </row>
    <row r="130" spans="1:137" x14ac:dyDescent="0.35">
      <c r="A130" s="127" t="s">
        <v>260</v>
      </c>
      <c r="C130" s="208" t="s">
        <v>447</v>
      </c>
      <c r="D130" s="209" t="s">
        <v>449</v>
      </c>
      <c r="E130" s="122"/>
      <c r="F130" s="222"/>
      <c r="I130" s="128"/>
      <c r="M130" s="61"/>
      <c r="O130" s="127"/>
      <c r="S130" s="61"/>
      <c r="DT130" s="73"/>
      <c r="DU130" s="73"/>
      <c r="DW130" s="172" t="s">
        <v>259</v>
      </c>
      <c r="DX130" s="61"/>
      <c r="DY130" s="61"/>
      <c r="DZ130" s="61"/>
      <c r="EA130" s="61"/>
      <c r="EB130" s="61"/>
      <c r="EC130" s="61"/>
      <c r="ED130" s="61"/>
      <c r="EE130" s="61"/>
      <c r="EF130" s="61"/>
      <c r="EG130" s="61"/>
    </row>
    <row r="131" spans="1:137" x14ac:dyDescent="0.35">
      <c r="A131" s="127" t="str">
        <f>"&gt;"&amp;C131</f>
        <v>&gt;75001</v>
      </c>
      <c r="C131" s="318">
        <f>+D132+1</f>
        <v>75001</v>
      </c>
      <c r="D131" s="319"/>
      <c r="E131" s="131">
        <f ca="1">IFERROR(COUNTIFS(INDIRECT($A$77),$D$77,INDIRECT(A$128),"&gt;"&amp;C131),"")</f>
        <v>0</v>
      </c>
      <c r="F131" s="262" t="e">
        <f ca="1">+E131/SUM(E$131:E$134)</f>
        <v>#DIV/0!</v>
      </c>
      <c r="I131" s="128"/>
      <c r="M131" s="61"/>
      <c r="O131" s="127"/>
      <c r="S131" s="61"/>
      <c r="DT131" s="73"/>
      <c r="DU131" s="73"/>
      <c r="DW131" s="172" t="s">
        <v>259</v>
      </c>
      <c r="DX131" s="61"/>
      <c r="DY131" s="61"/>
      <c r="DZ131" s="61"/>
      <c r="EA131" s="61"/>
      <c r="EB131" s="61"/>
      <c r="EC131" s="61"/>
      <c r="ED131" s="61"/>
      <c r="EE131" s="61"/>
      <c r="EF131" s="61"/>
      <c r="EG131" s="61"/>
    </row>
    <row r="132" spans="1:137" x14ac:dyDescent="0.35">
      <c r="A132" s="127" t="str">
        <f>C132&amp;"-"&amp;D132</f>
        <v>50001-75000</v>
      </c>
      <c r="C132" s="210">
        <f>+D133+1</f>
        <v>50001</v>
      </c>
      <c r="D132" s="211">
        <f>+D133+D134</f>
        <v>75000</v>
      </c>
      <c r="E132" s="87">
        <f ca="1">IFERROR(COUNTIFS(INDIRECT($A$77),$D$77,INDIRECT(A$128),"&gt;"&amp;C132,INDIRECT(A$128),"&lt;="&amp;D132),"")</f>
        <v>0</v>
      </c>
      <c r="F132" s="85" t="e">
        <f ca="1">+E132/SUM(E$131:E$134)</f>
        <v>#DIV/0!</v>
      </c>
      <c r="I132" s="128"/>
      <c r="M132" s="61"/>
      <c r="O132" s="127"/>
      <c r="S132" s="61"/>
      <c r="DT132" s="73"/>
      <c r="DU132" s="73"/>
      <c r="DW132" s="172" t="s">
        <v>259</v>
      </c>
      <c r="DX132" s="61"/>
      <c r="DY132" s="61"/>
      <c r="DZ132" s="61"/>
      <c r="EA132" s="61"/>
      <c r="EB132" s="61"/>
      <c r="EC132" s="61"/>
      <c r="ED132" s="61"/>
      <c r="EE132" s="61"/>
      <c r="EF132" s="61"/>
      <c r="EG132" s="61"/>
    </row>
    <row r="133" spans="1:137" x14ac:dyDescent="0.35">
      <c r="A133" s="127" t="str">
        <f>C133&amp;"-"&amp;D133</f>
        <v>25001-50000</v>
      </c>
      <c r="C133" s="210">
        <f>+D134+1</f>
        <v>25001</v>
      </c>
      <c r="D133" s="211">
        <f>+D134+D134</f>
        <v>50000</v>
      </c>
      <c r="E133" s="87">
        <f ca="1">IFERROR(COUNTIFS(INDIRECT($A$77),$D$77,INDIRECT(A$128),"&gt;"&amp;C133,INDIRECT(A$128),"&lt;="&amp;D133),"")</f>
        <v>0</v>
      </c>
      <c r="F133" s="85" t="e">
        <f ca="1">+E133/SUM(E$131:E$134)</f>
        <v>#DIV/0!</v>
      </c>
      <c r="I133" s="128"/>
      <c r="M133" s="61"/>
      <c r="O133" s="127"/>
      <c r="S133" s="61"/>
      <c r="DT133" s="73"/>
      <c r="DU133" s="73"/>
      <c r="DW133" s="172" t="s">
        <v>259</v>
      </c>
      <c r="DX133" s="61"/>
      <c r="DY133" s="61"/>
      <c r="DZ133" s="61"/>
      <c r="EA133" s="61"/>
      <c r="EB133" s="61"/>
      <c r="EC133" s="61"/>
      <c r="ED133" s="61"/>
      <c r="EE133" s="61"/>
      <c r="EF133" s="61"/>
      <c r="EG133" s="61"/>
    </row>
    <row r="134" spans="1:137" x14ac:dyDescent="0.35">
      <c r="A134" s="127" t="str">
        <f>+"&lt;"&amp;D134</f>
        <v>&lt;25000</v>
      </c>
      <c r="C134" s="212">
        <v>0</v>
      </c>
      <c r="D134" s="213">
        <v>25000</v>
      </c>
      <c r="E134" s="89">
        <f ca="1">IFERROR(COUNTIFS(INDIRECT($A$77),$D$77,INDIRECT(A$128),"&gt;"&amp;C134,INDIRECT(A$128),"&lt;="&amp;D134),"")</f>
        <v>0</v>
      </c>
      <c r="F134" s="91" t="e">
        <f ca="1">+E134/SUM(E$131:E$134)</f>
        <v>#DIV/0!</v>
      </c>
      <c r="I134" s="128"/>
      <c r="M134" s="61"/>
      <c r="O134" s="127"/>
      <c r="S134" s="61"/>
      <c r="DT134" s="73"/>
      <c r="DU134" s="73"/>
      <c r="DW134" s="172" t="s">
        <v>259</v>
      </c>
      <c r="DX134" s="61"/>
      <c r="DY134" s="61"/>
      <c r="DZ134" s="61"/>
      <c r="EA134" s="61"/>
      <c r="EB134" s="61"/>
      <c r="EC134" s="61"/>
      <c r="ED134" s="61"/>
      <c r="EE134" s="61"/>
      <c r="EF134" s="61"/>
      <c r="EG134" s="61"/>
    </row>
    <row r="135" spans="1:137" x14ac:dyDescent="0.35">
      <c r="I135" s="128"/>
      <c r="M135" s="61"/>
      <c r="O135" s="127"/>
      <c r="S135" s="61"/>
      <c r="DT135" s="73"/>
      <c r="DU135" s="73"/>
      <c r="DW135" s="172" t="s">
        <v>259</v>
      </c>
      <c r="DX135" s="61"/>
      <c r="DY135" s="61"/>
      <c r="DZ135" s="61"/>
      <c r="EA135" s="61"/>
      <c r="EB135" s="61"/>
      <c r="EC135" s="61"/>
      <c r="ED135" s="61"/>
      <c r="EE135" s="61"/>
      <c r="EF135" s="61"/>
      <c r="EG135" s="61"/>
    </row>
    <row r="136" spans="1:137" x14ac:dyDescent="0.35">
      <c r="I136" s="128"/>
      <c r="M136" s="61"/>
      <c r="O136" s="127"/>
      <c r="S136" s="61"/>
      <c r="DT136" s="73"/>
      <c r="DU136" s="73"/>
      <c r="DW136" s="172" t="s">
        <v>259</v>
      </c>
      <c r="DX136" s="61"/>
      <c r="DY136" s="61"/>
      <c r="DZ136" s="61"/>
      <c r="EA136" s="61"/>
      <c r="EB136" s="61"/>
      <c r="EC136" s="61"/>
      <c r="ED136" s="61"/>
      <c r="EE136" s="61"/>
      <c r="EF136" s="61"/>
      <c r="EG136" s="61"/>
    </row>
    <row r="137" spans="1:137" x14ac:dyDescent="0.35">
      <c r="I137" s="128"/>
      <c r="M137" s="61"/>
      <c r="O137" s="127"/>
      <c r="S137" s="61"/>
      <c r="DT137" s="73"/>
      <c r="DU137" s="73"/>
      <c r="DW137" s="172" t="s">
        <v>259</v>
      </c>
      <c r="DX137" s="61"/>
      <c r="DY137" s="61"/>
      <c r="DZ137" s="61"/>
      <c r="EA137" s="61"/>
      <c r="EB137" s="61"/>
      <c r="EC137" s="61"/>
      <c r="ED137" s="61"/>
      <c r="EE137" s="61"/>
      <c r="EF137" s="61"/>
      <c r="EG137" s="61"/>
    </row>
    <row r="138" spans="1:137" ht="21" x14ac:dyDescent="0.5">
      <c r="B138" s="180" t="s">
        <v>45</v>
      </c>
      <c r="C138" s="179"/>
      <c r="D138" s="179"/>
      <c r="E138" s="179"/>
      <c r="F138" s="179"/>
      <c r="G138" s="179"/>
      <c r="H138" s="179"/>
      <c r="I138" s="179"/>
      <c r="J138" s="179"/>
      <c r="K138" s="179"/>
      <c r="L138" s="179"/>
      <c r="M138" s="179"/>
      <c r="N138" s="179"/>
      <c r="O138" s="179"/>
      <c r="P138" s="179"/>
      <c r="Q138" s="179"/>
      <c r="R138" s="179"/>
      <c r="S138" s="179"/>
      <c r="DT138" s="73"/>
      <c r="DU138" s="73"/>
      <c r="DW138" s="172" t="s">
        <v>259</v>
      </c>
      <c r="DX138" s="61"/>
      <c r="DY138" s="61"/>
      <c r="DZ138" s="61"/>
      <c r="EA138" s="61"/>
      <c r="EB138" s="61"/>
      <c r="EC138" s="61"/>
      <c r="ED138" s="61"/>
      <c r="EE138" s="61"/>
      <c r="EF138" s="61"/>
      <c r="EG138" s="61"/>
    </row>
    <row r="139" spans="1:137" x14ac:dyDescent="0.35">
      <c r="A139" s="78"/>
      <c r="B139" s="149"/>
      <c r="C139" s="82"/>
      <c r="D139" s="82"/>
      <c r="E139" s="82"/>
      <c r="F139" s="82"/>
      <c r="G139" s="82"/>
      <c r="H139" s="82"/>
      <c r="I139" s="82"/>
      <c r="J139" s="82"/>
      <c r="K139" s="82"/>
      <c r="L139" s="82"/>
      <c r="M139" s="82"/>
      <c r="N139" s="82"/>
      <c r="O139" s="82"/>
      <c r="Q139" s="82"/>
      <c r="R139" s="82"/>
      <c r="S139" s="82"/>
      <c r="DT139" s="73"/>
      <c r="DU139" s="73"/>
      <c r="DW139" s="172" t="s">
        <v>259</v>
      </c>
      <c r="DX139" s="61"/>
      <c r="DY139" s="61"/>
      <c r="DZ139" s="61"/>
      <c r="EA139" s="61"/>
      <c r="EB139" s="61"/>
      <c r="EC139" s="61"/>
      <c r="ED139" s="61"/>
      <c r="EE139" s="61"/>
      <c r="EF139" s="61"/>
      <c r="EG139" s="61"/>
    </row>
    <row r="140" spans="1:137" x14ac:dyDescent="0.35">
      <c r="A140" s="78"/>
      <c r="B140" s="230" t="s">
        <v>585</v>
      </c>
      <c r="C140" s="178"/>
      <c r="D140" s="178"/>
      <c r="E140" s="178"/>
      <c r="F140" s="178"/>
      <c r="G140" s="178"/>
      <c r="H140" s="178"/>
      <c r="I140" s="178"/>
      <c r="J140" s="178"/>
      <c r="K140" s="178"/>
      <c r="L140" s="178"/>
      <c r="M140" s="178"/>
      <c r="N140" s="178"/>
      <c r="O140" s="178"/>
      <c r="P140" s="178"/>
      <c r="Q140" s="177"/>
      <c r="R140" s="177"/>
      <c r="S140" s="177"/>
      <c r="DT140" s="73"/>
      <c r="DU140" s="73"/>
      <c r="DW140" s="172" t="s">
        <v>259</v>
      </c>
      <c r="DX140" s="61"/>
      <c r="DY140" s="61"/>
      <c r="DZ140" s="61"/>
      <c r="EA140" s="61"/>
      <c r="EB140" s="61"/>
      <c r="EC140" s="61"/>
      <c r="ED140" s="61"/>
      <c r="EE140" s="61"/>
      <c r="EF140" s="61"/>
      <c r="EG140" s="61"/>
    </row>
    <row r="141" spans="1:137" x14ac:dyDescent="0.35">
      <c r="Q141" s="82"/>
      <c r="R141" s="82"/>
      <c r="S141" s="82"/>
      <c r="DT141" s="73"/>
      <c r="DU141" s="73"/>
      <c r="DW141" s="172" t="s">
        <v>259</v>
      </c>
      <c r="DX141" s="61"/>
      <c r="DY141" s="61"/>
      <c r="DZ141" s="61"/>
      <c r="EA141" s="61"/>
      <c r="EB141" s="61"/>
      <c r="EC141" s="61"/>
      <c r="ED141" s="61"/>
      <c r="EE141" s="61"/>
      <c r="EF141" s="61"/>
      <c r="EG141" s="61"/>
    </row>
    <row r="142" spans="1:137" x14ac:dyDescent="0.35">
      <c r="B142" s="76"/>
      <c r="C142" s="137" t="s">
        <v>268</v>
      </c>
      <c r="D142" s="136" t="s">
        <v>269</v>
      </c>
      <c r="H142" s="139" t="s">
        <v>586</v>
      </c>
      <c r="I142" s="71"/>
      <c r="J142" s="140" t="s">
        <v>264</v>
      </c>
      <c r="K142" s="71" t="s">
        <v>267</v>
      </c>
      <c r="L142" s="71" t="s">
        <v>270</v>
      </c>
      <c r="M142" s="140" t="s">
        <v>265</v>
      </c>
      <c r="N142" s="71" t="s">
        <v>262</v>
      </c>
      <c r="DT142" s="73"/>
      <c r="DU142" s="73"/>
      <c r="DW142" s="172" t="s">
        <v>259</v>
      </c>
      <c r="DX142" s="61"/>
      <c r="DY142" s="61"/>
      <c r="DZ142" s="61"/>
      <c r="EA142" s="61"/>
      <c r="EB142" s="61"/>
      <c r="EC142" s="61"/>
      <c r="ED142" s="61"/>
      <c r="EE142" s="61"/>
      <c r="EF142" s="61"/>
      <c r="EG142" s="61"/>
    </row>
    <row r="143" spans="1:137" ht="15.5" x14ac:dyDescent="0.35">
      <c r="A143" s="133" t="e">
        <f ca="1">+HLOOKUP($C$143,Consolidado!$A$8:$DW$10,2,FALSE)</f>
        <v>#N/A</v>
      </c>
      <c r="B143" s="98"/>
      <c r="C143" s="135" t="s">
        <v>509</v>
      </c>
      <c r="D143" s="138" t="e">
        <f ca="1">+SUM((INDIRECT(A143)))</f>
        <v>#N/A</v>
      </c>
      <c r="G143" s="76"/>
      <c r="H143" s="76"/>
      <c r="I143" s="75"/>
      <c r="J143" s="75" t="s">
        <v>264</v>
      </c>
      <c r="K143" s="75" t="s">
        <v>263</v>
      </c>
      <c r="L143" s="75" t="s">
        <v>266</v>
      </c>
      <c r="M143" s="75" t="s">
        <v>265</v>
      </c>
      <c r="N143" s="75"/>
      <c r="DT143" s="73"/>
      <c r="DU143" s="73"/>
      <c r="DW143" s="172" t="s">
        <v>259</v>
      </c>
      <c r="DX143" s="61"/>
      <c r="DY143" s="61"/>
      <c r="DZ143" s="61"/>
      <c r="EA143" s="61"/>
      <c r="EB143" s="61"/>
      <c r="EC143" s="61"/>
      <c r="ED143" s="61"/>
      <c r="EE143" s="61"/>
      <c r="EF143" s="61"/>
      <c r="EG143" s="61"/>
    </row>
    <row r="144" spans="1:137" ht="15.5" x14ac:dyDescent="0.35">
      <c r="A144" s="133" t="e">
        <f ca="1">+HLOOKUP($C144,Consolidado!$A$8:$DW$10,2,FALSE)</f>
        <v>#N/A</v>
      </c>
      <c r="B144" s="76"/>
      <c r="C144" s="23" t="s">
        <v>511</v>
      </c>
      <c r="D144" s="105" t="e">
        <f ca="1">+SUM((INDIRECT(A144)))</f>
        <v>#N/A</v>
      </c>
      <c r="E144" s="71"/>
      <c r="H144" s="71"/>
      <c r="I144" s="141" t="s">
        <v>508</v>
      </c>
      <c r="J144" s="175" t="e">
        <f ca="1">QUARTILE(INDIRECT(O$144),4)</f>
        <v>#N/A</v>
      </c>
      <c r="K144" s="175" t="e">
        <f ca="1">QUARTILE(INDIRECT(O$144),3)</f>
        <v>#N/A</v>
      </c>
      <c r="L144" s="175" t="e">
        <f ca="1">QUARTILE(INDIRECT($O$144),1)</f>
        <v>#N/A</v>
      </c>
      <c r="M144" s="175" t="e">
        <f ca="1">MIN(INDIRECT(O$144))</f>
        <v>#N/A</v>
      </c>
      <c r="N144" s="175" t="e">
        <f ca="1">AVERAGE(INDIRECT(O144))</f>
        <v>#N/A</v>
      </c>
      <c r="O144" s="133" t="e">
        <f ca="1">+HLOOKUP(I$144,Consolidado!$A$8:$DW$10,2,FALSE)</f>
        <v>#N/A</v>
      </c>
      <c r="DT144" s="73"/>
      <c r="DU144" s="73"/>
      <c r="DW144" s="172" t="s">
        <v>259</v>
      </c>
      <c r="DX144" s="61"/>
      <c r="DY144" s="61"/>
      <c r="DZ144" s="61"/>
      <c r="EA144" s="61"/>
      <c r="EB144" s="61"/>
      <c r="EC144" s="61"/>
      <c r="ED144" s="61"/>
      <c r="EE144" s="61"/>
      <c r="EF144" s="61"/>
      <c r="EG144" s="61"/>
    </row>
    <row r="145" spans="1:137" x14ac:dyDescent="0.35">
      <c r="A145" s="78"/>
      <c r="B145" s="78"/>
      <c r="C145" s="78"/>
      <c r="D145" s="78"/>
      <c r="E145" s="78"/>
      <c r="H145" s="71"/>
      <c r="I145" s="88" t="s">
        <v>510</v>
      </c>
      <c r="J145" s="175" t="e">
        <f ca="1">QUARTILE(INDIRECT(O$145),4)</f>
        <v>#N/A</v>
      </c>
      <c r="K145" s="175" t="e">
        <f ca="1">QUARTILE(INDIRECT(O$145),3)</f>
        <v>#N/A</v>
      </c>
      <c r="L145" s="175" t="e">
        <f ca="1">QUARTILE(INDIRECT($O$145),1)</f>
        <v>#N/A</v>
      </c>
      <c r="M145" s="175" t="e">
        <f ca="1">MIN(INDIRECT(O$145))</f>
        <v>#N/A</v>
      </c>
      <c r="N145" s="175" t="e">
        <f ca="1">AVERAGE(INDIRECT(O145))</f>
        <v>#N/A</v>
      </c>
      <c r="O145" s="133" t="e">
        <f ca="1">+HLOOKUP(I$145,Consolidado!$A$8:$DW$10,2,FALSE)</f>
        <v>#N/A</v>
      </c>
      <c r="DN145" s="69">
        <v>673</v>
      </c>
      <c r="DO145" s="69">
        <v>167</v>
      </c>
      <c r="DP145" s="69">
        <v>320</v>
      </c>
      <c r="DQ145" s="69">
        <v>130</v>
      </c>
      <c r="DR145" s="69">
        <v>105130</v>
      </c>
      <c r="DS145" s="69">
        <v>530400</v>
      </c>
      <c r="DT145" s="73">
        <v>1.23</v>
      </c>
      <c r="DU145" s="73">
        <f t="shared" ref="DU145:DU206" si="4">+IFERROR(DP145-DO145,"")</f>
        <v>153</v>
      </c>
      <c r="DW145" s="172">
        <v>0.62833675564681724</v>
      </c>
      <c r="DX145" s="61"/>
      <c r="DY145" s="61"/>
      <c r="DZ145" s="61"/>
      <c r="EA145" s="61"/>
      <c r="EB145" s="61"/>
      <c r="EC145" s="61"/>
      <c r="ED145" s="61"/>
      <c r="EE145" s="61"/>
      <c r="EF145" s="61"/>
      <c r="EG145" s="61"/>
    </row>
    <row r="146" spans="1:137" x14ac:dyDescent="0.35">
      <c r="C146" s="71"/>
      <c r="D146" s="71"/>
      <c r="E146" s="71"/>
      <c r="F146" s="133"/>
      <c r="G146" s="76"/>
      <c r="H146" s="76"/>
      <c r="I146" s="143" t="s">
        <v>587</v>
      </c>
      <c r="J146" s="153" t="e">
        <f ca="1">QUARTILE(INDIRECT(O$146),4)</f>
        <v>#N/A</v>
      </c>
      <c r="K146" s="153" t="e">
        <f ca="1">QUARTILE(INDIRECT(O$146),3)</f>
        <v>#N/A</v>
      </c>
      <c r="L146" s="153" t="e">
        <f ca="1">QUARTILE(INDIRECT($O$144),1)</f>
        <v>#N/A</v>
      </c>
      <c r="M146" s="153" t="e">
        <f ca="1">MIN(INDIRECT(O$146))</f>
        <v>#N/A</v>
      </c>
      <c r="N146" s="153" t="e">
        <f ca="1">AVERAGE(INDIRECT(O146))</f>
        <v>#N/A</v>
      </c>
      <c r="O146" s="133" t="e">
        <f ca="1">+HLOOKUP(I$146,Consolidado!$A$8:$DW$10,2,FALSE)</f>
        <v>#N/A</v>
      </c>
      <c r="DT146" s="73"/>
      <c r="DU146" s="73"/>
      <c r="DW146" s="172" t="s">
        <v>259</v>
      </c>
      <c r="DX146" s="61"/>
      <c r="DY146" s="61"/>
      <c r="DZ146" s="61"/>
      <c r="EA146" s="61"/>
      <c r="EB146" s="61"/>
      <c r="EC146" s="61"/>
      <c r="ED146" s="61"/>
      <c r="EE146" s="61"/>
      <c r="EF146" s="61"/>
      <c r="EG146" s="61"/>
    </row>
    <row r="147" spans="1:137" x14ac:dyDescent="0.35">
      <c r="B147" s="129" t="s">
        <v>282</v>
      </c>
      <c r="C147" s="136">
        <v>2014</v>
      </c>
      <c r="D147" s="136">
        <v>2015</v>
      </c>
      <c r="E147" s="136" t="s">
        <v>450</v>
      </c>
      <c r="DT147" s="73"/>
      <c r="DU147" s="73"/>
      <c r="DW147" s="172" t="s">
        <v>259</v>
      </c>
      <c r="DX147" s="61"/>
      <c r="DY147" s="61"/>
      <c r="DZ147" s="61"/>
      <c r="EA147" s="61"/>
      <c r="EB147" s="61"/>
      <c r="EC147" s="61"/>
      <c r="ED147" s="61"/>
      <c r="EE147" s="61"/>
      <c r="EF147" s="61"/>
      <c r="EG147" s="61"/>
    </row>
    <row r="148" spans="1:137" x14ac:dyDescent="0.35">
      <c r="B148" s="137" t="s">
        <v>271</v>
      </c>
      <c r="C148" s="320" t="e">
        <f ca="1">+D196</f>
        <v>#N/A</v>
      </c>
      <c r="D148" s="320" t="e">
        <f ca="1">+D143+D144</f>
        <v>#N/A</v>
      </c>
      <c r="E148" s="321" t="e">
        <f ca="1">+D148-C148</f>
        <v>#N/A</v>
      </c>
      <c r="L148" s="136" t="s">
        <v>450</v>
      </c>
      <c r="M148" s="153" t="e">
        <f ca="1">+N146-H202</f>
        <v>#N/A</v>
      </c>
      <c r="DT148" s="73"/>
      <c r="DU148" s="73"/>
      <c r="DW148" s="172" t="s">
        <v>259</v>
      </c>
      <c r="DX148" s="61"/>
      <c r="DY148" s="61"/>
      <c r="DZ148" s="61"/>
      <c r="EA148" s="61"/>
      <c r="EB148" s="61"/>
      <c r="EC148" s="61"/>
      <c r="ED148" s="61"/>
      <c r="EE148" s="61"/>
      <c r="EF148" s="61"/>
      <c r="EG148" s="61"/>
    </row>
    <row r="149" spans="1:137" x14ac:dyDescent="0.35">
      <c r="B149" s="226"/>
      <c r="C149" s="227"/>
      <c r="D149" s="227"/>
      <c r="DT149" s="73"/>
      <c r="DU149" s="73"/>
      <c r="DW149" s="172" t="s">
        <v>259</v>
      </c>
      <c r="DX149" s="61"/>
      <c r="DY149" s="61"/>
      <c r="DZ149" s="61"/>
      <c r="EA149" s="61"/>
      <c r="EB149" s="61"/>
      <c r="EC149" s="61"/>
      <c r="ED149" s="61"/>
      <c r="EE149" s="61"/>
      <c r="EF149" s="61"/>
      <c r="EG149" s="61"/>
    </row>
    <row r="150" spans="1:137" x14ac:dyDescent="0.35">
      <c r="DT150" s="73"/>
      <c r="DU150" s="73"/>
      <c r="DW150" s="172" t="s">
        <v>259</v>
      </c>
      <c r="DX150" s="61"/>
      <c r="DY150" s="61"/>
      <c r="DZ150" s="61"/>
      <c r="EA150" s="61"/>
      <c r="EB150" s="61"/>
      <c r="EC150" s="61"/>
      <c r="ED150" s="61"/>
      <c r="EE150" s="61"/>
      <c r="EF150" s="61"/>
      <c r="EG150" s="61"/>
    </row>
    <row r="151" spans="1:137" x14ac:dyDescent="0.35">
      <c r="N151" s="160"/>
      <c r="DT151" s="73"/>
      <c r="DU151" s="73"/>
      <c r="DW151" s="172" t="s">
        <v>259</v>
      </c>
      <c r="DX151" s="61"/>
      <c r="DY151" s="61"/>
      <c r="DZ151" s="61"/>
      <c r="EA151" s="61"/>
      <c r="EB151" s="61"/>
      <c r="EC151" s="61"/>
      <c r="ED151" s="61"/>
      <c r="EE151" s="61"/>
      <c r="EF151" s="61"/>
      <c r="EG151" s="61"/>
    </row>
    <row r="152" spans="1:137" x14ac:dyDescent="0.35">
      <c r="L152" s="71"/>
      <c r="M152" s="145"/>
      <c r="O152" s="142"/>
      <c r="DT152" s="73"/>
      <c r="DU152" s="73"/>
      <c r="DW152" s="172" t="s">
        <v>259</v>
      </c>
      <c r="DX152" s="61"/>
      <c r="DY152" s="61"/>
      <c r="DZ152" s="61"/>
      <c r="EA152" s="61"/>
      <c r="EB152" s="61"/>
      <c r="EC152" s="61"/>
      <c r="ED152" s="61"/>
      <c r="EE152" s="61"/>
      <c r="EF152" s="61"/>
      <c r="EG152" s="61"/>
    </row>
    <row r="153" spans="1:137" x14ac:dyDescent="0.35">
      <c r="DT153" s="73"/>
      <c r="DU153" s="73"/>
      <c r="DW153" s="172" t="s">
        <v>259</v>
      </c>
      <c r="DX153" s="61"/>
      <c r="DY153" s="61"/>
      <c r="DZ153" s="61"/>
      <c r="EA153" s="61"/>
      <c r="EB153" s="61"/>
      <c r="EC153" s="61"/>
      <c r="ED153" s="61"/>
      <c r="EE153" s="61"/>
      <c r="EF153" s="61"/>
      <c r="EG153" s="61"/>
    </row>
    <row r="154" spans="1:137" x14ac:dyDescent="0.35">
      <c r="DN154" s="69">
        <v>100</v>
      </c>
      <c r="DO154" s="69">
        <v>300</v>
      </c>
      <c r="DP154" s="69">
        <v>400</v>
      </c>
      <c r="DQ154" s="69">
        <v>100</v>
      </c>
      <c r="DR154" s="69">
        <v>10000</v>
      </c>
      <c r="DT154" s="73"/>
      <c r="DU154" s="73">
        <f t="shared" si="4"/>
        <v>100</v>
      </c>
      <c r="DW154" s="172">
        <v>0.2857142857142857</v>
      </c>
      <c r="DX154" s="61"/>
      <c r="DY154" s="61"/>
      <c r="DZ154" s="61"/>
      <c r="EA154" s="61"/>
      <c r="EB154" s="61"/>
      <c r="EC154" s="61"/>
      <c r="ED154" s="61"/>
      <c r="EE154" s="61"/>
      <c r="EF154" s="61"/>
      <c r="EG154" s="61"/>
    </row>
    <row r="155" spans="1:137" x14ac:dyDescent="0.35">
      <c r="DT155" s="73"/>
      <c r="DU155" s="73"/>
      <c r="DW155" s="172" t="s">
        <v>259</v>
      </c>
      <c r="DX155" s="61"/>
      <c r="DY155" s="61"/>
      <c r="DZ155" s="61"/>
      <c r="EA155" s="61"/>
      <c r="EB155" s="61"/>
      <c r="EC155" s="61"/>
      <c r="ED155" s="61"/>
      <c r="EE155" s="61"/>
      <c r="EF155" s="61"/>
      <c r="EG155" s="61"/>
    </row>
    <row r="156" spans="1:137" x14ac:dyDescent="0.35">
      <c r="T156" s="179"/>
      <c r="U156" s="179"/>
      <c r="V156" s="179"/>
      <c r="W156" s="179"/>
      <c r="X156" s="179"/>
      <c r="DT156" s="73"/>
      <c r="DU156" s="73"/>
      <c r="DW156" s="172" t="s">
        <v>259</v>
      </c>
      <c r="DX156" s="61"/>
      <c r="DY156" s="61"/>
      <c r="DZ156" s="61"/>
      <c r="EA156" s="61"/>
      <c r="EB156" s="61"/>
      <c r="EC156" s="61"/>
      <c r="ED156" s="61"/>
      <c r="EE156" s="61"/>
      <c r="EF156" s="61"/>
      <c r="EG156" s="61"/>
    </row>
    <row r="157" spans="1:137" s="78" customFormat="1" x14ac:dyDescent="0.35">
      <c r="A157" s="69"/>
      <c r="B157" s="69"/>
      <c r="C157" s="69"/>
      <c r="D157" s="69"/>
      <c r="E157" s="69"/>
      <c r="F157" s="69"/>
      <c r="G157" s="69"/>
      <c r="H157" s="69"/>
      <c r="I157" s="69"/>
      <c r="J157" s="69"/>
      <c r="K157" s="69"/>
      <c r="L157" s="69"/>
      <c r="M157" s="69"/>
      <c r="N157" s="69"/>
      <c r="O157" s="69"/>
      <c r="P157" s="69"/>
      <c r="Q157" s="69"/>
      <c r="R157" s="69"/>
      <c r="S157" s="69"/>
      <c r="T157" s="82"/>
      <c r="U157" s="82"/>
      <c r="V157" s="82"/>
      <c r="W157" s="82"/>
      <c r="X157" s="82"/>
      <c r="DN157" s="69"/>
      <c r="DO157" s="69"/>
      <c r="DP157" s="69"/>
      <c r="DQ157" s="69"/>
      <c r="DR157" s="69"/>
      <c r="DS157" s="69"/>
      <c r="DT157" s="73"/>
      <c r="DU157" s="73"/>
      <c r="DW157" s="172" t="s">
        <v>259</v>
      </c>
      <c r="DX157" s="61"/>
      <c r="DY157" s="61"/>
      <c r="DZ157" s="61"/>
      <c r="EA157" s="61"/>
      <c r="EB157" s="61"/>
      <c r="EC157" s="61"/>
      <c r="ED157" s="61"/>
      <c r="EE157" s="61"/>
      <c r="EF157" s="61"/>
      <c r="EG157" s="61"/>
    </row>
    <row r="158" spans="1:137" x14ac:dyDescent="0.35">
      <c r="T158" s="177"/>
      <c r="U158" s="177"/>
      <c r="V158" s="177"/>
      <c r="W158" s="177"/>
      <c r="X158" s="178"/>
      <c r="DN158" s="69">
        <v>646</v>
      </c>
      <c r="DO158" s="69">
        <v>362</v>
      </c>
      <c r="DP158" s="69">
        <v>462</v>
      </c>
      <c r="DQ158" s="69">
        <v>84</v>
      </c>
      <c r="DR158" s="69">
        <v>93725</v>
      </c>
      <c r="DS158" s="69">
        <v>583646.54999999993</v>
      </c>
      <c r="DT158" s="73">
        <v>1.1904761904761905</v>
      </c>
      <c r="DU158" s="73">
        <f t="shared" si="4"/>
        <v>100</v>
      </c>
      <c r="DW158" s="172">
        <v>0.24271844660194175</v>
      </c>
      <c r="DX158" s="61">
        <v>0.31212950296397629</v>
      </c>
      <c r="DY158" s="61">
        <v>3.8826852175880271E-2</v>
      </c>
      <c r="DZ158" s="61">
        <v>0</v>
      </c>
      <c r="EA158" s="61">
        <v>3.0046271257736915E-2</v>
      </c>
      <c r="EB158" s="61">
        <v>0.61899737360240659</v>
      </c>
      <c r="EC158" s="61">
        <v>1</v>
      </c>
      <c r="ED158" s="61">
        <v>0</v>
      </c>
      <c r="EE158" s="61"/>
      <c r="EF158" s="61">
        <v>1</v>
      </c>
      <c r="EG158" s="61"/>
    </row>
    <row r="159" spans="1:137" x14ac:dyDescent="0.35">
      <c r="T159" s="82"/>
      <c r="U159" s="82"/>
      <c r="V159" s="82"/>
      <c r="W159" s="82"/>
      <c r="DN159" s="69">
        <v>212</v>
      </c>
      <c r="DO159" s="69">
        <v>266</v>
      </c>
      <c r="DP159" s="69">
        <v>338</v>
      </c>
      <c r="DQ159" s="69">
        <v>78</v>
      </c>
      <c r="DR159" s="69">
        <v>15264</v>
      </c>
      <c r="DS159" s="69">
        <v>210238.99999999997</v>
      </c>
      <c r="DT159" s="73">
        <v>0.992307692307692</v>
      </c>
      <c r="DU159" s="73">
        <f t="shared" si="4"/>
        <v>72</v>
      </c>
      <c r="DW159" s="172">
        <v>0.23841059602649006</v>
      </c>
      <c r="DX159" s="61">
        <v>0.89797801549664913</v>
      </c>
      <c r="DY159" s="61">
        <v>0.10202198450335097</v>
      </c>
      <c r="DZ159" s="61">
        <v>0</v>
      </c>
      <c r="EA159" s="61">
        <v>0</v>
      </c>
      <c r="EB159" s="61">
        <v>0</v>
      </c>
      <c r="EC159" s="61">
        <v>1</v>
      </c>
      <c r="ED159" s="61">
        <v>0</v>
      </c>
      <c r="EE159" s="61">
        <v>0</v>
      </c>
      <c r="EF159" s="61">
        <v>0</v>
      </c>
      <c r="EG159" s="61"/>
    </row>
    <row r="160" spans="1:137" x14ac:dyDescent="0.35">
      <c r="DN160" s="69">
        <v>357</v>
      </c>
      <c r="DO160" s="69">
        <v>178</v>
      </c>
      <c r="DP160" s="69">
        <v>342</v>
      </c>
      <c r="DQ160" s="69">
        <v>252</v>
      </c>
      <c r="DR160" s="69">
        <v>58548</v>
      </c>
      <c r="DS160" s="69">
        <v>516307.94</v>
      </c>
      <c r="DT160" s="73">
        <v>0.66507936507936505</v>
      </c>
      <c r="DU160" s="73">
        <f t="shared" si="4"/>
        <v>164</v>
      </c>
      <c r="DW160" s="172">
        <v>0.63076923076923075</v>
      </c>
      <c r="DX160" s="61">
        <v>0.70530083267749089</v>
      </c>
      <c r="DY160" s="61">
        <v>4.7003964339576106E-2</v>
      </c>
      <c r="DZ160" s="61">
        <v>0.24769520298293302</v>
      </c>
      <c r="EA160" s="61">
        <v>0</v>
      </c>
      <c r="EB160" s="61">
        <v>0</v>
      </c>
      <c r="EC160" s="61">
        <v>1</v>
      </c>
      <c r="ED160" s="61">
        <v>0</v>
      </c>
      <c r="EE160" s="61">
        <v>1</v>
      </c>
      <c r="EF160" s="61">
        <v>0</v>
      </c>
      <c r="EG160" s="61"/>
    </row>
    <row r="161" spans="1:137" x14ac:dyDescent="0.35">
      <c r="DN161" s="69">
        <v>1862</v>
      </c>
      <c r="DO161" s="69">
        <v>322</v>
      </c>
      <c r="DP161" s="69">
        <v>410</v>
      </c>
      <c r="DQ161" s="69">
        <v>102</v>
      </c>
      <c r="DR161" s="69">
        <v>163856</v>
      </c>
      <c r="DS161" s="69">
        <v>1403373.99</v>
      </c>
      <c r="DT161" s="73">
        <v>0.88627450980392097</v>
      </c>
      <c r="DU161" s="73">
        <f t="shared" si="4"/>
        <v>88</v>
      </c>
      <c r="DW161" s="172">
        <v>0.24043715846994534</v>
      </c>
      <c r="DX161" s="61">
        <v>0.83369044056459962</v>
      </c>
      <c r="DY161" s="61">
        <v>4.8616057078270346E-2</v>
      </c>
      <c r="DZ161" s="61">
        <v>0.11769350235713005</v>
      </c>
      <c r="EA161" s="61">
        <v>0</v>
      </c>
      <c r="EB161" s="61">
        <v>0</v>
      </c>
      <c r="EC161" s="61">
        <v>0</v>
      </c>
      <c r="ED161" s="61">
        <v>0</v>
      </c>
      <c r="EE161" s="61">
        <v>0</v>
      </c>
      <c r="EF161" s="61">
        <v>0</v>
      </c>
      <c r="EG161" s="61"/>
    </row>
    <row r="162" spans="1:137" x14ac:dyDescent="0.35">
      <c r="DN162" s="69">
        <v>3324</v>
      </c>
      <c r="DO162" s="69">
        <v>295</v>
      </c>
      <c r="DP162" s="69">
        <v>366</v>
      </c>
      <c r="DQ162" s="69">
        <v>90</v>
      </c>
      <c r="DR162" s="69">
        <v>236004</v>
      </c>
      <c r="DS162" s="69">
        <v>3327781.5700000003</v>
      </c>
      <c r="DT162" s="73">
        <v>0.77888888888888796</v>
      </c>
      <c r="DU162" s="73">
        <f t="shared" si="4"/>
        <v>71</v>
      </c>
      <c r="DW162" s="172">
        <v>0.21482602118003025</v>
      </c>
      <c r="DX162" s="61">
        <v>0.523158958416853</v>
      </c>
      <c r="DY162" s="61">
        <v>4.6668426617916516E-2</v>
      </c>
      <c r="DZ162" s="61">
        <v>0.4301726149652304</v>
      </c>
      <c r="EA162" s="61">
        <v>0</v>
      </c>
      <c r="EB162" s="61">
        <v>0</v>
      </c>
      <c r="EC162" s="61">
        <v>1</v>
      </c>
      <c r="ED162" s="61">
        <v>0</v>
      </c>
      <c r="EE162" s="61">
        <v>1</v>
      </c>
      <c r="EF162" s="61">
        <v>1</v>
      </c>
      <c r="EG162" s="61"/>
    </row>
    <row r="163" spans="1:137" s="78" customFormat="1" x14ac:dyDescent="0.35">
      <c r="A163" s="69"/>
      <c r="B163" s="69"/>
      <c r="C163" s="69"/>
      <c r="D163" s="69"/>
      <c r="E163" s="69"/>
      <c r="F163" s="69"/>
      <c r="G163" s="69"/>
      <c r="H163" s="69"/>
      <c r="I163" s="69"/>
      <c r="J163" s="69"/>
      <c r="K163" s="69"/>
      <c r="L163" s="69"/>
      <c r="M163" s="69"/>
      <c r="N163" s="69"/>
      <c r="O163" s="69"/>
      <c r="P163" s="69"/>
      <c r="Q163" s="69"/>
      <c r="R163" s="69"/>
      <c r="S163" s="69"/>
      <c r="T163" s="69"/>
      <c r="U163" s="69"/>
      <c r="V163" s="69"/>
      <c r="DN163" s="69"/>
      <c r="DO163" s="69"/>
      <c r="DP163" s="69"/>
      <c r="DQ163" s="69"/>
      <c r="DR163" s="69"/>
      <c r="DS163" s="69"/>
      <c r="DT163" s="73" t="s">
        <v>259</v>
      </c>
      <c r="DU163" s="73"/>
      <c r="DW163" s="172" t="s">
        <v>259</v>
      </c>
      <c r="DX163" s="61"/>
      <c r="DY163" s="61"/>
      <c r="DZ163" s="61"/>
      <c r="EA163" s="61"/>
      <c r="EB163" s="61"/>
      <c r="EC163" s="61"/>
      <c r="ED163" s="61"/>
      <c r="EE163" s="61"/>
      <c r="EF163" s="61"/>
      <c r="EG163" s="61">
        <v>0</v>
      </c>
    </row>
    <row r="164" spans="1:137" x14ac:dyDescent="0.35">
      <c r="DN164" s="69">
        <v>695</v>
      </c>
      <c r="DO164" s="69">
        <v>171</v>
      </c>
      <c r="DP164" s="69">
        <v>331</v>
      </c>
      <c r="DQ164" s="69">
        <v>170</v>
      </c>
      <c r="DR164" s="69">
        <v>111200</v>
      </c>
      <c r="DS164" s="69">
        <v>465254.79999999987</v>
      </c>
      <c r="DT164" s="73">
        <v>0.94117647058823495</v>
      </c>
      <c r="DU164" s="73">
        <f t="shared" si="4"/>
        <v>160</v>
      </c>
      <c r="DW164" s="172">
        <v>0.63745019920318724</v>
      </c>
      <c r="DX164" s="61">
        <v>0</v>
      </c>
      <c r="DY164" s="61">
        <v>0.98194537702781381</v>
      </c>
      <c r="DZ164" s="61">
        <v>1.8054622972186428E-2</v>
      </c>
      <c r="EA164" s="61">
        <v>0</v>
      </c>
      <c r="EB164" s="61">
        <v>0</v>
      </c>
      <c r="EC164" s="61">
        <v>0</v>
      </c>
      <c r="ED164" s="61">
        <v>0</v>
      </c>
      <c r="EE164" s="61">
        <v>0</v>
      </c>
      <c r="EF164" s="61">
        <v>0</v>
      </c>
      <c r="EG164" s="61"/>
    </row>
    <row r="165" spans="1:137" x14ac:dyDescent="0.35">
      <c r="DN165" s="69">
        <v>2300</v>
      </c>
      <c r="DO165" s="69">
        <v>340</v>
      </c>
      <c r="DP165" s="69">
        <v>409</v>
      </c>
      <c r="DQ165" s="69">
        <v>55</v>
      </c>
      <c r="DR165" s="69">
        <v>158700</v>
      </c>
      <c r="DS165" s="69">
        <v>988278.25999999966</v>
      </c>
      <c r="DT165" s="73">
        <v>1.25454545454545</v>
      </c>
      <c r="DU165" s="73">
        <f t="shared" si="4"/>
        <v>69</v>
      </c>
      <c r="DW165" s="172">
        <v>0.18424566088117489</v>
      </c>
      <c r="DX165" s="61">
        <v>0.52511020529784813</v>
      </c>
      <c r="DY165" s="61">
        <v>7.972532958480745E-2</v>
      </c>
      <c r="DZ165" s="61">
        <v>0.12830799293308348</v>
      </c>
      <c r="EA165" s="61">
        <v>0</v>
      </c>
      <c r="EB165" s="61">
        <v>0.26685647218426123</v>
      </c>
      <c r="EC165" s="61">
        <v>1</v>
      </c>
      <c r="ED165" s="61">
        <v>0</v>
      </c>
      <c r="EE165" s="61">
        <v>1</v>
      </c>
      <c r="EF165" s="61">
        <v>1</v>
      </c>
      <c r="EG165" s="61"/>
    </row>
    <row r="166" spans="1:137" x14ac:dyDescent="0.35">
      <c r="DN166" s="69">
        <v>4256</v>
      </c>
      <c r="DO166" s="69">
        <v>328</v>
      </c>
      <c r="DP166" s="69">
        <v>394</v>
      </c>
      <c r="DQ166" s="69">
        <v>65</v>
      </c>
      <c r="DR166" s="69">
        <v>280896</v>
      </c>
      <c r="DS166" s="69">
        <v>2162429.13</v>
      </c>
      <c r="DT166" s="73">
        <v>1.01538461538462</v>
      </c>
      <c r="DU166" s="73">
        <f t="shared" si="4"/>
        <v>66</v>
      </c>
      <c r="DW166" s="172">
        <v>0.18282548476454294</v>
      </c>
      <c r="DX166" s="61">
        <v>0.69948401499752277</v>
      </c>
      <c r="DY166" s="61">
        <v>3.5876098283970127E-2</v>
      </c>
      <c r="DZ166" s="61">
        <v>0.15508947569532602</v>
      </c>
      <c r="EA166" s="61">
        <v>6.2263312185403281E-3</v>
      </c>
      <c r="EB166" s="61">
        <v>0.10332407980464081</v>
      </c>
      <c r="EC166" s="61">
        <v>0</v>
      </c>
      <c r="ED166" s="61">
        <v>0</v>
      </c>
      <c r="EE166" s="61">
        <v>0</v>
      </c>
      <c r="EF166" s="61">
        <v>0</v>
      </c>
      <c r="EG166" s="61">
        <v>0</v>
      </c>
    </row>
    <row r="167" spans="1:137" x14ac:dyDescent="0.35">
      <c r="DN167" s="69">
        <v>769</v>
      </c>
      <c r="DO167" s="69">
        <v>208</v>
      </c>
      <c r="DP167" s="69">
        <v>358</v>
      </c>
      <c r="DQ167" s="69">
        <v>300</v>
      </c>
      <c r="DR167" s="69">
        <v>115350</v>
      </c>
      <c r="DT167" s="73">
        <v>0.5</v>
      </c>
      <c r="DU167" s="73">
        <f t="shared" si="4"/>
        <v>150</v>
      </c>
      <c r="DW167" s="172">
        <v>0.53003533568904593</v>
      </c>
      <c r="DX167" s="61"/>
      <c r="DY167" s="61"/>
      <c r="DZ167" s="61"/>
      <c r="EA167" s="61"/>
      <c r="EB167" s="61"/>
      <c r="EC167" s="61"/>
      <c r="ED167" s="61"/>
      <c r="EE167" s="61"/>
      <c r="EF167" s="61"/>
      <c r="EG167" s="61">
        <v>0</v>
      </c>
    </row>
    <row r="168" spans="1:137" x14ac:dyDescent="0.35">
      <c r="B168" s="230" t="s">
        <v>588</v>
      </c>
      <c r="C168" s="178"/>
      <c r="D168" s="178"/>
      <c r="E168" s="178"/>
      <c r="F168" s="178"/>
      <c r="G168" s="178"/>
      <c r="H168" s="178"/>
      <c r="I168" s="178"/>
      <c r="J168" s="178"/>
      <c r="K168" s="178"/>
      <c r="L168" s="178"/>
      <c r="M168" s="178"/>
      <c r="N168" s="178"/>
      <c r="O168" s="178"/>
      <c r="P168" s="178"/>
      <c r="Q168" s="178"/>
      <c r="R168" s="178"/>
      <c r="S168" s="178"/>
      <c r="DN168" s="69">
        <v>640</v>
      </c>
      <c r="DO168" s="69">
        <v>218</v>
      </c>
      <c r="DP168" s="69">
        <v>354</v>
      </c>
      <c r="DQ168" s="69">
        <v>128</v>
      </c>
      <c r="DR168" s="69">
        <v>87040</v>
      </c>
      <c r="DS168" s="69">
        <v>599571</v>
      </c>
      <c r="DT168" s="73">
        <v>1.0625</v>
      </c>
      <c r="DU168" s="73">
        <f t="shared" si="4"/>
        <v>136</v>
      </c>
      <c r="DW168" s="172">
        <v>0.47552447552447552</v>
      </c>
      <c r="DX168" s="61">
        <v>0.44982162246005897</v>
      </c>
      <c r="DY168" s="61">
        <v>7.2586899633237764E-2</v>
      </c>
      <c r="DZ168" s="61">
        <v>0.45532555777380829</v>
      </c>
      <c r="EA168" s="61">
        <v>0</v>
      </c>
      <c r="EB168" s="61">
        <v>2.2265920132895019E-2</v>
      </c>
      <c r="EC168" s="61">
        <v>0</v>
      </c>
      <c r="ED168" s="61">
        <v>0</v>
      </c>
      <c r="EE168" s="61">
        <v>0</v>
      </c>
      <c r="EF168" s="61">
        <v>0</v>
      </c>
      <c r="EG168" s="61"/>
    </row>
    <row r="169" spans="1:137" x14ac:dyDescent="0.35">
      <c r="DT169" s="73" t="s">
        <v>259</v>
      </c>
      <c r="DU169" s="73"/>
      <c r="DW169" s="172" t="s">
        <v>259</v>
      </c>
      <c r="DX169" s="61"/>
      <c r="DY169" s="61"/>
      <c r="DZ169" s="61"/>
      <c r="EA169" s="61"/>
      <c r="EB169" s="61"/>
      <c r="EC169" s="61">
        <v>0</v>
      </c>
      <c r="ED169" s="61">
        <v>0</v>
      </c>
      <c r="EE169" s="61">
        <v>0</v>
      </c>
      <c r="EF169" s="61">
        <v>0</v>
      </c>
      <c r="EG169" s="61">
        <v>0</v>
      </c>
    </row>
    <row r="170" spans="1:137" x14ac:dyDescent="0.35">
      <c r="B170" s="147" t="s">
        <v>589</v>
      </c>
      <c r="I170" s="133" t="e">
        <f ca="1">+HLOOKUP(K$170,Consolidado!$A$8:$DW$10,2,FALSE)</f>
        <v>#N/A</v>
      </c>
      <c r="J170" s="71"/>
      <c r="K170" s="154" t="s">
        <v>53</v>
      </c>
      <c r="L170" s="95">
        <v>0.25</v>
      </c>
      <c r="M170" s="95">
        <v>0.5</v>
      </c>
      <c r="N170" s="95">
        <v>0.75</v>
      </c>
      <c r="O170" s="95">
        <v>1</v>
      </c>
      <c r="DT170" s="73" t="s">
        <v>259</v>
      </c>
      <c r="DU170" s="73"/>
      <c r="DW170" s="172" t="s">
        <v>259</v>
      </c>
      <c r="DX170" s="61"/>
      <c r="DY170" s="61"/>
      <c r="DZ170" s="61"/>
      <c r="EA170" s="61"/>
      <c r="EB170" s="61"/>
      <c r="EC170" s="61">
        <v>0</v>
      </c>
      <c r="ED170" s="61">
        <v>0</v>
      </c>
      <c r="EE170" s="61">
        <v>0</v>
      </c>
      <c r="EF170" s="61">
        <v>0</v>
      </c>
      <c r="EG170" s="61"/>
    </row>
    <row r="171" spans="1:137" x14ac:dyDescent="0.35">
      <c r="C171" s="71"/>
      <c r="D171" s="95">
        <v>15</v>
      </c>
      <c r="E171" s="95">
        <v>18</v>
      </c>
      <c r="F171" s="95">
        <v>22</v>
      </c>
      <c r="G171" s="95">
        <v>24</v>
      </c>
      <c r="I171" s="71"/>
      <c r="J171" s="76"/>
      <c r="K171" s="143" t="s">
        <v>280</v>
      </c>
      <c r="L171" s="136" t="s">
        <v>278</v>
      </c>
      <c r="M171" s="136" t="s">
        <v>277</v>
      </c>
      <c r="N171" s="136" t="s">
        <v>279</v>
      </c>
      <c r="O171" s="136" t="s">
        <v>469</v>
      </c>
      <c r="DT171" s="73" t="s">
        <v>259</v>
      </c>
      <c r="DU171" s="73"/>
      <c r="DW171" s="172" t="s">
        <v>259</v>
      </c>
      <c r="DX171" s="61"/>
      <c r="DY171" s="61"/>
      <c r="DZ171" s="61"/>
      <c r="EA171" s="61"/>
      <c r="EB171" s="61"/>
      <c r="EC171" s="61">
        <v>0</v>
      </c>
      <c r="ED171" s="61">
        <v>0</v>
      </c>
      <c r="EE171" s="61">
        <v>0</v>
      </c>
      <c r="EF171" s="61">
        <v>0</v>
      </c>
      <c r="EG171" s="61"/>
    </row>
    <row r="172" spans="1:137" x14ac:dyDescent="0.35">
      <c r="A172" s="133" t="str">
        <f ca="1">+HLOOKUP(C$172,Consolidado!$A$8:$DW$10,2,FALSE)</f>
        <v>Consolidado!BC11:BC25</v>
      </c>
      <c r="B172" s="76"/>
      <c r="C172" s="90" t="s">
        <v>51</v>
      </c>
      <c r="D172" s="129" t="str">
        <f>+D171&amp;" "&amp;"meses"</f>
        <v>15 meses</v>
      </c>
      <c r="E172" s="129" t="str">
        <f>+E171&amp;" "&amp;"meses"</f>
        <v>18 meses</v>
      </c>
      <c r="F172" s="129" t="str">
        <f>+F171&amp;" "&amp;"meses"</f>
        <v>22 meses</v>
      </c>
      <c r="G172" s="129" t="str">
        <f>+G171&amp;" "&amp;"meses"</f>
        <v>24 meses</v>
      </c>
      <c r="K172" s="88" t="s">
        <v>254</v>
      </c>
      <c r="L172" s="69" t="e">
        <f ca="1">+COUNTIFS(INDIRECT($I170),"&lt;"&amp;L170,INDIRECT($I170),"&gt;"&amp;0.01)</f>
        <v>#N/A</v>
      </c>
      <c r="M172" s="69" t="e">
        <f ca="1">+COUNTIFS(INDIRECT($I170),"&gt;="&amp;L170,INDIRECT($I170),"&lt;"&amp;M170)</f>
        <v>#N/A</v>
      </c>
      <c r="N172" s="69" t="e">
        <f ca="1">+COUNTIFS(INDIRECT($I170),"&gt;="&amp;M170,INDIRECT($I170),"&lt;"&amp;N170)</f>
        <v>#N/A</v>
      </c>
      <c r="O172" s="69" t="e">
        <f ca="1">+COUNTIFS(INDIRECT($I170),"&gt;"&amp;N170)</f>
        <v>#N/A</v>
      </c>
      <c r="DT172" s="73" t="s">
        <v>259</v>
      </c>
      <c r="DU172" s="73"/>
      <c r="DW172" s="172" t="s">
        <v>259</v>
      </c>
      <c r="DX172" s="61"/>
      <c r="DY172" s="61"/>
      <c r="DZ172" s="61"/>
      <c r="EA172" s="61"/>
      <c r="EB172" s="61"/>
      <c r="EC172" s="61">
        <v>0</v>
      </c>
      <c r="ED172" s="61">
        <v>0</v>
      </c>
      <c r="EE172" s="61">
        <v>0</v>
      </c>
      <c r="EF172" s="61">
        <v>0</v>
      </c>
      <c r="EG172" s="61"/>
    </row>
    <row r="173" spans="1:137" x14ac:dyDescent="0.35">
      <c r="B173" s="98"/>
      <c r="C173" s="146" t="s">
        <v>254</v>
      </c>
      <c r="D173" s="98">
        <f ca="1">+COUNTIF(INDIRECT($A172),D171)</f>
        <v>0</v>
      </c>
      <c r="E173" s="98">
        <f ca="1">+COUNTIF(INDIRECT($A172),E171)</f>
        <v>0</v>
      </c>
      <c r="F173" s="98">
        <f ca="1">+COUNTIF(INDIRECT($A172),F171)</f>
        <v>0</v>
      </c>
      <c r="G173" s="98">
        <f ca="1">+COUNTIF(INDIRECT($A172),G171)</f>
        <v>0</v>
      </c>
      <c r="J173" s="76"/>
      <c r="K173" s="90" t="s">
        <v>281</v>
      </c>
      <c r="L173" s="153" t="e">
        <f ca="1">+L172/SUM($L$172:$O$172)</f>
        <v>#N/A</v>
      </c>
      <c r="M173" s="153" t="e">
        <f ca="1">+M172/SUM($L$172:$O$172)</f>
        <v>#N/A</v>
      </c>
      <c r="N173" s="153" t="e">
        <f ca="1">+N172/SUM($L$172:$O$172)</f>
        <v>#N/A</v>
      </c>
      <c r="O173" s="153" t="e">
        <f ca="1">+O172/SUM($L$172:$O$172)</f>
        <v>#N/A</v>
      </c>
      <c r="DN173" s="69">
        <v>1507</v>
      </c>
      <c r="DO173" s="69">
        <v>181.84804246848043</v>
      </c>
      <c r="DP173" s="69">
        <v>319.25</v>
      </c>
      <c r="DQ173" s="69">
        <v>135</v>
      </c>
      <c r="DR173" s="69">
        <v>207064.75</v>
      </c>
      <c r="DS173" s="69">
        <v>1170697.8100000003</v>
      </c>
      <c r="DT173" s="73">
        <v>1.01779227801126</v>
      </c>
      <c r="DU173" s="73">
        <f t="shared" si="4"/>
        <v>137.40195753151957</v>
      </c>
      <c r="DW173" s="172">
        <v>0.54840348948344686</v>
      </c>
      <c r="DX173" s="61">
        <v>0.73657933126226638</v>
      </c>
      <c r="DY173" s="61">
        <v>4.5157682493657342E-2</v>
      </c>
      <c r="DZ173" s="61">
        <v>0</v>
      </c>
      <c r="EA173" s="61">
        <v>3.0067537240887118E-3</v>
      </c>
      <c r="EB173" s="61">
        <v>0.21525623251998732</v>
      </c>
      <c r="EC173" s="61">
        <v>1</v>
      </c>
      <c r="ED173" s="61">
        <v>0</v>
      </c>
      <c r="EE173" s="61">
        <v>0</v>
      </c>
      <c r="EF173" s="61">
        <v>1</v>
      </c>
      <c r="EG173" s="61"/>
    </row>
    <row r="174" spans="1:137" x14ac:dyDescent="0.35">
      <c r="B174" s="76"/>
      <c r="C174" s="90" t="s">
        <v>451</v>
      </c>
      <c r="D174" s="153" t="e">
        <f ca="1">+D173/SUM($D$173:$G$173)</f>
        <v>#DIV/0!</v>
      </c>
      <c r="E174" s="153" t="e">
        <f ca="1">+E173/SUM($D$173:$G$173)</f>
        <v>#DIV/0!</v>
      </c>
      <c r="F174" s="153" t="e">
        <f ca="1">+F173/SUM($D$173:$G$173)</f>
        <v>#DIV/0!</v>
      </c>
      <c r="G174" s="153" t="e">
        <f ca="1">+G173/SUM($D$173:$G$173)</f>
        <v>#DIV/0!</v>
      </c>
      <c r="DT174" s="73" t="s">
        <v>259</v>
      </c>
      <c r="DU174" s="73"/>
      <c r="DW174" s="172" t="s">
        <v>259</v>
      </c>
      <c r="DX174" s="61"/>
      <c r="DY174" s="61"/>
      <c r="DZ174" s="61"/>
      <c r="EA174" s="61"/>
      <c r="EB174" s="61"/>
      <c r="EC174" s="61">
        <v>0</v>
      </c>
      <c r="ED174" s="61">
        <v>0</v>
      </c>
      <c r="EE174" s="61">
        <v>0</v>
      </c>
      <c r="EF174" s="61">
        <v>0</v>
      </c>
      <c r="EG174" s="61">
        <v>0</v>
      </c>
    </row>
    <row r="175" spans="1:137" x14ac:dyDescent="0.35">
      <c r="DN175" s="69">
        <v>687</v>
      </c>
      <c r="DO175" s="69">
        <v>221</v>
      </c>
      <c r="DP175" s="69">
        <v>334</v>
      </c>
      <c r="DQ175" s="69">
        <v>103</v>
      </c>
      <c r="DR175" s="69">
        <v>77631</v>
      </c>
      <c r="DS175" s="69">
        <v>526180.19999999984</v>
      </c>
      <c r="DT175" s="73">
        <v>1.09708737864078</v>
      </c>
      <c r="DU175" s="73">
        <f t="shared" si="4"/>
        <v>113</v>
      </c>
      <c r="DW175" s="172">
        <v>0.40720720720720721</v>
      </c>
      <c r="DX175" s="61">
        <v>0.89857086982748524</v>
      </c>
      <c r="DY175" s="61">
        <v>9.6411837617607077E-2</v>
      </c>
      <c r="DZ175" s="61">
        <v>0</v>
      </c>
      <c r="EA175" s="61">
        <v>5.0172925549079967E-3</v>
      </c>
      <c r="EB175" s="61">
        <v>0</v>
      </c>
      <c r="EC175" s="61">
        <v>1</v>
      </c>
      <c r="ED175" s="61">
        <v>0</v>
      </c>
      <c r="EE175" s="61">
        <v>0</v>
      </c>
      <c r="EF175" s="61">
        <v>1</v>
      </c>
      <c r="EG175" s="61"/>
    </row>
    <row r="176" spans="1:137" x14ac:dyDescent="0.35">
      <c r="DT176" s="73" t="s">
        <v>259</v>
      </c>
      <c r="DU176" s="73"/>
      <c r="DW176" s="172" t="s">
        <v>259</v>
      </c>
      <c r="DX176" s="61"/>
      <c r="DY176" s="61"/>
      <c r="DZ176" s="61"/>
      <c r="EA176" s="61"/>
      <c r="EB176" s="61"/>
      <c r="EC176" s="61">
        <v>0</v>
      </c>
      <c r="ED176" s="61">
        <v>0</v>
      </c>
      <c r="EE176" s="61">
        <v>0</v>
      </c>
      <c r="EF176" s="61">
        <v>0</v>
      </c>
      <c r="EG176" s="61"/>
    </row>
    <row r="177" spans="20:137" x14ac:dyDescent="0.35">
      <c r="DT177" s="73" t="s">
        <v>259</v>
      </c>
      <c r="DU177" s="73"/>
      <c r="DW177" s="172" t="s">
        <v>259</v>
      </c>
      <c r="DX177" s="61"/>
      <c r="DY177" s="61"/>
      <c r="DZ177" s="61"/>
      <c r="EA177" s="61"/>
      <c r="EB177" s="61"/>
      <c r="EC177" s="61">
        <v>0</v>
      </c>
      <c r="ED177" s="61">
        <v>0</v>
      </c>
      <c r="EE177" s="61">
        <v>0</v>
      </c>
      <c r="EF177" s="61">
        <v>0</v>
      </c>
      <c r="EG177" s="61"/>
    </row>
    <row r="178" spans="20:137" x14ac:dyDescent="0.35">
      <c r="DT178" s="73" t="s">
        <v>259</v>
      </c>
      <c r="DU178" s="73"/>
      <c r="DW178" s="172" t="s">
        <v>259</v>
      </c>
      <c r="DX178" s="61"/>
      <c r="DY178" s="61"/>
      <c r="DZ178" s="61"/>
      <c r="EA178" s="61"/>
      <c r="EB178" s="61"/>
      <c r="EC178" s="61">
        <v>0</v>
      </c>
      <c r="ED178" s="61">
        <v>0</v>
      </c>
      <c r="EE178" s="61">
        <v>0</v>
      </c>
      <c r="EF178" s="61">
        <v>0</v>
      </c>
      <c r="EG178" s="61"/>
    </row>
    <row r="179" spans="20:137" x14ac:dyDescent="0.35">
      <c r="DT179" s="73" t="s">
        <v>259</v>
      </c>
      <c r="DU179" s="73"/>
      <c r="DW179" s="172" t="s">
        <v>259</v>
      </c>
      <c r="DX179" s="61"/>
      <c r="DY179" s="61"/>
      <c r="DZ179" s="61"/>
      <c r="EA179" s="61"/>
      <c r="EB179" s="61"/>
      <c r="EC179" s="61">
        <v>0</v>
      </c>
      <c r="ED179" s="61">
        <v>0</v>
      </c>
      <c r="EE179" s="61">
        <v>0</v>
      </c>
      <c r="EF179" s="61">
        <v>0</v>
      </c>
      <c r="EG179" s="61"/>
    </row>
    <row r="180" spans="20:137" x14ac:dyDescent="0.35">
      <c r="DT180" s="73" t="s">
        <v>259</v>
      </c>
      <c r="DU180" s="73"/>
      <c r="DW180" s="172" t="s">
        <v>259</v>
      </c>
      <c r="DX180" s="61"/>
      <c r="DY180" s="61"/>
      <c r="DZ180" s="61"/>
      <c r="EA180" s="61"/>
      <c r="EB180" s="61"/>
      <c r="EC180" s="61">
        <v>0</v>
      </c>
      <c r="ED180" s="61">
        <v>0</v>
      </c>
      <c r="EE180" s="61">
        <v>0</v>
      </c>
      <c r="EF180" s="61">
        <v>0</v>
      </c>
      <c r="EG180" s="61"/>
    </row>
    <row r="181" spans="20:137" x14ac:dyDescent="0.35">
      <c r="DT181" s="73" t="s">
        <v>259</v>
      </c>
      <c r="DU181" s="73"/>
      <c r="DW181" s="172" t="s">
        <v>259</v>
      </c>
      <c r="DX181" s="61"/>
      <c r="DY181" s="61"/>
      <c r="DZ181" s="61"/>
      <c r="EA181" s="61"/>
      <c r="EB181" s="61"/>
      <c r="EC181" s="61">
        <v>0</v>
      </c>
      <c r="ED181" s="61">
        <v>0</v>
      </c>
      <c r="EE181" s="61">
        <v>0</v>
      </c>
      <c r="EF181" s="61">
        <v>0</v>
      </c>
      <c r="EG181" s="61"/>
    </row>
    <row r="182" spans="20:137" x14ac:dyDescent="0.35">
      <c r="DT182" s="73" t="s">
        <v>259</v>
      </c>
      <c r="DU182" s="73"/>
      <c r="DW182" s="172" t="s">
        <v>259</v>
      </c>
      <c r="DX182" s="61"/>
      <c r="DY182" s="61"/>
      <c r="DZ182" s="61"/>
      <c r="EA182" s="61"/>
      <c r="EB182" s="61"/>
      <c r="EC182" s="61">
        <v>0</v>
      </c>
      <c r="ED182" s="61">
        <v>0</v>
      </c>
      <c r="EE182" s="61">
        <v>0</v>
      </c>
      <c r="EF182" s="61">
        <v>0</v>
      </c>
      <c r="EG182" s="61"/>
    </row>
    <row r="183" spans="20:137" x14ac:dyDescent="0.35">
      <c r="DN183" s="69">
        <v>360</v>
      </c>
      <c r="DO183" s="69">
        <v>270</v>
      </c>
      <c r="DP183" s="69">
        <v>358</v>
      </c>
      <c r="DQ183" s="69">
        <v>90</v>
      </c>
      <c r="DR183" s="69">
        <v>31680</v>
      </c>
      <c r="DS183" s="69">
        <v>332964.34000000003</v>
      </c>
      <c r="DT183" s="73">
        <v>0.97777777777777797</v>
      </c>
      <c r="DU183" s="73">
        <f t="shared" si="4"/>
        <v>88</v>
      </c>
      <c r="DW183" s="172">
        <v>0.28025477707006369</v>
      </c>
      <c r="DX183" s="61">
        <v>0</v>
      </c>
      <c r="DY183" s="61">
        <v>3.5031799501412074E-2</v>
      </c>
      <c r="DZ183" s="61">
        <v>0.18019947721728999</v>
      </c>
      <c r="EA183" s="61">
        <v>0</v>
      </c>
      <c r="EB183" s="61">
        <v>0.78476872328129776</v>
      </c>
      <c r="EC183" s="61">
        <v>0</v>
      </c>
      <c r="ED183" s="61">
        <v>0</v>
      </c>
      <c r="EE183" s="61">
        <v>1</v>
      </c>
      <c r="EF183" s="61">
        <v>0</v>
      </c>
      <c r="EG183" s="61"/>
    </row>
    <row r="184" spans="20:137" x14ac:dyDescent="0.35">
      <c r="DN184" s="69">
        <v>491</v>
      </c>
      <c r="DO184" s="69">
        <v>153</v>
      </c>
      <c r="DP184" s="69">
        <v>315</v>
      </c>
      <c r="DQ184" s="69">
        <v>162</v>
      </c>
      <c r="DR184" s="69">
        <v>79542</v>
      </c>
      <c r="DS184" s="69">
        <v>562428.67999999993</v>
      </c>
      <c r="DT184" s="73">
        <v>1</v>
      </c>
      <c r="DU184" s="73">
        <f t="shared" si="4"/>
        <v>162</v>
      </c>
      <c r="DW184" s="172">
        <v>0.69230769230769229</v>
      </c>
      <c r="DX184" s="61">
        <v>0.37551641214313614</v>
      </c>
      <c r="DY184" s="61">
        <v>3.3069472915214781E-2</v>
      </c>
      <c r="DZ184" s="61">
        <v>0.2486923319770962</v>
      </c>
      <c r="EA184" s="61">
        <v>0</v>
      </c>
      <c r="EB184" s="61">
        <v>0.34272178296455302</v>
      </c>
      <c r="EC184" s="61">
        <v>1</v>
      </c>
      <c r="ED184" s="61">
        <v>0</v>
      </c>
      <c r="EE184" s="61">
        <v>1</v>
      </c>
      <c r="EF184" s="61">
        <v>0</v>
      </c>
      <c r="EG184" s="61">
        <v>1</v>
      </c>
    </row>
    <row r="185" spans="20:137" x14ac:dyDescent="0.35">
      <c r="DT185" s="73" t="s">
        <v>259</v>
      </c>
      <c r="DU185" s="73"/>
      <c r="DW185" s="172" t="s">
        <v>259</v>
      </c>
      <c r="DX185" s="61"/>
      <c r="DY185" s="61"/>
      <c r="DZ185" s="61"/>
      <c r="EA185" s="61"/>
      <c r="EB185" s="61"/>
      <c r="EC185" s="61">
        <v>0</v>
      </c>
      <c r="ED185" s="61">
        <v>0</v>
      </c>
      <c r="EE185" s="61">
        <v>0</v>
      </c>
      <c r="EF185" s="61">
        <v>0</v>
      </c>
      <c r="EG185" s="61">
        <v>0</v>
      </c>
    </row>
    <row r="186" spans="20:137" x14ac:dyDescent="0.35">
      <c r="T186" s="178"/>
      <c r="U186" s="178"/>
      <c r="V186" s="178"/>
      <c r="W186" s="178"/>
      <c r="X186" s="178"/>
      <c r="DT186" s="73" t="s">
        <v>259</v>
      </c>
      <c r="DU186" s="73"/>
      <c r="DW186" s="172" t="s">
        <v>259</v>
      </c>
      <c r="DX186" s="61">
        <v>0</v>
      </c>
      <c r="DY186" s="61">
        <v>0</v>
      </c>
      <c r="DZ186" s="61">
        <v>0</v>
      </c>
      <c r="EA186" s="61">
        <v>0</v>
      </c>
      <c r="EB186" s="61">
        <v>0</v>
      </c>
      <c r="EC186" s="61">
        <v>0</v>
      </c>
      <c r="ED186" s="61">
        <v>0</v>
      </c>
      <c r="EE186" s="61">
        <v>0</v>
      </c>
      <c r="EF186" s="61">
        <v>0</v>
      </c>
      <c r="EG186" s="61"/>
    </row>
    <row r="187" spans="20:137" x14ac:dyDescent="0.35">
      <c r="DT187" s="73" t="s">
        <v>259</v>
      </c>
      <c r="DU187" s="73"/>
      <c r="DW187" s="172" t="s">
        <v>259</v>
      </c>
      <c r="DX187" s="61">
        <v>0</v>
      </c>
      <c r="DY187" s="61">
        <v>0</v>
      </c>
      <c r="DZ187" s="61">
        <v>0</v>
      </c>
      <c r="EA187" s="61">
        <v>0</v>
      </c>
      <c r="EB187" s="61">
        <v>0</v>
      </c>
      <c r="EC187" s="61">
        <v>0</v>
      </c>
      <c r="ED187" s="61">
        <v>0</v>
      </c>
      <c r="EE187" s="61">
        <v>0</v>
      </c>
      <c r="EF187" s="61">
        <v>0</v>
      </c>
      <c r="EG187" s="61">
        <v>0</v>
      </c>
    </row>
    <row r="188" spans="20:137" x14ac:dyDescent="0.35">
      <c r="DT188" s="73" t="s">
        <v>259</v>
      </c>
      <c r="DU188" s="73"/>
      <c r="DW188" s="172" t="s">
        <v>259</v>
      </c>
      <c r="DX188" s="61">
        <v>0</v>
      </c>
      <c r="DY188" s="61">
        <v>0</v>
      </c>
      <c r="DZ188" s="61">
        <v>0</v>
      </c>
      <c r="EA188" s="61">
        <v>0</v>
      </c>
      <c r="EB188" s="61">
        <v>0</v>
      </c>
      <c r="EC188" s="61">
        <v>0</v>
      </c>
      <c r="ED188" s="61">
        <v>0</v>
      </c>
      <c r="EE188" s="61">
        <v>0</v>
      </c>
      <c r="EF188" s="61">
        <v>0</v>
      </c>
      <c r="EG188" s="61">
        <v>0</v>
      </c>
    </row>
    <row r="189" spans="20:137" x14ac:dyDescent="0.35">
      <c r="DT189" s="73" t="s">
        <v>259</v>
      </c>
      <c r="DU189" s="73"/>
      <c r="DW189" s="172" t="s">
        <v>259</v>
      </c>
      <c r="DX189" s="61">
        <v>0</v>
      </c>
      <c r="DY189" s="61">
        <v>0</v>
      </c>
      <c r="DZ189" s="61">
        <v>0</v>
      </c>
      <c r="EA189" s="61">
        <v>0</v>
      </c>
      <c r="EB189" s="61">
        <v>0</v>
      </c>
      <c r="EC189" s="61">
        <v>0</v>
      </c>
      <c r="ED189" s="61">
        <v>0</v>
      </c>
      <c r="EE189" s="61">
        <v>0</v>
      </c>
      <c r="EF189" s="61">
        <v>0</v>
      </c>
      <c r="EG189" s="61">
        <v>0</v>
      </c>
    </row>
    <row r="190" spans="20:137" x14ac:dyDescent="0.35">
      <c r="DT190" s="73" t="s">
        <v>259</v>
      </c>
      <c r="DU190" s="73"/>
      <c r="DW190" s="172" t="s">
        <v>259</v>
      </c>
      <c r="DX190" s="61">
        <v>0</v>
      </c>
      <c r="DY190" s="61">
        <v>0</v>
      </c>
      <c r="DZ190" s="61">
        <v>0</v>
      </c>
      <c r="EA190" s="61">
        <v>0</v>
      </c>
      <c r="EB190" s="61">
        <v>0</v>
      </c>
      <c r="EC190" s="61">
        <v>0</v>
      </c>
      <c r="ED190" s="61">
        <v>0</v>
      </c>
      <c r="EE190" s="61">
        <v>0</v>
      </c>
      <c r="EF190" s="61">
        <v>0</v>
      </c>
      <c r="EG190" s="61">
        <v>0</v>
      </c>
    </row>
    <row r="191" spans="20:137" x14ac:dyDescent="0.35">
      <c r="DT191" s="73" t="s">
        <v>259</v>
      </c>
      <c r="DU191" s="73"/>
      <c r="DW191" s="172" t="s">
        <v>259</v>
      </c>
      <c r="DX191" s="61">
        <v>0</v>
      </c>
      <c r="DY191" s="61">
        <v>0</v>
      </c>
      <c r="DZ191" s="61">
        <v>0</v>
      </c>
      <c r="EA191" s="61">
        <v>0</v>
      </c>
      <c r="EB191" s="61">
        <v>0</v>
      </c>
      <c r="EC191" s="61">
        <v>0</v>
      </c>
      <c r="ED191" s="61">
        <v>0</v>
      </c>
      <c r="EE191" s="61">
        <v>0</v>
      </c>
      <c r="EF191" s="61">
        <v>0</v>
      </c>
      <c r="EG191" s="61">
        <v>0</v>
      </c>
    </row>
    <row r="192" spans="20:137" x14ac:dyDescent="0.35">
      <c r="DN192" s="69">
        <v>3500</v>
      </c>
      <c r="DO192" s="69">
        <v>230</v>
      </c>
      <c r="DP192" s="69">
        <v>340</v>
      </c>
      <c r="DQ192" s="69">
        <v>90</v>
      </c>
      <c r="DR192" s="69">
        <v>385000</v>
      </c>
      <c r="DS192" s="69">
        <v>3080000</v>
      </c>
      <c r="DT192" s="73">
        <v>1.2222222222222223</v>
      </c>
      <c r="DU192" s="73">
        <f t="shared" si="4"/>
        <v>110</v>
      </c>
      <c r="DW192" s="172">
        <v>0.38596491228070173</v>
      </c>
      <c r="DX192" s="61">
        <v>0.55000000000000004</v>
      </c>
      <c r="DY192" s="61">
        <v>0</v>
      </c>
      <c r="DZ192" s="61">
        <v>0.25</v>
      </c>
      <c r="EA192" s="61">
        <v>0</v>
      </c>
      <c r="EB192" s="61">
        <v>0.2</v>
      </c>
      <c r="EC192" s="61">
        <v>1</v>
      </c>
      <c r="ED192" s="61">
        <v>0</v>
      </c>
      <c r="EE192" s="61">
        <v>0</v>
      </c>
      <c r="EF192" s="61">
        <v>0</v>
      </c>
      <c r="EG192" s="61">
        <v>0</v>
      </c>
    </row>
    <row r="193" spans="1:137" x14ac:dyDescent="0.35">
      <c r="B193" s="230" t="s">
        <v>590</v>
      </c>
      <c r="C193" s="178"/>
      <c r="D193" s="178"/>
      <c r="E193" s="178"/>
      <c r="F193" s="178"/>
      <c r="G193" s="178"/>
      <c r="H193" s="178"/>
      <c r="I193" s="178"/>
      <c r="J193" s="178"/>
      <c r="K193" s="178"/>
      <c r="L193" s="178"/>
      <c r="M193" s="178"/>
      <c r="N193" s="178"/>
      <c r="O193" s="178"/>
      <c r="P193" s="178"/>
      <c r="Q193" s="178"/>
      <c r="R193" s="178"/>
      <c r="S193" s="178"/>
      <c r="DN193" s="69">
        <v>290</v>
      </c>
      <c r="DO193" s="69">
        <v>300</v>
      </c>
      <c r="DP193" s="69">
        <v>400</v>
      </c>
      <c r="DQ193" s="69">
        <v>90</v>
      </c>
      <c r="DR193" s="69">
        <v>28000</v>
      </c>
      <c r="DS193" s="69">
        <v>220000</v>
      </c>
      <c r="DT193" s="73">
        <v>1.1111111111111112</v>
      </c>
      <c r="DU193" s="73">
        <f t="shared" si="4"/>
        <v>100</v>
      </c>
      <c r="DW193" s="172">
        <v>0.2857142857142857</v>
      </c>
      <c r="DX193" s="61">
        <v>0.87</v>
      </c>
      <c r="DY193" s="61">
        <v>0.01</v>
      </c>
      <c r="DZ193" s="61">
        <v>0</v>
      </c>
      <c r="EA193" s="61">
        <v>0</v>
      </c>
      <c r="EB193" s="61">
        <v>0.12</v>
      </c>
      <c r="EC193" s="61">
        <v>1</v>
      </c>
      <c r="ED193" s="61">
        <v>0</v>
      </c>
      <c r="EE193" s="61">
        <v>0</v>
      </c>
      <c r="EF193" s="61">
        <v>0</v>
      </c>
      <c r="EG193" s="61">
        <v>0</v>
      </c>
    </row>
    <row r="194" spans="1:137" x14ac:dyDescent="0.35">
      <c r="DT194" s="73" t="s">
        <v>259</v>
      </c>
      <c r="DU194" s="73"/>
      <c r="DW194" s="172" t="s">
        <v>259</v>
      </c>
      <c r="DX194" s="61">
        <v>0</v>
      </c>
      <c r="DY194" s="61">
        <v>0</v>
      </c>
      <c r="DZ194" s="61">
        <v>0</v>
      </c>
      <c r="EA194" s="61">
        <v>0</v>
      </c>
      <c r="EB194" s="61">
        <v>0</v>
      </c>
      <c r="EC194" s="61">
        <v>0</v>
      </c>
      <c r="ED194" s="61">
        <v>0</v>
      </c>
      <c r="EE194" s="61">
        <v>0</v>
      </c>
      <c r="EF194" s="61">
        <v>0</v>
      </c>
      <c r="EG194" s="61">
        <v>0</v>
      </c>
    </row>
    <row r="195" spans="1:137" x14ac:dyDescent="0.35">
      <c r="B195" s="76"/>
      <c r="C195" s="137" t="s">
        <v>268</v>
      </c>
      <c r="D195" s="136" t="s">
        <v>269</v>
      </c>
      <c r="J195" s="156"/>
      <c r="K195" s="158" t="s">
        <v>287</v>
      </c>
      <c r="L195" s="133" t="str">
        <f ca="1">+HLOOKUP($K195,Consolidado!$A$8:$WX$10,2,FALSE)</f>
        <v>Consolidado!FA11:FA25</v>
      </c>
      <c r="DN195" s="69">
        <v>2100</v>
      </c>
      <c r="DO195" s="69">
        <v>280</v>
      </c>
      <c r="DP195" s="69">
        <v>385</v>
      </c>
      <c r="DQ195" s="69">
        <v>89</v>
      </c>
      <c r="DR195" s="69">
        <v>190000</v>
      </c>
      <c r="DS195" s="69">
        <v>1520000</v>
      </c>
      <c r="DT195" s="73">
        <v>1.1797752808988764</v>
      </c>
      <c r="DU195" s="73">
        <f t="shared" si="4"/>
        <v>105</v>
      </c>
      <c r="DW195" s="172">
        <v>0.31578947368421051</v>
      </c>
      <c r="DX195" s="61">
        <v>0.84</v>
      </c>
      <c r="DY195" s="61">
        <v>0.02</v>
      </c>
      <c r="DZ195" s="61">
        <v>0.03</v>
      </c>
      <c r="EA195" s="61">
        <v>0</v>
      </c>
      <c r="EB195" s="61">
        <v>0.11</v>
      </c>
      <c r="EC195" s="61">
        <v>1</v>
      </c>
      <c r="ED195" s="61">
        <v>0</v>
      </c>
      <c r="EE195" s="61">
        <v>0</v>
      </c>
      <c r="EF195" s="61">
        <v>0</v>
      </c>
      <c r="EG195" s="61">
        <v>0</v>
      </c>
    </row>
    <row r="196" spans="1:137" x14ac:dyDescent="0.35">
      <c r="A196" s="133" t="e">
        <f ca="1">+HLOOKUP($C$196,Consolidado!$A$8:$DW$10,2,FALSE)</f>
        <v>#N/A</v>
      </c>
      <c r="B196" s="88"/>
      <c r="C196" s="145" t="s">
        <v>579</v>
      </c>
      <c r="D196" s="155" t="e">
        <f ca="1">+SUM((INDIRECT(A196)))</f>
        <v>#N/A</v>
      </c>
      <c r="J196" s="132" t="s">
        <v>285</v>
      </c>
      <c r="K196" s="157">
        <f ca="1">+SUM(INDIRECT(L195))</f>
        <v>0</v>
      </c>
      <c r="DT196" s="73" t="s">
        <v>259</v>
      </c>
      <c r="DU196" s="73"/>
      <c r="DW196" s="172" t="s">
        <v>259</v>
      </c>
      <c r="DX196" s="61">
        <v>0</v>
      </c>
      <c r="DY196" s="61">
        <v>0</v>
      </c>
      <c r="DZ196" s="61">
        <v>0</v>
      </c>
      <c r="EA196" s="61">
        <v>0</v>
      </c>
      <c r="EB196" s="61">
        <v>0</v>
      </c>
      <c r="EC196" s="61">
        <v>0</v>
      </c>
      <c r="ED196" s="61">
        <v>0</v>
      </c>
      <c r="EE196" s="61">
        <v>0</v>
      </c>
      <c r="EF196" s="61">
        <v>0</v>
      </c>
      <c r="EG196" s="61">
        <v>0</v>
      </c>
    </row>
    <row r="197" spans="1:137" x14ac:dyDescent="0.35">
      <c r="I197" s="78"/>
      <c r="J197" s="159" t="s">
        <v>286</v>
      </c>
      <c r="K197" s="111" t="e">
        <f ca="1">+H204</f>
        <v>#DIV/0!</v>
      </c>
      <c r="DT197" s="73" t="s">
        <v>259</v>
      </c>
      <c r="DU197" s="73"/>
      <c r="DW197" s="172" t="s">
        <v>259</v>
      </c>
      <c r="DX197" s="61">
        <v>0</v>
      </c>
      <c r="DY197" s="61">
        <v>0</v>
      </c>
      <c r="DZ197" s="61">
        <v>0</v>
      </c>
      <c r="EA197" s="61">
        <v>0</v>
      </c>
      <c r="EB197" s="61">
        <v>0</v>
      </c>
      <c r="EC197" s="61">
        <v>0</v>
      </c>
      <c r="ED197" s="61">
        <v>0</v>
      </c>
      <c r="EE197" s="61">
        <v>0</v>
      </c>
      <c r="EF197" s="61">
        <v>0</v>
      </c>
      <c r="EG197" s="61">
        <v>0</v>
      </c>
    </row>
    <row r="198" spans="1:137" x14ac:dyDescent="0.35">
      <c r="DT198" s="73" t="s">
        <v>259</v>
      </c>
      <c r="DU198" s="73"/>
      <c r="DW198" s="172" t="s">
        <v>259</v>
      </c>
      <c r="DX198" s="61">
        <v>0</v>
      </c>
      <c r="DY198" s="61">
        <v>0</v>
      </c>
      <c r="DZ198" s="61">
        <v>0</v>
      </c>
      <c r="EA198" s="61">
        <v>0</v>
      </c>
      <c r="EB198" s="61">
        <v>0</v>
      </c>
      <c r="EC198" s="61">
        <v>0</v>
      </c>
      <c r="ED198" s="61">
        <v>0</v>
      </c>
      <c r="EE198" s="61">
        <v>0</v>
      </c>
      <c r="EF198" s="61">
        <v>0</v>
      </c>
      <c r="EG198" s="61">
        <v>0</v>
      </c>
    </row>
    <row r="199" spans="1:137" x14ac:dyDescent="0.35">
      <c r="DT199" s="73" t="s">
        <v>259</v>
      </c>
      <c r="DU199" s="73"/>
      <c r="DW199" s="172" t="s">
        <v>259</v>
      </c>
      <c r="DX199" s="61">
        <v>0</v>
      </c>
      <c r="DY199" s="61">
        <v>0</v>
      </c>
      <c r="DZ199" s="61">
        <v>0</v>
      </c>
      <c r="EA199" s="61">
        <v>0</v>
      </c>
      <c r="EB199" s="61">
        <v>0</v>
      </c>
      <c r="EC199" s="61">
        <v>0</v>
      </c>
      <c r="ED199" s="61">
        <v>0</v>
      </c>
      <c r="EE199" s="61">
        <v>0</v>
      </c>
      <c r="EF199" s="61">
        <v>0</v>
      </c>
      <c r="EG199" s="61">
        <v>0</v>
      </c>
    </row>
    <row r="200" spans="1:137" x14ac:dyDescent="0.35">
      <c r="B200" s="147" t="s">
        <v>591</v>
      </c>
      <c r="C200" s="71"/>
      <c r="D200" s="140" t="s">
        <v>264</v>
      </c>
      <c r="E200" s="71" t="s">
        <v>267</v>
      </c>
      <c r="F200" s="71" t="s">
        <v>270</v>
      </c>
      <c r="G200" s="140" t="s">
        <v>265</v>
      </c>
      <c r="H200" s="71" t="s">
        <v>262</v>
      </c>
      <c r="K200" s="71"/>
      <c r="DT200" s="73" t="s">
        <v>259</v>
      </c>
      <c r="DU200" s="73"/>
      <c r="DW200" s="172" t="s">
        <v>259</v>
      </c>
      <c r="DX200" s="61">
        <v>0</v>
      </c>
      <c r="DY200" s="61">
        <v>0</v>
      </c>
      <c r="DZ200" s="61">
        <v>0</v>
      </c>
      <c r="EA200" s="61">
        <v>0</v>
      </c>
      <c r="EB200" s="61">
        <v>0</v>
      </c>
      <c r="EC200" s="61">
        <v>0</v>
      </c>
      <c r="ED200" s="61">
        <v>0</v>
      </c>
      <c r="EE200" s="61">
        <v>0</v>
      </c>
      <c r="EF200" s="61">
        <v>0</v>
      </c>
      <c r="EG200" s="61">
        <v>0</v>
      </c>
    </row>
    <row r="201" spans="1:137" x14ac:dyDescent="0.35">
      <c r="B201" s="76"/>
      <c r="C201" s="75"/>
      <c r="D201" s="75" t="s">
        <v>264</v>
      </c>
      <c r="E201" s="75" t="s">
        <v>263</v>
      </c>
      <c r="F201" s="75" t="s">
        <v>266</v>
      </c>
      <c r="G201" s="75" t="s">
        <v>265</v>
      </c>
      <c r="H201" s="75"/>
      <c r="J201" s="147" t="s">
        <v>283</v>
      </c>
      <c r="L201" s="140" t="s">
        <v>264</v>
      </c>
      <c r="M201" s="71" t="s">
        <v>267</v>
      </c>
      <c r="N201" s="71" t="s">
        <v>270</v>
      </c>
      <c r="O201" s="140" t="s">
        <v>265</v>
      </c>
      <c r="P201" s="71" t="s">
        <v>262</v>
      </c>
      <c r="DT201" s="73" t="s">
        <v>259</v>
      </c>
      <c r="DU201" s="73"/>
      <c r="DW201" s="172" t="s">
        <v>259</v>
      </c>
      <c r="DX201" s="61">
        <v>0</v>
      </c>
      <c r="DY201" s="61">
        <v>0</v>
      </c>
      <c r="DZ201" s="61">
        <v>0</v>
      </c>
      <c r="EA201" s="61">
        <v>0</v>
      </c>
      <c r="EB201" s="61">
        <v>0</v>
      </c>
      <c r="EC201" s="61">
        <v>0</v>
      </c>
      <c r="ED201" s="61">
        <v>0</v>
      </c>
      <c r="EE201" s="61">
        <v>0</v>
      </c>
      <c r="EF201" s="61">
        <v>0</v>
      </c>
      <c r="EG201" s="61">
        <v>0</v>
      </c>
    </row>
    <row r="202" spans="1:137" x14ac:dyDescent="0.35">
      <c r="A202" s="133" t="e">
        <f ca="1">+HLOOKUP($C202,Consolidado!$A$8:$DW$10,2,FALSE)</f>
        <v>#N/A</v>
      </c>
      <c r="B202" s="71"/>
      <c r="C202" s="145" t="s">
        <v>578</v>
      </c>
      <c r="D202" s="142" t="e">
        <f ca="1">QUARTILE(INDIRECT($A202),4)</f>
        <v>#N/A</v>
      </c>
      <c r="E202" s="142" t="e">
        <f ca="1">QUARTILE(INDIRECT($A202),3)</f>
        <v>#N/A</v>
      </c>
      <c r="F202" s="142" t="e">
        <f ca="1">QUARTILE(INDIRECT($A202),1)</f>
        <v>#N/A</v>
      </c>
      <c r="G202" s="142" t="e">
        <f ca="1">QUARTILE(INDIRECT($A202),0)</f>
        <v>#N/A</v>
      </c>
      <c r="H202" s="142" t="e">
        <f ca="1">+AVERAGE(INDIRECT($A202))</f>
        <v>#N/A</v>
      </c>
      <c r="K202" s="127" t="s">
        <v>274</v>
      </c>
      <c r="L202" s="75" t="s">
        <v>264</v>
      </c>
      <c r="M202" s="75" t="s">
        <v>263</v>
      </c>
      <c r="N202" s="75" t="s">
        <v>266</v>
      </c>
      <c r="O202" s="75" t="s">
        <v>265</v>
      </c>
      <c r="P202" s="75"/>
      <c r="DT202" s="73" t="s">
        <v>259</v>
      </c>
      <c r="DU202" s="73"/>
      <c r="DW202" s="172" t="s">
        <v>259</v>
      </c>
      <c r="DX202" s="61">
        <v>0</v>
      </c>
      <c r="DY202" s="61">
        <v>0</v>
      </c>
      <c r="DZ202" s="61">
        <v>0</v>
      </c>
      <c r="EA202" s="61">
        <v>0</v>
      </c>
      <c r="EB202" s="61">
        <v>0</v>
      </c>
      <c r="EC202" s="61">
        <v>0</v>
      </c>
      <c r="ED202" s="61">
        <v>0</v>
      </c>
      <c r="EE202" s="61">
        <v>0</v>
      </c>
      <c r="EF202" s="61">
        <v>0</v>
      </c>
      <c r="EG202" s="61">
        <v>0</v>
      </c>
    </row>
    <row r="203" spans="1:137" x14ac:dyDescent="0.35">
      <c r="A203" s="133" t="e">
        <f ca="1">+HLOOKUP($C203,Consolidado!$A$8:$DW$10,2,FALSE)</f>
        <v>#N/A</v>
      </c>
      <c r="B203" s="76"/>
      <c r="C203" s="148" t="s">
        <v>577</v>
      </c>
      <c r="D203" s="144" t="e">
        <f ca="1">QUARTILE(INDIRECT($A203),4)</f>
        <v>#N/A</v>
      </c>
      <c r="E203" s="144" t="e">
        <f ca="1">QUARTILE(INDIRECT($A203),3)</f>
        <v>#N/A</v>
      </c>
      <c r="F203" s="144" t="e">
        <f ca="1">QUARTILE(INDIRECT($A203),1)</f>
        <v>#N/A</v>
      </c>
      <c r="G203" s="144" t="e">
        <f ca="1">QUARTILE(INDIRECT($A203),0)</f>
        <v>#N/A</v>
      </c>
      <c r="H203" s="144" t="e">
        <f ca="1">+AVERAGE(INDIRECT($A203))</f>
        <v>#N/A</v>
      </c>
      <c r="K203" s="77" t="s">
        <v>275</v>
      </c>
      <c r="L203" s="142" t="e">
        <f ca="1">QUARTILE(INDIRECT($Q203),4)</f>
        <v>#NUM!</v>
      </c>
      <c r="M203" s="142" t="e">
        <f ca="1">QUARTILE(INDIRECT($Q203),3)</f>
        <v>#NUM!</v>
      </c>
      <c r="N203" s="142" t="e">
        <f ca="1">QUARTILE(INDIRECT($Q203),1)</f>
        <v>#NUM!</v>
      </c>
      <c r="O203" s="142" t="e">
        <f ca="1">QUARTILE(INDIRECT($Q203),0)</f>
        <v>#NUM!</v>
      </c>
      <c r="P203" s="142" t="e">
        <f ca="1">+AVERAGE(INDIRECT($Q203))</f>
        <v>#DIV/0!</v>
      </c>
      <c r="Q203" s="133" t="str">
        <f ca="1">+HLOOKUP($K202,Consolidado!$A$8:$WX$10,2,FALSE)</f>
        <v>Consolidado!EZ11:EZ25</v>
      </c>
      <c r="DT203" s="73" t="s">
        <v>259</v>
      </c>
      <c r="DU203" s="73"/>
      <c r="DW203" s="172" t="s">
        <v>259</v>
      </c>
      <c r="DX203" s="61">
        <v>0</v>
      </c>
      <c r="DY203" s="61">
        <v>0</v>
      </c>
      <c r="DZ203" s="61">
        <v>0</v>
      </c>
      <c r="EA203" s="61">
        <v>0</v>
      </c>
      <c r="EB203" s="61">
        <v>0</v>
      </c>
      <c r="EC203" s="61">
        <v>0</v>
      </c>
      <c r="ED203" s="61">
        <v>0</v>
      </c>
      <c r="EE203" s="61">
        <v>0</v>
      </c>
      <c r="EF203" s="61">
        <v>0</v>
      </c>
      <c r="EG203" s="61">
        <v>0</v>
      </c>
    </row>
    <row r="204" spans="1:137" ht="15.5" x14ac:dyDescent="0.35">
      <c r="A204" s="133" t="str">
        <f ca="1">+HLOOKUP($C204,Consolidado!$A$8:$DW$10,2,FALSE)</f>
        <v>Consolidado!BO11:BO25</v>
      </c>
      <c r="B204" s="86"/>
      <c r="C204" s="151" t="s">
        <v>58</v>
      </c>
      <c r="D204" s="152" t="e">
        <f ca="1">QUARTILE(INDIRECT($A204),4)</f>
        <v>#NUM!</v>
      </c>
      <c r="E204" s="152" t="e">
        <f ca="1">QUARTILE(INDIRECT($A204),3)</f>
        <v>#NUM!</v>
      </c>
      <c r="F204" s="152" t="e">
        <f ca="1">QUARTILE(INDIRECT($A204),1)</f>
        <v>#NUM!</v>
      </c>
      <c r="G204" s="152" t="e">
        <f ca="1">QUARTILE(INDIRECT($A204),0)</f>
        <v>#NUM!</v>
      </c>
      <c r="H204" s="152" t="e">
        <f ca="1">+AVERAGE(INDIRECT($A204))</f>
        <v>#DIV/0!</v>
      </c>
      <c r="DN204" s="69">
        <v>492</v>
      </c>
      <c r="DO204" s="69">
        <v>229</v>
      </c>
      <c r="DP204" s="69">
        <v>319</v>
      </c>
      <c r="DQ204" s="69">
        <v>98</v>
      </c>
      <c r="DR204" s="69">
        <v>51113</v>
      </c>
      <c r="DS204" s="69">
        <v>354724.22000000003</v>
      </c>
      <c r="DT204" s="73">
        <v>0.91836734693877553</v>
      </c>
      <c r="DU204" s="73">
        <f t="shared" si="4"/>
        <v>90</v>
      </c>
      <c r="DW204" s="172">
        <v>0.32846715328467152</v>
      </c>
      <c r="DX204" s="61">
        <v>0.69</v>
      </c>
      <c r="DY204" s="61">
        <v>0.1</v>
      </c>
      <c r="DZ204" s="61">
        <v>0.21</v>
      </c>
      <c r="EA204" s="61">
        <v>0</v>
      </c>
      <c r="EB204" s="61">
        <v>0</v>
      </c>
      <c r="EC204" s="61">
        <v>0</v>
      </c>
      <c r="ED204" s="61">
        <v>0</v>
      </c>
      <c r="EE204" s="61">
        <v>0</v>
      </c>
      <c r="EF204" s="61">
        <v>0</v>
      </c>
      <c r="EG204" s="61">
        <v>0</v>
      </c>
    </row>
    <row r="205" spans="1:137" x14ac:dyDescent="0.35">
      <c r="A205" s="71"/>
      <c r="DT205" s="73" t="s">
        <v>259</v>
      </c>
      <c r="DU205" s="73"/>
      <c r="DW205" s="172" t="s">
        <v>259</v>
      </c>
      <c r="DX205" s="61">
        <v>0</v>
      </c>
      <c r="DY205" s="61">
        <v>0</v>
      </c>
      <c r="DZ205" s="61">
        <v>0</v>
      </c>
      <c r="EA205" s="61">
        <v>0</v>
      </c>
      <c r="EB205" s="61">
        <v>0</v>
      </c>
      <c r="EC205" s="61">
        <v>0</v>
      </c>
      <c r="ED205" s="61">
        <v>0</v>
      </c>
      <c r="EE205" s="61">
        <v>0</v>
      </c>
      <c r="EF205" s="61">
        <v>0</v>
      </c>
      <c r="EG205" s="61">
        <v>0</v>
      </c>
    </row>
    <row r="206" spans="1:137" x14ac:dyDescent="0.35">
      <c r="DN206" s="69">
        <v>120</v>
      </c>
      <c r="DO206" s="69">
        <v>260</v>
      </c>
      <c r="DP206" s="69">
        <v>370</v>
      </c>
      <c r="DQ206" s="69">
        <v>90</v>
      </c>
      <c r="DR206" s="69">
        <v>13200</v>
      </c>
      <c r="DS206" s="69">
        <v>92400</v>
      </c>
      <c r="DT206" s="73">
        <v>1.2222222222222223</v>
      </c>
      <c r="DU206" s="73">
        <f t="shared" si="4"/>
        <v>110</v>
      </c>
      <c r="DW206" s="172">
        <v>0.34920634920634919</v>
      </c>
      <c r="DX206" s="61">
        <v>0.9</v>
      </c>
      <c r="DY206" s="61">
        <v>0.1</v>
      </c>
      <c r="DZ206" s="61">
        <v>0</v>
      </c>
      <c r="EA206" s="61">
        <v>0</v>
      </c>
      <c r="EB206" s="61">
        <v>0</v>
      </c>
      <c r="EC206" s="61">
        <v>0</v>
      </c>
      <c r="ED206" s="61">
        <v>0</v>
      </c>
      <c r="EE206" s="61" t="s">
        <v>38</v>
      </c>
      <c r="EF206" s="61">
        <v>0</v>
      </c>
      <c r="EG206" s="61">
        <v>0</v>
      </c>
    </row>
    <row r="207" spans="1:137" x14ac:dyDescent="0.35">
      <c r="DT207" s="73" t="s">
        <v>259</v>
      </c>
      <c r="DX207" s="61">
        <v>0</v>
      </c>
      <c r="DY207" s="61">
        <v>0</v>
      </c>
      <c r="DZ207" s="61">
        <v>0</v>
      </c>
      <c r="EA207" s="61">
        <v>0</v>
      </c>
      <c r="EB207" s="61">
        <v>0</v>
      </c>
      <c r="EC207" s="61">
        <v>0</v>
      </c>
      <c r="ED207" s="61">
        <v>0</v>
      </c>
      <c r="EE207" s="61">
        <v>0</v>
      </c>
      <c r="EF207" s="61">
        <v>0</v>
      </c>
      <c r="EG207" s="61">
        <v>0</v>
      </c>
    </row>
    <row r="208" spans="1:137" x14ac:dyDescent="0.35">
      <c r="DT208" s="73" t="s">
        <v>259</v>
      </c>
      <c r="DX208" s="61">
        <v>0</v>
      </c>
      <c r="DY208" s="61">
        <v>0</v>
      </c>
      <c r="DZ208" s="61">
        <v>0</v>
      </c>
      <c r="EA208" s="61">
        <v>0</v>
      </c>
      <c r="EB208" s="61">
        <v>0</v>
      </c>
      <c r="EC208" s="61">
        <v>0</v>
      </c>
      <c r="ED208" s="61">
        <v>0</v>
      </c>
      <c r="EE208" s="61">
        <v>0</v>
      </c>
      <c r="EF208" s="61">
        <v>0</v>
      </c>
      <c r="EG208" s="61">
        <v>0</v>
      </c>
    </row>
    <row r="209" spans="1:137" x14ac:dyDescent="0.35">
      <c r="DT209" s="73" t="s">
        <v>259</v>
      </c>
      <c r="DX209" s="61">
        <v>0</v>
      </c>
      <c r="DY209" s="61">
        <v>0</v>
      </c>
      <c r="DZ209" s="61">
        <v>0</v>
      </c>
      <c r="EA209" s="61">
        <v>0</v>
      </c>
      <c r="EB209" s="61">
        <v>0</v>
      </c>
      <c r="EC209" s="61">
        <v>0</v>
      </c>
      <c r="ED209" s="61">
        <v>0</v>
      </c>
      <c r="EE209" s="61">
        <v>0</v>
      </c>
      <c r="EF209" s="61">
        <v>0</v>
      </c>
      <c r="EG209" s="61">
        <v>0</v>
      </c>
    </row>
    <row r="210" spans="1:137" x14ac:dyDescent="0.35">
      <c r="DT210" s="73" t="s">
        <v>259</v>
      </c>
      <c r="DX210" s="61">
        <v>0</v>
      </c>
      <c r="DY210" s="61">
        <v>0</v>
      </c>
      <c r="DZ210" s="61">
        <v>0</v>
      </c>
      <c r="EA210" s="61">
        <v>0</v>
      </c>
      <c r="EB210" s="61">
        <v>0</v>
      </c>
      <c r="EC210" s="61">
        <v>0</v>
      </c>
      <c r="ED210" s="61">
        <v>0</v>
      </c>
      <c r="EE210" s="61">
        <v>0</v>
      </c>
      <c r="EF210" s="61">
        <v>0</v>
      </c>
      <c r="EG210" s="61">
        <v>0</v>
      </c>
    </row>
    <row r="211" spans="1:137" x14ac:dyDescent="0.35">
      <c r="T211" s="178"/>
      <c r="U211" s="178"/>
      <c r="V211" s="178"/>
      <c r="W211" s="178"/>
      <c r="X211" s="178"/>
      <c r="DT211" s="73" t="s">
        <v>259</v>
      </c>
      <c r="DX211" s="61">
        <v>0</v>
      </c>
      <c r="DY211" s="61">
        <v>0</v>
      </c>
      <c r="DZ211" s="61">
        <v>0</v>
      </c>
      <c r="EA211" s="61">
        <v>0</v>
      </c>
      <c r="EB211" s="61">
        <v>0</v>
      </c>
      <c r="EC211" s="61">
        <v>0</v>
      </c>
      <c r="ED211" s="61">
        <v>0</v>
      </c>
      <c r="EE211" s="61">
        <v>0</v>
      </c>
      <c r="EF211" s="61">
        <v>0</v>
      </c>
      <c r="EG211" s="61">
        <v>0</v>
      </c>
    </row>
    <row r="212" spans="1:137" x14ac:dyDescent="0.35">
      <c r="E212" s="140"/>
      <c r="EG212" s="61">
        <v>0</v>
      </c>
    </row>
    <row r="223" spans="1:137" x14ac:dyDescent="0.35">
      <c r="B223" s="229" t="s">
        <v>452</v>
      </c>
      <c r="C223" s="178"/>
      <c r="D223" s="178"/>
      <c r="E223" s="178"/>
      <c r="F223" s="178"/>
      <c r="G223" s="178"/>
      <c r="H223" s="178"/>
      <c r="I223" s="178"/>
      <c r="J223" s="178"/>
      <c r="K223" s="178"/>
      <c r="L223" s="178"/>
      <c r="M223" s="178"/>
      <c r="N223" s="178"/>
      <c r="O223" s="178"/>
      <c r="P223" s="178"/>
      <c r="Q223" s="178"/>
      <c r="R223" s="178"/>
      <c r="S223" s="178"/>
    </row>
    <row r="224" spans="1:137" x14ac:dyDescent="0.35">
      <c r="A224" s="78"/>
      <c r="B224" s="228"/>
      <c r="C224" s="78"/>
      <c r="D224" s="78"/>
      <c r="E224" s="78"/>
      <c r="F224" s="78"/>
      <c r="G224" s="78"/>
      <c r="H224" s="78"/>
      <c r="I224" s="78"/>
      <c r="J224" s="78"/>
      <c r="K224" s="78"/>
      <c r="L224" s="78"/>
      <c r="M224" s="78"/>
      <c r="N224" s="78"/>
      <c r="O224" s="78"/>
      <c r="P224" s="78"/>
      <c r="Q224" s="78"/>
      <c r="R224" s="78"/>
      <c r="S224" s="78"/>
    </row>
    <row r="225" spans="1:19" x14ac:dyDescent="0.35">
      <c r="A225" s="78"/>
      <c r="B225" s="228" t="s">
        <v>475</v>
      </c>
      <c r="C225" s="78"/>
      <c r="D225" s="78"/>
      <c r="E225" s="78"/>
      <c r="F225" s="78"/>
      <c r="G225" s="78"/>
      <c r="H225" s="78"/>
      <c r="I225" s="78"/>
      <c r="J225" s="78"/>
      <c r="K225" s="78"/>
      <c r="L225" s="78"/>
      <c r="M225" s="78"/>
      <c r="N225" s="78"/>
      <c r="O225" s="78"/>
      <c r="P225" s="78"/>
      <c r="Q225" s="78"/>
      <c r="R225" s="78"/>
      <c r="S225" s="78"/>
    </row>
    <row r="226" spans="1:19" ht="15.5" x14ac:dyDescent="0.35">
      <c r="B226" s="186"/>
      <c r="C226" s="264" t="s">
        <v>54</v>
      </c>
      <c r="D226" s="265" t="s">
        <v>56</v>
      </c>
      <c r="E226" s="186"/>
    </row>
    <row r="227" spans="1:19" x14ac:dyDescent="0.35">
      <c r="A227" s="161" t="e">
        <f ca="1">+HLOOKUP($D226,Consolidado!$A$8:$WX$10,2,FALSE)</f>
        <v>#N/A</v>
      </c>
      <c r="B227" s="268" t="s">
        <v>46</v>
      </c>
      <c r="C227" s="269" t="s">
        <v>471</v>
      </c>
      <c r="D227" s="269" t="s">
        <v>472</v>
      </c>
    </row>
    <row r="228" spans="1:19" x14ac:dyDescent="0.35">
      <c r="A228" s="133" t="e">
        <f ca="1">+HLOOKUP($C226,Consolidado!$A$8:$WX$10,2,FALSE)</f>
        <v>#N/A</v>
      </c>
      <c r="B228" s="267" t="s">
        <v>470</v>
      </c>
      <c r="C228" s="266" t="s">
        <v>474</v>
      </c>
      <c r="D228" s="266" t="s">
        <v>474</v>
      </c>
    </row>
    <row r="229" spans="1:19" x14ac:dyDescent="0.35">
      <c r="A229" s="133">
        <v>1</v>
      </c>
      <c r="B229" s="118" t="s">
        <v>105</v>
      </c>
      <c r="C229" s="120" t="e">
        <f t="shared" ref="C229:C240" ca="1" si="5">+COUNTIF(INDIRECT($A$228),B229)</f>
        <v>#N/A</v>
      </c>
      <c r="D229" s="120" t="e">
        <f t="shared" ref="D229:D240" ca="1" si="6">+COUNTIF(INDIRECT($A$227),B229)</f>
        <v>#N/A</v>
      </c>
      <c r="E229" s="263">
        <v>1</v>
      </c>
      <c r="H229" s="228" t="s">
        <v>473</v>
      </c>
    </row>
    <row r="230" spans="1:19" x14ac:dyDescent="0.35">
      <c r="A230" s="133">
        <v>1</v>
      </c>
      <c r="B230" s="120" t="s">
        <v>110</v>
      </c>
      <c r="C230" s="120" t="e">
        <f t="shared" ca="1" si="5"/>
        <v>#N/A</v>
      </c>
      <c r="D230" s="120" t="e">
        <f t="shared" ca="1" si="6"/>
        <v>#N/A</v>
      </c>
      <c r="E230" s="263">
        <v>2</v>
      </c>
      <c r="L230" s="78"/>
      <c r="M230" s="78"/>
      <c r="N230" s="78"/>
    </row>
    <row r="231" spans="1:19" x14ac:dyDescent="0.35">
      <c r="A231" s="133">
        <v>1</v>
      </c>
      <c r="B231" s="120" t="s">
        <v>115</v>
      </c>
      <c r="C231" s="120" t="e">
        <f t="shared" ca="1" si="5"/>
        <v>#N/A</v>
      </c>
      <c r="D231" s="120" t="e">
        <f t="shared" ca="1" si="6"/>
        <v>#N/A</v>
      </c>
      <c r="E231" s="263">
        <v>3</v>
      </c>
      <c r="H231" s="76"/>
      <c r="I231" s="129" t="s">
        <v>288</v>
      </c>
      <c r="J231" s="136" t="s">
        <v>106</v>
      </c>
      <c r="K231" s="136" t="s">
        <v>111</v>
      </c>
      <c r="L231" s="322" t="s">
        <v>116</v>
      </c>
      <c r="M231" s="322" t="s">
        <v>121</v>
      </c>
      <c r="N231" s="322" t="s">
        <v>593</v>
      </c>
    </row>
    <row r="232" spans="1:19" x14ac:dyDescent="0.35">
      <c r="A232" s="133">
        <v>1</v>
      </c>
      <c r="B232" s="120" t="s">
        <v>120</v>
      </c>
      <c r="C232" s="120" t="e">
        <f t="shared" ca="1" si="5"/>
        <v>#N/A</v>
      </c>
      <c r="D232" s="120" t="e">
        <f t="shared" ca="1" si="6"/>
        <v>#N/A</v>
      </c>
      <c r="E232" s="263">
        <v>4</v>
      </c>
      <c r="I232" s="97" t="s">
        <v>55</v>
      </c>
      <c r="J232" s="71" t="e">
        <f t="shared" ref="J232:N233" ca="1" si="7">+COUNTIF(INDIRECT($O232),J$231)</f>
        <v>#N/A</v>
      </c>
      <c r="K232" s="71" t="e">
        <f t="shared" ca="1" si="7"/>
        <v>#N/A</v>
      </c>
      <c r="L232" s="323" t="e">
        <f t="shared" ca="1" si="7"/>
        <v>#N/A</v>
      </c>
      <c r="M232" s="323" t="e">
        <f t="shared" ca="1" si="7"/>
        <v>#N/A</v>
      </c>
      <c r="N232" s="323" t="e">
        <f t="shared" ca="1" si="7"/>
        <v>#N/A</v>
      </c>
      <c r="O232" s="133" t="e">
        <f ca="1">+HLOOKUP($I232,Consolidado!$A$8:$WX$10,2,FALSE)</f>
        <v>#N/A</v>
      </c>
    </row>
    <row r="233" spans="1:19" x14ac:dyDescent="0.35">
      <c r="A233" s="133">
        <v>1</v>
      </c>
      <c r="B233" s="120" t="s">
        <v>123</v>
      </c>
      <c r="C233" s="120" t="e">
        <f t="shared" ca="1" si="5"/>
        <v>#N/A</v>
      </c>
      <c r="D233" s="120" t="e">
        <f t="shared" ca="1" si="6"/>
        <v>#N/A</v>
      </c>
      <c r="E233" s="263">
        <v>5</v>
      </c>
      <c r="H233" s="76"/>
      <c r="I233" s="165" t="s">
        <v>57</v>
      </c>
      <c r="J233" s="76" t="e">
        <f t="shared" ca="1" si="7"/>
        <v>#N/A</v>
      </c>
      <c r="K233" s="76" t="e">
        <f t="shared" ca="1" si="7"/>
        <v>#N/A</v>
      </c>
      <c r="L233" s="270" t="e">
        <f t="shared" ca="1" si="7"/>
        <v>#N/A</v>
      </c>
      <c r="M233" s="270" t="e">
        <f t="shared" ca="1" si="7"/>
        <v>#N/A</v>
      </c>
      <c r="N233" s="270" t="e">
        <f t="shared" ca="1" si="7"/>
        <v>#N/A</v>
      </c>
      <c r="O233" s="133" t="e">
        <f ca="1">+HLOOKUP($I233,Consolidado!$A$8:$WX$10,2,FALSE)</f>
        <v>#N/A</v>
      </c>
    </row>
    <row r="234" spans="1:19" x14ac:dyDescent="0.35">
      <c r="A234" s="133">
        <v>1</v>
      </c>
      <c r="B234" s="120" t="s">
        <v>126</v>
      </c>
      <c r="C234" s="120" t="e">
        <f t="shared" ca="1" si="5"/>
        <v>#N/A</v>
      </c>
      <c r="D234" s="120" t="e">
        <f t="shared" ca="1" si="6"/>
        <v>#N/A</v>
      </c>
      <c r="E234" s="263">
        <v>6</v>
      </c>
      <c r="H234" s="71"/>
      <c r="I234" s="71"/>
      <c r="J234" s="71"/>
      <c r="K234" s="71"/>
      <c r="L234" s="71"/>
      <c r="M234" s="71"/>
      <c r="N234" s="71"/>
    </row>
    <row r="235" spans="1:19" x14ac:dyDescent="0.35">
      <c r="A235" s="133">
        <v>1</v>
      </c>
      <c r="B235" s="120" t="s">
        <v>127</v>
      </c>
      <c r="C235" s="120" t="e">
        <f t="shared" ca="1" si="5"/>
        <v>#N/A</v>
      </c>
      <c r="D235" s="120" t="e">
        <f t="shared" ca="1" si="6"/>
        <v>#N/A</v>
      </c>
      <c r="E235" s="263">
        <v>7</v>
      </c>
      <c r="H235" s="76"/>
      <c r="I235" s="270" t="s">
        <v>289</v>
      </c>
      <c r="J235" s="76"/>
      <c r="K235" s="76"/>
      <c r="L235" s="76"/>
      <c r="M235" s="76"/>
      <c r="N235" s="76"/>
    </row>
    <row r="236" spans="1:19" x14ac:dyDescent="0.35">
      <c r="A236" s="133">
        <v>1</v>
      </c>
      <c r="B236" s="120" t="s">
        <v>128</v>
      </c>
      <c r="C236" s="120" t="e">
        <f t="shared" ca="1" si="5"/>
        <v>#N/A</v>
      </c>
      <c r="D236" s="120" t="e">
        <f t="shared" ca="1" si="6"/>
        <v>#N/A</v>
      </c>
      <c r="E236" s="263">
        <v>8</v>
      </c>
      <c r="H236" s="98"/>
      <c r="I236" s="163" t="s">
        <v>55</v>
      </c>
      <c r="J236" s="164" t="e">
        <f ca="1">+J232/SUM($J$232:$N$232)</f>
        <v>#N/A</v>
      </c>
      <c r="K236" s="164" t="e">
        <f ca="1">+K232/SUM($J$232:$N$232)</f>
        <v>#N/A</v>
      </c>
      <c r="L236" s="164" t="e">
        <f ca="1">+L232/SUM($J$232:$N$232)</f>
        <v>#N/A</v>
      </c>
      <c r="M236" s="164" t="e">
        <f ca="1">+M232/SUM($J$232:$N$232)</f>
        <v>#N/A</v>
      </c>
      <c r="N236" s="164" t="e">
        <f ca="1">+N232/SUM($J$232:$N$232)</f>
        <v>#N/A</v>
      </c>
    </row>
    <row r="237" spans="1:19" x14ac:dyDescent="0.35">
      <c r="A237" s="133">
        <v>1</v>
      </c>
      <c r="B237" s="120" t="s">
        <v>130</v>
      </c>
      <c r="C237" s="120" t="e">
        <f t="shared" ca="1" si="5"/>
        <v>#N/A</v>
      </c>
      <c r="D237" s="120" t="e">
        <f t="shared" ca="1" si="6"/>
        <v>#N/A</v>
      </c>
      <c r="E237" s="263">
        <v>9</v>
      </c>
      <c r="H237" s="76"/>
      <c r="I237" s="165" t="s">
        <v>57</v>
      </c>
      <c r="J237" s="153" t="e">
        <f ca="1">+J233/SUM($J$233:$N$233)</f>
        <v>#N/A</v>
      </c>
      <c r="K237" s="153" t="e">
        <f ca="1">+K233/SUM($J$233:$N$233)</f>
        <v>#N/A</v>
      </c>
      <c r="L237" s="153" t="e">
        <f ca="1">+L233/SUM($J$233:$N$233)</f>
        <v>#N/A</v>
      </c>
      <c r="M237" s="153" t="e">
        <f ca="1">+M233/SUM($J$233:$N$233)</f>
        <v>#N/A</v>
      </c>
      <c r="N237" s="153" t="e">
        <f ca="1">+N233/SUM($J$233:$N$233)</f>
        <v>#N/A</v>
      </c>
    </row>
    <row r="238" spans="1:19" x14ac:dyDescent="0.35">
      <c r="A238" s="133">
        <v>1</v>
      </c>
      <c r="B238" s="120" t="s">
        <v>132</v>
      </c>
      <c r="C238" s="120" t="e">
        <f t="shared" ca="1" si="5"/>
        <v>#N/A</v>
      </c>
      <c r="D238" s="120" t="e">
        <f t="shared" ca="1" si="6"/>
        <v>#N/A</v>
      </c>
      <c r="E238" s="263">
        <v>10</v>
      </c>
    </row>
    <row r="239" spans="1:19" x14ac:dyDescent="0.35">
      <c r="A239" s="133">
        <v>1</v>
      </c>
      <c r="B239" s="120" t="s">
        <v>133</v>
      </c>
      <c r="C239" s="120" t="e">
        <f t="shared" ca="1" si="5"/>
        <v>#N/A</v>
      </c>
      <c r="D239" s="120" t="e">
        <f t="shared" ca="1" si="6"/>
        <v>#N/A</v>
      </c>
      <c r="E239" s="263">
        <v>11</v>
      </c>
    </row>
    <row r="240" spans="1:19" x14ac:dyDescent="0.35">
      <c r="A240" s="133">
        <v>1</v>
      </c>
      <c r="B240" s="121" t="s">
        <v>136</v>
      </c>
      <c r="C240" s="121" t="e">
        <f t="shared" ca="1" si="5"/>
        <v>#N/A</v>
      </c>
      <c r="D240" s="121" t="e">
        <f t="shared" ca="1" si="6"/>
        <v>#N/A</v>
      </c>
      <c r="E240" s="263">
        <v>12</v>
      </c>
    </row>
    <row r="241" spans="1:24" x14ac:dyDescent="0.35">
      <c r="A241" s="133"/>
      <c r="B241" s="133"/>
      <c r="C241" s="71"/>
      <c r="D241" s="71"/>
      <c r="F241" s="71"/>
      <c r="T241" s="178"/>
      <c r="U241" s="178"/>
      <c r="V241" s="178"/>
      <c r="W241" s="178"/>
      <c r="X241" s="178"/>
    </row>
    <row r="242" spans="1:24" x14ac:dyDescent="0.35">
      <c r="C242" s="71"/>
      <c r="D242" s="71"/>
      <c r="E242" s="71"/>
      <c r="F242" s="71"/>
      <c r="G242" s="71"/>
      <c r="H242" s="71"/>
    </row>
    <row r="248" spans="1:24" x14ac:dyDescent="0.35">
      <c r="J248" s="142"/>
    </row>
    <row r="264" spans="1:24" x14ac:dyDescent="0.35">
      <c r="T264" s="178"/>
      <c r="U264" s="178"/>
      <c r="V264" s="178"/>
      <c r="W264" s="178"/>
      <c r="X264" s="178"/>
    </row>
    <row r="265" spans="1:24" s="78" customFormat="1" x14ac:dyDescent="0.35">
      <c r="A265" s="69"/>
      <c r="B265" s="69"/>
      <c r="C265" s="69"/>
      <c r="D265" s="69"/>
      <c r="E265" s="69"/>
      <c r="F265" s="69"/>
      <c r="G265" s="69"/>
      <c r="H265" s="69"/>
      <c r="I265" s="69"/>
      <c r="J265" s="69"/>
      <c r="K265" s="69"/>
      <c r="L265" s="69"/>
      <c r="M265" s="69"/>
      <c r="N265" s="69"/>
      <c r="O265" s="69"/>
      <c r="P265" s="69"/>
      <c r="Q265" s="69"/>
      <c r="R265" s="69"/>
      <c r="S265" s="69"/>
    </row>
    <row r="266" spans="1:24" s="78" customFormat="1" x14ac:dyDescent="0.35">
      <c r="A266" s="133"/>
      <c r="B266" s="69"/>
      <c r="C266" s="69"/>
      <c r="D266" s="69"/>
      <c r="E266" s="69"/>
      <c r="F266" s="69"/>
      <c r="G266" s="69"/>
      <c r="H266" s="69"/>
      <c r="I266" s="69"/>
      <c r="J266" s="69"/>
      <c r="K266" s="69"/>
      <c r="L266" s="69"/>
      <c r="M266" s="69"/>
      <c r="N266" s="69"/>
      <c r="O266" s="69"/>
      <c r="P266" s="69"/>
      <c r="Q266" s="69"/>
      <c r="R266" s="69"/>
      <c r="S266" s="69"/>
    </row>
    <row r="267" spans="1:24" x14ac:dyDescent="0.35">
      <c r="A267" s="133"/>
      <c r="B267" s="229" t="s">
        <v>185</v>
      </c>
      <c r="C267" s="178"/>
      <c r="D267" s="178"/>
      <c r="E267" s="178"/>
      <c r="F267" s="178"/>
      <c r="G267" s="178"/>
      <c r="H267" s="178"/>
      <c r="I267" s="178"/>
      <c r="J267" s="178"/>
      <c r="K267" s="178"/>
      <c r="L267" s="178"/>
      <c r="M267" s="178"/>
      <c r="N267" s="178"/>
      <c r="O267" s="178"/>
      <c r="P267" s="178"/>
      <c r="Q267" s="178"/>
      <c r="R267" s="178"/>
      <c r="S267" s="178"/>
    </row>
    <row r="268" spans="1:24" x14ac:dyDescent="0.35">
      <c r="A268" s="247"/>
      <c r="B268" s="248"/>
      <c r="C268" s="249"/>
      <c r="D268" s="249"/>
      <c r="E268" s="249"/>
      <c r="F268" s="249"/>
      <c r="G268" s="249"/>
      <c r="H268" s="249"/>
      <c r="I268" s="249"/>
      <c r="J268" s="249"/>
      <c r="K268" s="249"/>
      <c r="L268" s="249"/>
      <c r="M268" s="249"/>
      <c r="N268" s="249"/>
      <c r="O268" s="249"/>
      <c r="P268" s="249"/>
      <c r="Q268" s="249"/>
      <c r="R268" s="249"/>
      <c r="S268" s="249"/>
    </row>
    <row r="269" spans="1:24" x14ac:dyDescent="0.35">
      <c r="A269" s="242"/>
      <c r="B269" s="228"/>
      <c r="C269" s="78"/>
      <c r="D269" s="78" t="s">
        <v>288</v>
      </c>
      <c r="E269" s="78" t="s">
        <v>460</v>
      </c>
      <c r="F269" s="78"/>
      <c r="G269" s="78"/>
      <c r="H269" s="78"/>
      <c r="I269" s="78"/>
      <c r="J269" s="78"/>
      <c r="K269" s="78"/>
      <c r="L269" s="78"/>
      <c r="M269" s="78"/>
      <c r="N269" s="78"/>
      <c r="O269" s="78"/>
      <c r="P269" s="78"/>
      <c r="Q269" s="78"/>
      <c r="R269" s="78"/>
      <c r="S269" s="78"/>
    </row>
    <row r="270" spans="1:24" x14ac:dyDescent="0.35">
      <c r="A270" s="133"/>
      <c r="B270" s="244" t="s">
        <v>459</v>
      </c>
      <c r="C270" s="245"/>
      <c r="D270" s="246">
        <f ca="1">+D14+D16+D17+D18</f>
        <v>0</v>
      </c>
      <c r="E270" s="245"/>
      <c r="F270" s="78"/>
      <c r="G270" s="78"/>
      <c r="H270" s="78"/>
      <c r="I270" s="78"/>
      <c r="J270" s="78"/>
      <c r="K270" s="78"/>
      <c r="L270" s="78"/>
      <c r="M270" s="78"/>
      <c r="N270" s="78"/>
      <c r="O270" s="78"/>
      <c r="P270" s="78"/>
      <c r="Q270" s="78"/>
      <c r="R270" s="78"/>
      <c r="S270" s="78"/>
    </row>
    <row r="271" spans="1:24" x14ac:dyDescent="0.35">
      <c r="A271" s="133" t="str">
        <f ca="1">+HLOOKUP($B271,Consolidado!$A$8:$WX$10,2,FALSE)</f>
        <v>Consolidado!FB11:FB25</v>
      </c>
      <c r="B271" s="129" t="s">
        <v>188</v>
      </c>
      <c r="C271" s="76"/>
      <c r="D271" s="129">
        <f ca="1">+COUNTIF(INDIRECT(A271),"&gt;"&amp;0)</f>
        <v>0</v>
      </c>
      <c r="E271" s="243" t="e">
        <f ca="1">+D271/D270</f>
        <v>#DIV/0!</v>
      </c>
    </row>
    <row r="273" spans="1:8" x14ac:dyDescent="0.35">
      <c r="A273" s="74" t="s">
        <v>431</v>
      </c>
      <c r="C273" s="133" t="e">
        <f ca="1">+HLOOKUP($A$273&amp;C274,Consolidado!$A$2:$WX$10,8,FALSE)</f>
        <v>#N/A</v>
      </c>
      <c r="D273" s="133" t="str">
        <f ca="1">+HLOOKUP($A$273&amp;D274,Consolidado!$A$2:$WX$10,8,FALSE)</f>
        <v>Consolidado!BK11:BK25</v>
      </c>
      <c r="E273" s="133" t="e">
        <f ca="1">+HLOOKUP($A$273&amp;E274,Consolidado!$A$2:$WX$10,8,FALSE)</f>
        <v>#N/A</v>
      </c>
      <c r="F273" s="133" t="str">
        <f ca="1">+HLOOKUP($A$273&amp;F274,Consolidado!$A$2:$WX$10,8,FALSE)</f>
        <v>Consolidado!BM11:BM25</v>
      </c>
      <c r="G273" s="133" t="e">
        <f ca="1">+HLOOKUP($A$273&amp;G274,Consolidado!$A$2:$WX$10,8,FALSE)</f>
        <v>#N/A</v>
      </c>
    </row>
    <row r="274" spans="1:8" x14ac:dyDescent="0.35">
      <c r="B274" s="79"/>
      <c r="C274" s="105" t="s">
        <v>189</v>
      </c>
      <c r="D274" s="105" t="s">
        <v>190</v>
      </c>
      <c r="E274" s="105" t="s">
        <v>191</v>
      </c>
      <c r="F274" s="105" t="s">
        <v>113</v>
      </c>
      <c r="G274" s="105" t="s">
        <v>193</v>
      </c>
    </row>
    <row r="275" spans="1:8" ht="15.5" x14ac:dyDescent="0.35">
      <c r="A275" s="95" t="s">
        <v>103</v>
      </c>
      <c r="B275" s="231" t="s">
        <v>188</v>
      </c>
      <c r="C275" s="105" t="e">
        <f ca="1">+COUNTIF(INDIRECT(C$273),$A$275)</f>
        <v>#N/A</v>
      </c>
      <c r="D275" s="105">
        <f ca="1">+COUNTIF(INDIRECT(D$273),$A$275)</f>
        <v>0</v>
      </c>
      <c r="E275" s="105" t="e">
        <f ca="1">+COUNTIF(INDIRECT(E$273),$A$275)</f>
        <v>#N/A</v>
      </c>
      <c r="F275" s="105">
        <f ca="1">+COUNTIF(INDIRECT(F$273),$A$275)</f>
        <v>0</v>
      </c>
      <c r="G275" s="105" t="e">
        <f ca="1">+COUNTIF(INDIRECT(G$273),$A$275)</f>
        <v>#N/A</v>
      </c>
    </row>
    <row r="276" spans="1:8" x14ac:dyDescent="0.35">
      <c r="B276" s="102" t="s">
        <v>434</v>
      </c>
      <c r="C276" s="232" t="e">
        <f ca="1">+C275/$D$271</f>
        <v>#N/A</v>
      </c>
      <c r="D276" s="232" t="e">
        <f ca="1">+D275/$D$271</f>
        <v>#DIV/0!</v>
      </c>
      <c r="E276" s="232" t="e">
        <f ca="1">+E275/$D$271</f>
        <v>#N/A</v>
      </c>
      <c r="F276" s="232" t="e">
        <f ca="1">+F275/$D$271</f>
        <v>#DIV/0!</v>
      </c>
      <c r="G276" s="232" t="e">
        <f ca="1">+G275/$D$271</f>
        <v>#N/A</v>
      </c>
    </row>
    <row r="277" spans="1:8" x14ac:dyDescent="0.35">
      <c r="B277" s="79"/>
      <c r="C277" s="117">
        <v>1</v>
      </c>
      <c r="D277" s="117">
        <v>1</v>
      </c>
      <c r="E277" s="117">
        <v>1</v>
      </c>
      <c r="F277" s="233">
        <v>1</v>
      </c>
      <c r="G277" s="233">
        <v>1</v>
      </c>
      <c r="H277" s="133"/>
    </row>
    <row r="278" spans="1:8" x14ac:dyDescent="0.35">
      <c r="B278" s="79"/>
      <c r="C278" s="117">
        <v>1</v>
      </c>
      <c r="D278" s="117">
        <v>2</v>
      </c>
      <c r="E278" s="117">
        <v>3</v>
      </c>
      <c r="F278" s="117">
        <v>4</v>
      </c>
      <c r="G278" s="117">
        <v>5</v>
      </c>
    </row>
    <row r="279" spans="1:8" x14ac:dyDescent="0.35">
      <c r="B279" s="79"/>
      <c r="C279" s="79"/>
      <c r="D279" s="79"/>
      <c r="E279" s="79"/>
      <c r="F279" s="79"/>
      <c r="G279" s="79"/>
    </row>
    <row r="280" spans="1:8" x14ac:dyDescent="0.35">
      <c r="B280" s="234" t="s">
        <v>436</v>
      </c>
      <c r="C280" s="233" t="str">
        <f ca="1">+HLOOKUP($A$273&amp;C274&amp;$A$281,Consolidado!$A$2:$WX$10,8,FALSE)</f>
        <v>Consolidado!BJ11:BJ25</v>
      </c>
      <c r="D280" s="233" t="e">
        <f ca="1">+HLOOKUP($A$273&amp;D274&amp;$A$281,Consolidado!$A$2:$WX$10,8,FALSE)</f>
        <v>#N/A</v>
      </c>
      <c r="E280" s="233" t="str">
        <f ca="1">+HLOOKUP($A$273&amp;E274&amp;$A$281,Consolidado!$A$2:$WX$10,8,FALSE)</f>
        <v>Consolidado!BL11:BL25</v>
      </c>
      <c r="F280" s="79"/>
      <c r="G280" s="79"/>
    </row>
    <row r="281" spans="1:8" x14ac:dyDescent="0.35">
      <c r="A281" s="74" t="s">
        <v>432</v>
      </c>
      <c r="B281" s="105" t="s">
        <v>435</v>
      </c>
      <c r="C281" s="105" t="s">
        <v>189</v>
      </c>
      <c r="D281" s="105" t="s">
        <v>190</v>
      </c>
      <c r="E281" s="105" t="s">
        <v>191</v>
      </c>
      <c r="F281" s="79"/>
      <c r="G281" s="79"/>
    </row>
    <row r="282" spans="1:8" x14ac:dyDescent="0.35">
      <c r="A282" s="74">
        <v>0.3</v>
      </c>
      <c r="B282" s="235" t="str">
        <f>+"&lt;"&amp;A282*100&amp;"%"</f>
        <v>&lt;30%</v>
      </c>
      <c r="C282" s="215">
        <f ca="1">+COUNTIFS(INDIRECT(C$280),"&lt;="&amp;$A282)</f>
        <v>0</v>
      </c>
      <c r="D282" s="215" t="e">
        <f ca="1">+COUNTIFS(INDIRECT(D$280),"&lt;="&amp;$A282)</f>
        <v>#N/A</v>
      </c>
      <c r="E282" s="215">
        <f ca="1">+COUNTIFS(INDIRECT(E$280),"&lt;="&amp;$A282)</f>
        <v>0</v>
      </c>
      <c r="F282" s="79"/>
      <c r="G282" s="79"/>
    </row>
    <row r="283" spans="1:8" x14ac:dyDescent="0.35">
      <c r="A283" s="74">
        <v>0.6</v>
      </c>
      <c r="B283" s="235" t="str">
        <f>A282*100&amp;"%"&amp;"-"&amp;A283*100&amp;"%"</f>
        <v>30%-60%</v>
      </c>
      <c r="C283" s="215">
        <f ca="1">+COUNTIFS(INDIRECT(C$280),"&lt;="&amp;$A283,INDIRECT(C$280),"&gt;="&amp;$A282)</f>
        <v>0</v>
      </c>
      <c r="D283" s="215" t="e">
        <f ca="1">+COUNTIFS(INDIRECT(D$280),"&lt;="&amp;$A283,INDIRECT(D$280),"&gt;="&amp;$A282)</f>
        <v>#N/A</v>
      </c>
      <c r="E283" s="215">
        <f ca="1">+COUNTIFS(INDIRECT(E$280),"&lt;="&amp;$A283,INDIRECT(E$280),"&gt;="&amp;$A282)</f>
        <v>0</v>
      </c>
      <c r="F283" s="79"/>
      <c r="G283" s="79"/>
    </row>
    <row r="284" spans="1:8" x14ac:dyDescent="0.35">
      <c r="A284" s="74"/>
      <c r="B284" s="236" t="str">
        <f>+"&gt;"&amp;A283*100&amp;"%"</f>
        <v>&gt;60%</v>
      </c>
      <c r="C284" s="105">
        <f ca="1">+COUNTIFS(INDIRECT(C$280),"&gt;="&amp;$A283)</f>
        <v>0</v>
      </c>
      <c r="D284" s="105" t="e">
        <f ca="1">+COUNTIFS(INDIRECT(D$280),"&gt;="&amp;$A283)</f>
        <v>#N/A</v>
      </c>
      <c r="E284" s="105">
        <f ca="1">+COUNTIFS(INDIRECT(E$280),"&gt;="&amp;$A283)</f>
        <v>0</v>
      </c>
      <c r="F284" s="79"/>
      <c r="G284" s="79"/>
    </row>
    <row r="285" spans="1:8" x14ac:dyDescent="0.35">
      <c r="F285" s="79"/>
      <c r="G285" s="79"/>
    </row>
    <row r="286" spans="1:8" x14ac:dyDescent="0.35">
      <c r="B286" s="234" t="s">
        <v>437</v>
      </c>
      <c r="C286" s="79"/>
      <c r="D286" s="79"/>
      <c r="E286" s="79"/>
      <c r="F286" s="79"/>
      <c r="G286" s="79"/>
    </row>
    <row r="287" spans="1:8" x14ac:dyDescent="0.35">
      <c r="B287" s="105" t="s">
        <v>435</v>
      </c>
      <c r="C287" s="105" t="s">
        <v>189</v>
      </c>
      <c r="D287" s="105" t="s">
        <v>190</v>
      </c>
      <c r="E287" s="105" t="s">
        <v>191</v>
      </c>
      <c r="F287" s="79"/>
      <c r="G287" s="79"/>
    </row>
    <row r="288" spans="1:8" x14ac:dyDescent="0.35">
      <c r="B288" s="235" t="str">
        <f>+B282</f>
        <v>&lt;30%</v>
      </c>
      <c r="C288" s="166" t="e">
        <f t="shared" ref="C288:E290" ca="1" si="8">+C282/SUM($C$282:$C$284)</f>
        <v>#DIV/0!</v>
      </c>
      <c r="D288" s="166" t="e">
        <f t="shared" ca="1" si="8"/>
        <v>#N/A</v>
      </c>
      <c r="E288" s="166" t="e">
        <f t="shared" ca="1" si="8"/>
        <v>#DIV/0!</v>
      </c>
      <c r="F288" s="79"/>
      <c r="G288" s="79"/>
    </row>
    <row r="289" spans="1:19" x14ac:dyDescent="0.35">
      <c r="B289" s="235" t="str">
        <f>+B283</f>
        <v>30%-60%</v>
      </c>
      <c r="C289" s="166" t="e">
        <f t="shared" ca="1" si="8"/>
        <v>#DIV/0!</v>
      </c>
      <c r="D289" s="166" t="e">
        <f t="shared" ca="1" si="8"/>
        <v>#N/A</v>
      </c>
      <c r="E289" s="166" t="e">
        <f t="shared" ca="1" si="8"/>
        <v>#DIV/0!</v>
      </c>
      <c r="F289" s="79"/>
      <c r="G289" s="79"/>
    </row>
    <row r="290" spans="1:19" x14ac:dyDescent="0.35">
      <c r="B290" s="236" t="str">
        <f>+B284</f>
        <v>&gt;60%</v>
      </c>
      <c r="C290" s="167" t="e">
        <f t="shared" ca="1" si="8"/>
        <v>#DIV/0!</v>
      </c>
      <c r="D290" s="167" t="e">
        <f t="shared" ca="1" si="8"/>
        <v>#N/A</v>
      </c>
      <c r="E290" s="167" t="e">
        <f t="shared" ca="1" si="8"/>
        <v>#DIV/0!</v>
      </c>
    </row>
    <row r="295" spans="1:19" ht="21" x14ac:dyDescent="0.5">
      <c r="A295" s="161" t="s">
        <v>605</v>
      </c>
      <c r="B295" s="180" t="s">
        <v>595</v>
      </c>
      <c r="C295" s="179"/>
      <c r="D295" s="179"/>
      <c r="E295" s="179"/>
      <c r="F295" s="179"/>
      <c r="G295" s="179"/>
      <c r="H295" s="179"/>
      <c r="I295" s="179"/>
      <c r="J295" s="179"/>
      <c r="K295" s="179"/>
      <c r="L295" s="179"/>
      <c r="M295" s="179"/>
      <c r="N295" s="179"/>
      <c r="O295" s="179"/>
      <c r="P295" s="179"/>
      <c r="Q295" s="179"/>
      <c r="R295" s="179"/>
      <c r="S295" s="179"/>
    </row>
    <row r="305" spans="1:24" x14ac:dyDescent="0.35">
      <c r="B305" s="147" t="s">
        <v>597</v>
      </c>
      <c r="C305" s="71"/>
      <c r="D305" s="140" t="s">
        <v>264</v>
      </c>
      <c r="E305" s="71" t="s">
        <v>267</v>
      </c>
      <c r="F305" s="71" t="s">
        <v>270</v>
      </c>
      <c r="G305" s="140" t="s">
        <v>265</v>
      </c>
      <c r="H305" s="71" t="s">
        <v>262</v>
      </c>
    </row>
    <row r="306" spans="1:24" x14ac:dyDescent="0.35">
      <c r="B306" s="71"/>
      <c r="C306" s="95" t="s">
        <v>602</v>
      </c>
      <c r="D306" s="95" t="s">
        <v>264</v>
      </c>
      <c r="E306" s="95" t="s">
        <v>263</v>
      </c>
      <c r="F306" s="95" t="s">
        <v>266</v>
      </c>
      <c r="G306" s="95" t="s">
        <v>265</v>
      </c>
      <c r="H306" s="95"/>
      <c r="I306" s="95">
        <f ca="1">+MAX(I307:I309)</f>
        <v>0</v>
      </c>
    </row>
    <row r="307" spans="1:24" x14ac:dyDescent="0.35">
      <c r="A307" s="133" t="str">
        <f ca="1">+HLOOKUP($C307&amp;" "&amp;$C$306,Consolidado!$A$8:$WX$10,2,FALSE)</f>
        <v>Consolidado!FE11:FE25</v>
      </c>
      <c r="B307" s="98"/>
      <c r="C307" s="325" t="s">
        <v>600</v>
      </c>
      <c r="D307" s="326" t="e">
        <f ca="1">QUARTILE(INDIRECT($A307),4)</f>
        <v>#NUM!</v>
      </c>
      <c r="E307" s="326" t="e">
        <f ca="1">QUARTILE(INDIRECT($A307),3)</f>
        <v>#NUM!</v>
      </c>
      <c r="F307" s="326" t="e">
        <f ca="1">QUARTILE(INDIRECT($A307),1)</f>
        <v>#NUM!</v>
      </c>
      <c r="G307" s="326" t="e">
        <f ca="1">QUARTILE(INDIRECT($A307),0)</f>
        <v>#NUM!</v>
      </c>
      <c r="H307" s="326" t="e">
        <f ca="1">+AVERAGE(INDIRECT($A307))</f>
        <v>#DIV/0!</v>
      </c>
      <c r="I307" s="95">
        <f ca="1">+COUNT(INDIRECT(A307))</f>
        <v>0</v>
      </c>
    </row>
    <row r="308" spans="1:24" x14ac:dyDescent="0.35">
      <c r="A308" s="133" t="str">
        <f ca="1">+HLOOKUP($C308&amp;" "&amp;$C$306,Consolidado!$A$8:$WX$10,2,FALSE)</f>
        <v>Consolidado!FF11:FF25</v>
      </c>
      <c r="B308" s="71"/>
      <c r="C308" s="324" t="s">
        <v>601</v>
      </c>
      <c r="D308" s="142" t="e">
        <f ca="1">QUARTILE(INDIRECT($A308),4)</f>
        <v>#NUM!</v>
      </c>
      <c r="E308" s="142" t="e">
        <f ca="1">QUARTILE(INDIRECT($A308),3)</f>
        <v>#NUM!</v>
      </c>
      <c r="F308" s="142" t="e">
        <f ca="1">QUARTILE(INDIRECT($A308),1)</f>
        <v>#NUM!</v>
      </c>
      <c r="G308" s="142" t="e">
        <f ca="1">QUARTILE(INDIRECT($A308),0)</f>
        <v>#NUM!</v>
      </c>
      <c r="H308" s="142" t="e">
        <f ca="1">+AVERAGE(INDIRECT($A308))</f>
        <v>#DIV/0!</v>
      </c>
      <c r="I308" s="95">
        <f ca="1">+COUNT(INDIRECT(A308))</f>
        <v>0</v>
      </c>
      <c r="T308" s="178"/>
      <c r="U308" s="178"/>
      <c r="V308" s="178"/>
      <c r="W308" s="178"/>
      <c r="X308" s="178"/>
    </row>
    <row r="309" spans="1:24" s="249" customFormat="1" ht="15.5" x14ac:dyDescent="0.35">
      <c r="A309" s="133" t="str">
        <f ca="1">+HLOOKUP($C309&amp;" "&amp;$C$306,Consolidado!$A$8:$WX$10,2,FALSE)</f>
        <v>Consolidado!FG11:FG25</v>
      </c>
      <c r="B309" s="76"/>
      <c r="C309" s="23" t="s">
        <v>519</v>
      </c>
      <c r="D309" s="110" t="e">
        <f ca="1">QUARTILE(INDIRECT($A309),4)</f>
        <v>#NUM!</v>
      </c>
      <c r="E309" s="110" t="e">
        <f ca="1">QUARTILE(INDIRECT($A309),3)</f>
        <v>#NUM!</v>
      </c>
      <c r="F309" s="110" t="e">
        <f ca="1">QUARTILE(INDIRECT($A309),1)</f>
        <v>#NUM!</v>
      </c>
      <c r="G309" s="110" t="e">
        <f ca="1">QUARTILE(INDIRECT($A309),0)</f>
        <v>#NUM!</v>
      </c>
      <c r="H309" s="110" t="e">
        <f ca="1">+AVERAGE(INDIRECT($A309))</f>
        <v>#DIV/0!</v>
      </c>
      <c r="I309" s="95">
        <f ca="1">+COUNT(INDIRECT(A309))</f>
        <v>0</v>
      </c>
      <c r="J309" s="69"/>
      <c r="K309" s="69"/>
      <c r="L309" s="69"/>
      <c r="M309" s="69"/>
      <c r="N309" s="69"/>
      <c r="O309" s="69"/>
      <c r="P309" s="69"/>
      <c r="Q309" s="69"/>
      <c r="R309" s="69"/>
      <c r="S309" s="69"/>
    </row>
    <row r="310" spans="1:24" s="78" customFormat="1" x14ac:dyDescent="0.35">
      <c r="A310" s="69"/>
      <c r="B310" s="69"/>
      <c r="C310" s="69"/>
      <c r="D310" s="69"/>
      <c r="E310" s="69"/>
      <c r="F310" s="69"/>
      <c r="G310" s="69"/>
      <c r="H310" s="69"/>
      <c r="I310" s="69"/>
      <c r="J310" s="69"/>
      <c r="K310" s="69"/>
      <c r="L310" s="69"/>
      <c r="M310" s="69"/>
      <c r="N310" s="69"/>
      <c r="O310" s="69"/>
      <c r="P310" s="69"/>
      <c r="Q310" s="69"/>
      <c r="R310" s="69"/>
      <c r="S310" s="69"/>
    </row>
    <row r="311" spans="1:24" s="78" customFormat="1" x14ac:dyDescent="0.35">
      <c r="A311" s="69"/>
      <c r="B311" s="69"/>
      <c r="C311" s="69"/>
      <c r="D311" s="69"/>
      <c r="E311" s="69"/>
      <c r="F311" s="69"/>
      <c r="G311" s="69"/>
      <c r="H311" s="69"/>
      <c r="I311" s="69"/>
      <c r="J311" s="69"/>
      <c r="K311" s="69"/>
      <c r="L311" s="69"/>
      <c r="M311" s="69"/>
      <c r="N311" s="69"/>
      <c r="O311" s="69"/>
      <c r="P311" s="69"/>
      <c r="Q311" s="69"/>
      <c r="R311" s="69"/>
      <c r="S311" s="69"/>
    </row>
    <row r="317" spans="1:24" x14ac:dyDescent="0.35">
      <c r="E317" s="140"/>
    </row>
    <row r="319" spans="1:24" x14ac:dyDescent="0.35">
      <c r="A319" s="237"/>
      <c r="I319" s="82"/>
      <c r="J319" s="82"/>
      <c r="K319" s="82"/>
      <c r="L319" s="82"/>
      <c r="M319" s="82"/>
      <c r="N319" s="82"/>
      <c r="O319" s="82"/>
      <c r="P319" s="82"/>
      <c r="Q319" s="82"/>
      <c r="R319" s="82"/>
      <c r="S319" s="82"/>
    </row>
    <row r="320" spans="1:24" x14ac:dyDescent="0.35">
      <c r="A320" s="237"/>
      <c r="I320" s="82"/>
      <c r="J320" s="82"/>
      <c r="K320" s="82"/>
      <c r="L320" s="82"/>
      <c r="M320" s="82"/>
      <c r="N320" s="82"/>
      <c r="O320" s="82"/>
      <c r="P320" s="82"/>
      <c r="Q320" s="82"/>
      <c r="R320" s="82"/>
      <c r="S320" s="82"/>
    </row>
    <row r="321" spans="1:24" x14ac:dyDescent="0.35">
      <c r="A321" s="237"/>
      <c r="I321" s="82"/>
      <c r="J321" s="82"/>
      <c r="K321" s="82"/>
      <c r="L321" s="82"/>
      <c r="M321" s="82"/>
      <c r="N321" s="82"/>
      <c r="O321" s="82"/>
      <c r="P321" s="82"/>
      <c r="Q321" s="82"/>
      <c r="R321" s="82"/>
      <c r="S321" s="82"/>
    </row>
    <row r="322" spans="1:24" x14ac:dyDescent="0.35">
      <c r="A322" s="149"/>
      <c r="I322" s="149"/>
      <c r="J322" s="149"/>
      <c r="K322" s="149"/>
      <c r="L322" s="149"/>
      <c r="M322" s="149"/>
      <c r="N322" s="149"/>
      <c r="O322" s="149"/>
      <c r="P322" s="149"/>
      <c r="Q322" s="149"/>
      <c r="R322" s="149"/>
      <c r="S322" s="149"/>
    </row>
    <row r="323" spans="1:24" x14ac:dyDescent="0.35">
      <c r="A323" s="96"/>
      <c r="J323" s="96"/>
      <c r="K323" s="149"/>
    </row>
    <row r="324" spans="1:24" x14ac:dyDescent="0.35">
      <c r="A324" s="161"/>
      <c r="J324" s="168"/>
      <c r="K324" s="149"/>
      <c r="L324" s="161"/>
    </row>
    <row r="325" spans="1:24" x14ac:dyDescent="0.35">
      <c r="A325" s="161"/>
      <c r="J325" s="168"/>
      <c r="K325" s="149"/>
      <c r="L325" s="161"/>
    </row>
    <row r="326" spans="1:24" x14ac:dyDescent="0.35">
      <c r="A326" s="96"/>
      <c r="K326" s="149"/>
    </row>
    <row r="327" spans="1:24" ht="21" x14ac:dyDescent="0.5">
      <c r="A327" s="161" t="s">
        <v>612</v>
      </c>
      <c r="B327" s="180" t="s">
        <v>606</v>
      </c>
      <c r="C327" s="179"/>
      <c r="D327" s="179"/>
      <c r="E327" s="179"/>
      <c r="F327" s="179"/>
      <c r="G327" s="179"/>
      <c r="H327" s="179"/>
      <c r="I327" s="179"/>
      <c r="J327" s="179"/>
      <c r="K327" s="179"/>
      <c r="L327" s="179"/>
      <c r="M327" s="179"/>
      <c r="N327" s="179"/>
      <c r="O327" s="179"/>
      <c r="P327" s="179"/>
      <c r="Q327" s="179"/>
      <c r="R327" s="179"/>
      <c r="S327" s="179"/>
    </row>
    <row r="336" spans="1:24" x14ac:dyDescent="0.35">
      <c r="T336" s="179"/>
      <c r="U336" s="179"/>
      <c r="V336" s="179"/>
      <c r="W336" s="179"/>
      <c r="X336" s="179"/>
    </row>
    <row r="337" spans="1:25" s="78" customFormat="1" x14ac:dyDescent="0.35">
      <c r="A337" s="69"/>
      <c r="B337" s="69"/>
      <c r="C337" s="69"/>
      <c r="D337" s="69"/>
      <c r="E337" s="69"/>
      <c r="F337" s="69"/>
      <c r="G337" s="69"/>
      <c r="H337" s="69"/>
      <c r="I337" s="69"/>
      <c r="J337" s="69"/>
      <c r="K337" s="69"/>
      <c r="L337" s="69"/>
      <c r="M337" s="69"/>
      <c r="N337" s="69"/>
      <c r="O337" s="69"/>
      <c r="P337" s="69"/>
      <c r="Q337" s="69"/>
      <c r="R337" s="69"/>
      <c r="S337" s="69"/>
      <c r="T337" s="82"/>
      <c r="U337" s="82"/>
      <c r="V337" s="82"/>
      <c r="W337" s="82"/>
      <c r="X337" s="82"/>
    </row>
    <row r="338" spans="1:25" s="78" customFormat="1" x14ac:dyDescent="0.35">
      <c r="A338" s="69"/>
      <c r="B338" s="147" t="s">
        <v>597</v>
      </c>
      <c r="C338" s="71"/>
      <c r="D338" s="140" t="s">
        <v>264</v>
      </c>
      <c r="E338" s="71" t="s">
        <v>267</v>
      </c>
      <c r="F338" s="71" t="s">
        <v>270</v>
      </c>
      <c r="G338" s="140" t="s">
        <v>265</v>
      </c>
      <c r="H338" s="71" t="s">
        <v>262</v>
      </c>
      <c r="I338" s="69"/>
      <c r="J338" s="69"/>
      <c r="K338" s="69"/>
      <c r="L338" s="69"/>
      <c r="M338" s="69"/>
      <c r="N338" s="69"/>
      <c r="O338" s="69"/>
      <c r="P338" s="69"/>
      <c r="Q338" s="69"/>
      <c r="R338" s="69"/>
      <c r="S338" s="69"/>
      <c r="T338" s="82"/>
      <c r="U338" s="82"/>
      <c r="V338" s="82"/>
      <c r="W338" s="82"/>
      <c r="X338" s="82"/>
    </row>
    <row r="339" spans="1:25" s="78" customFormat="1" x14ac:dyDescent="0.35">
      <c r="A339" s="69"/>
      <c r="B339" s="71"/>
      <c r="C339" s="95" t="s">
        <v>608</v>
      </c>
      <c r="D339" s="95" t="s">
        <v>264</v>
      </c>
      <c r="E339" s="95" t="s">
        <v>263</v>
      </c>
      <c r="F339" s="95" t="s">
        <v>266</v>
      </c>
      <c r="G339" s="95" t="s">
        <v>265</v>
      </c>
      <c r="H339" s="95"/>
      <c r="I339" s="95">
        <f ca="1">+MAX(I340:I342)</f>
        <v>0</v>
      </c>
      <c r="J339" s="69"/>
      <c r="K339" s="69"/>
      <c r="L339" s="69"/>
      <c r="M339" s="69"/>
      <c r="N339" s="69"/>
      <c r="O339" s="69"/>
      <c r="P339" s="69"/>
      <c r="Q339" s="69"/>
      <c r="R339" s="69"/>
      <c r="S339" s="69"/>
      <c r="T339" s="82"/>
      <c r="U339" s="82"/>
      <c r="V339" s="82"/>
      <c r="W339" s="82"/>
      <c r="X339" s="82"/>
    </row>
    <row r="340" spans="1:25" x14ac:dyDescent="0.35">
      <c r="A340" s="133" t="str">
        <f ca="1">+HLOOKUP($C340&amp;" "&amp;$C$339,Consolidado!$A$8:$WX$10,2,FALSE)</f>
        <v>Consolidado!FI11:FI25</v>
      </c>
      <c r="B340" s="98"/>
      <c r="C340" s="325" t="s">
        <v>600</v>
      </c>
      <c r="D340" s="326" t="e">
        <f ca="1">QUARTILE(INDIRECT($A340),4)</f>
        <v>#NUM!</v>
      </c>
      <c r="E340" s="326" t="e">
        <f ca="1">QUARTILE(INDIRECT($A340),3)</f>
        <v>#NUM!</v>
      </c>
      <c r="F340" s="326" t="e">
        <f ca="1">QUARTILE(INDIRECT($A340),1)</f>
        <v>#NUM!</v>
      </c>
      <c r="G340" s="326" t="e">
        <f ca="1">QUARTILE(INDIRECT($A340),0)</f>
        <v>#NUM!</v>
      </c>
      <c r="H340" s="326" t="e">
        <f ca="1">+AVERAGE(INDIRECT($A340))</f>
        <v>#DIV/0!</v>
      </c>
      <c r="I340" s="95">
        <f ca="1">+COUNT(INDIRECT(A340))</f>
        <v>0</v>
      </c>
      <c r="T340" s="149"/>
      <c r="U340" s="149"/>
      <c r="V340" s="149"/>
      <c r="W340" s="149"/>
      <c r="X340" s="149"/>
      <c r="Y340" s="149"/>
    </row>
    <row r="341" spans="1:25" x14ac:dyDescent="0.35">
      <c r="A341" s="133" t="str">
        <f ca="1">+HLOOKUP($C341&amp;" "&amp;$C$339,Consolidado!$A$8:$WX$10,2,FALSE)</f>
        <v>Consolidado!FJ11:FJ25</v>
      </c>
      <c r="B341" s="71"/>
      <c r="C341" s="324" t="s">
        <v>601</v>
      </c>
      <c r="D341" s="142" t="e">
        <f ca="1">QUARTILE(INDIRECT($A341),4)</f>
        <v>#NUM!</v>
      </c>
      <c r="E341" s="142" t="e">
        <f ca="1">QUARTILE(INDIRECT($A341),3)</f>
        <v>#NUM!</v>
      </c>
      <c r="F341" s="142" t="e">
        <f ca="1">QUARTILE(INDIRECT($A341),1)</f>
        <v>#NUM!</v>
      </c>
      <c r="G341" s="142" t="e">
        <f ca="1">QUARTILE(INDIRECT($A341),0)</f>
        <v>#NUM!</v>
      </c>
      <c r="H341" s="142" t="e">
        <f ca="1">+AVERAGE(INDIRECT($A341))</f>
        <v>#DIV/0!</v>
      </c>
      <c r="I341" s="95">
        <f ca="1">+COUNT(INDIRECT(A341))</f>
        <v>0</v>
      </c>
    </row>
    <row r="342" spans="1:25" ht="15.75" customHeight="1" x14ac:dyDescent="0.35">
      <c r="A342" s="133" t="str">
        <f ca="1">+HLOOKUP($C342&amp;" "&amp;$C$339,Consolidado!$A$8:$WX$10,2,FALSE)</f>
        <v>Consolidado!FK11:FK25</v>
      </c>
      <c r="B342" s="76"/>
      <c r="C342" s="23" t="s">
        <v>519</v>
      </c>
      <c r="D342" s="110" t="e">
        <f ca="1">QUARTILE(INDIRECT($A342),4)</f>
        <v>#NUM!</v>
      </c>
      <c r="E342" s="110" t="e">
        <f ca="1">QUARTILE(INDIRECT($A342),3)</f>
        <v>#NUM!</v>
      </c>
      <c r="F342" s="110" t="e">
        <f ca="1">QUARTILE(INDIRECT($A342),1)</f>
        <v>#NUM!</v>
      </c>
      <c r="G342" s="110" t="e">
        <f ca="1">QUARTILE(INDIRECT($A342),0)</f>
        <v>#NUM!</v>
      </c>
      <c r="H342" s="110" t="e">
        <f ca="1">+AVERAGE(INDIRECT($A342))</f>
        <v>#DIV/0!</v>
      </c>
      <c r="I342" s="95">
        <f ca="1">+COUNT(INDIRECT(A342))</f>
        <v>0</v>
      </c>
    </row>
    <row r="350" spans="1:25" x14ac:dyDescent="0.35">
      <c r="E350" s="140"/>
    </row>
    <row r="352" spans="1:25" x14ac:dyDescent="0.35">
      <c r="A352" s="237"/>
      <c r="I352" s="82"/>
      <c r="J352" s="82"/>
      <c r="K352" s="82"/>
      <c r="L352" s="82"/>
      <c r="M352" s="82"/>
      <c r="N352" s="82"/>
      <c r="O352" s="82"/>
      <c r="P352" s="82"/>
      <c r="Q352" s="82"/>
      <c r="R352" s="82"/>
      <c r="S352" s="82"/>
    </row>
    <row r="353" spans="1:19" x14ac:dyDescent="0.35">
      <c r="A353" s="237"/>
      <c r="I353" s="82"/>
      <c r="J353" s="82"/>
      <c r="K353" s="82"/>
      <c r="L353" s="82"/>
      <c r="M353" s="82"/>
      <c r="N353" s="82"/>
      <c r="O353" s="82"/>
      <c r="P353" s="82"/>
      <c r="Q353" s="82"/>
      <c r="R353" s="82"/>
      <c r="S353" s="82"/>
    </row>
    <row r="354" spans="1:19" x14ac:dyDescent="0.35">
      <c r="A354" s="237"/>
      <c r="I354" s="82"/>
      <c r="J354" s="82"/>
      <c r="K354" s="82"/>
      <c r="L354" s="82"/>
      <c r="M354" s="82"/>
      <c r="N354" s="82"/>
      <c r="O354" s="82"/>
      <c r="P354" s="82"/>
      <c r="Q354" s="82"/>
      <c r="R354" s="82"/>
      <c r="S354" s="82"/>
    </row>
    <row r="355" spans="1:19" x14ac:dyDescent="0.35">
      <c r="A355" s="149"/>
      <c r="I355" s="149"/>
      <c r="J355" s="149"/>
      <c r="K355" s="149"/>
      <c r="L355" s="149"/>
      <c r="M355" s="149"/>
      <c r="N355" s="149"/>
      <c r="O355" s="149"/>
      <c r="P355" s="149"/>
      <c r="Q355" s="149"/>
      <c r="R355" s="149"/>
      <c r="S355" s="149"/>
    </row>
    <row r="356" spans="1:19" x14ac:dyDescent="0.35">
      <c r="A356" s="96"/>
      <c r="J356" s="96"/>
      <c r="K356" s="149"/>
    </row>
    <row r="357" spans="1:19" x14ac:dyDescent="0.35">
      <c r="A357" s="161"/>
      <c r="J357" s="168"/>
      <c r="K357" s="149"/>
      <c r="L357" s="161"/>
    </row>
    <row r="358" spans="1:19" x14ac:dyDescent="0.35">
      <c r="A358" s="161"/>
      <c r="J358" s="168"/>
      <c r="K358" s="149"/>
      <c r="L358" s="161"/>
    </row>
    <row r="360" spans="1:19" ht="21" x14ac:dyDescent="0.5">
      <c r="A360" s="161" t="s">
        <v>614</v>
      </c>
      <c r="B360" s="180" t="s">
        <v>613</v>
      </c>
      <c r="C360" s="179"/>
      <c r="D360" s="179"/>
      <c r="E360" s="179"/>
      <c r="F360" s="179"/>
      <c r="G360" s="179"/>
      <c r="H360" s="179"/>
      <c r="I360" s="179"/>
      <c r="J360" s="179"/>
      <c r="K360" s="179"/>
      <c r="L360" s="179"/>
      <c r="M360" s="179"/>
      <c r="N360" s="179"/>
      <c r="O360" s="179"/>
      <c r="P360" s="179"/>
      <c r="Q360" s="179"/>
      <c r="R360" s="179"/>
      <c r="S360" s="179"/>
    </row>
    <row r="369" spans="1:25" x14ac:dyDescent="0.35">
      <c r="A369" s="133"/>
      <c r="T369" s="179"/>
      <c r="U369" s="179"/>
      <c r="V369" s="179"/>
      <c r="W369" s="179"/>
      <c r="X369" s="179"/>
    </row>
    <row r="370" spans="1:25" s="78" customFormat="1" x14ac:dyDescent="0.35">
      <c r="A370" s="69"/>
      <c r="B370" s="69"/>
      <c r="C370" s="69"/>
      <c r="D370" s="69"/>
      <c r="E370" s="69"/>
      <c r="F370" s="69"/>
      <c r="G370" s="69"/>
      <c r="H370" s="69"/>
      <c r="I370" s="69"/>
      <c r="J370" s="69"/>
      <c r="K370" s="69"/>
      <c r="L370" s="69"/>
      <c r="M370" s="69"/>
      <c r="N370" s="69"/>
      <c r="O370" s="69"/>
      <c r="P370" s="69"/>
      <c r="Q370" s="69"/>
      <c r="R370" s="69"/>
      <c r="S370" s="69"/>
      <c r="T370" s="82"/>
      <c r="U370" s="82"/>
      <c r="V370" s="82"/>
      <c r="W370" s="82"/>
      <c r="X370" s="82"/>
    </row>
    <row r="371" spans="1:25" s="78" customFormat="1" x14ac:dyDescent="0.35">
      <c r="A371" s="69"/>
      <c r="B371" s="147" t="s">
        <v>597</v>
      </c>
      <c r="C371" s="71"/>
      <c r="D371" s="140" t="s">
        <v>264</v>
      </c>
      <c r="E371" s="71" t="s">
        <v>267</v>
      </c>
      <c r="F371" s="71" t="s">
        <v>270</v>
      </c>
      <c r="G371" s="140" t="s">
        <v>265</v>
      </c>
      <c r="H371" s="71" t="s">
        <v>262</v>
      </c>
      <c r="I371" s="69"/>
      <c r="J371" s="69"/>
      <c r="K371" s="69"/>
      <c r="L371" s="69"/>
      <c r="M371" s="69"/>
      <c r="N371" s="69"/>
      <c r="O371" s="69"/>
      <c r="P371" s="69"/>
      <c r="Q371" s="69"/>
      <c r="R371" s="69"/>
      <c r="S371" s="69"/>
      <c r="T371" s="82"/>
      <c r="U371" s="82"/>
      <c r="V371" s="82"/>
      <c r="W371" s="82"/>
      <c r="X371" s="82"/>
    </row>
    <row r="372" spans="1:25" s="78" customFormat="1" x14ac:dyDescent="0.35">
      <c r="A372" s="69"/>
      <c r="B372" s="76"/>
      <c r="C372" s="75" t="s">
        <v>620</v>
      </c>
      <c r="D372" s="75" t="s">
        <v>264</v>
      </c>
      <c r="E372" s="75" t="s">
        <v>263</v>
      </c>
      <c r="F372" s="75" t="s">
        <v>266</v>
      </c>
      <c r="G372" s="75" t="s">
        <v>265</v>
      </c>
      <c r="H372" s="75"/>
      <c r="I372" s="95">
        <f ca="1">+MAX(I373:I375)</f>
        <v>15</v>
      </c>
      <c r="J372" s="69"/>
      <c r="K372" s="69"/>
      <c r="L372" s="69"/>
      <c r="M372" s="69"/>
      <c r="N372" s="69"/>
      <c r="O372" s="69"/>
      <c r="P372" s="69"/>
      <c r="Q372" s="69"/>
      <c r="R372" s="69"/>
      <c r="S372" s="69"/>
      <c r="T372" s="82"/>
      <c r="U372" s="82"/>
      <c r="V372" s="82"/>
      <c r="W372" s="82"/>
      <c r="X372" s="82"/>
    </row>
    <row r="373" spans="1:25" x14ac:dyDescent="0.35">
      <c r="A373" s="133" t="str">
        <f ca="1">+HLOOKUP($C373&amp;" "&amp;$C$372,Consolidado!$A$8:$WX$10,2,FALSE)</f>
        <v>Consolidado!FM11:FM25</v>
      </c>
      <c r="B373" s="71"/>
      <c r="C373" s="145" t="s">
        <v>600</v>
      </c>
      <c r="D373" s="142">
        <f ca="1">QUARTILE(INDIRECT($A373),4)</f>
        <v>0</v>
      </c>
      <c r="E373" s="142">
        <f ca="1">QUARTILE(INDIRECT($A373),3)</f>
        <v>0</v>
      </c>
      <c r="F373" s="142">
        <f ca="1">QUARTILE(INDIRECT($A373),1)</f>
        <v>0</v>
      </c>
      <c r="G373" s="142">
        <f ca="1">QUARTILE(INDIRECT($A373),0)</f>
        <v>0</v>
      </c>
      <c r="H373" s="142">
        <f ca="1">+AVERAGE(INDIRECT($A373))</f>
        <v>0</v>
      </c>
      <c r="I373" s="95">
        <f ca="1">+COUNT(INDIRECT(A373))</f>
        <v>15</v>
      </c>
      <c r="T373" s="149"/>
      <c r="U373" s="149"/>
      <c r="V373" s="149"/>
      <c r="W373" s="149"/>
      <c r="X373" s="149"/>
      <c r="Y373" s="149"/>
    </row>
    <row r="374" spans="1:25" x14ac:dyDescent="0.35">
      <c r="A374" s="133" t="str">
        <f ca="1">+HLOOKUP($C374&amp;" "&amp;$C$372,Consolidado!$A$8:$WX$10,2,FALSE)</f>
        <v>Consolidado!FN11:FN25</v>
      </c>
      <c r="B374" s="71"/>
      <c r="C374" s="145" t="s">
        <v>601</v>
      </c>
      <c r="D374" s="142">
        <f ca="1">QUARTILE(INDIRECT($A374),4)</f>
        <v>0</v>
      </c>
      <c r="E374" s="142">
        <f ca="1">QUARTILE(INDIRECT($A374),3)</f>
        <v>0</v>
      </c>
      <c r="F374" s="142">
        <f ca="1">QUARTILE(INDIRECT($A374),1)</f>
        <v>0</v>
      </c>
      <c r="G374" s="142">
        <f ca="1">QUARTILE(INDIRECT($A374),0)</f>
        <v>0</v>
      </c>
      <c r="H374" s="142">
        <f ca="1">+AVERAGE(INDIRECT($A374))</f>
        <v>0</v>
      </c>
      <c r="I374" s="95">
        <f ca="1">+COUNT(INDIRECT(A374))</f>
        <v>15</v>
      </c>
    </row>
    <row r="375" spans="1:25" ht="15.75" customHeight="1" x14ac:dyDescent="0.35">
      <c r="A375" s="133" t="str">
        <f ca="1">+HLOOKUP($C375&amp;" "&amp;$C$372,Consolidado!$A$8:$WX$10,2,FALSE)</f>
        <v>Consolidado!FO11:FO25</v>
      </c>
      <c r="B375" s="71"/>
      <c r="C375" s="328" t="s">
        <v>519</v>
      </c>
      <c r="D375" s="100">
        <f ca="1">QUARTILE(INDIRECT($A375),4)</f>
        <v>0</v>
      </c>
      <c r="E375" s="100">
        <f ca="1">QUARTILE(INDIRECT($A375),3)</f>
        <v>0</v>
      </c>
      <c r="F375" s="100">
        <f ca="1">QUARTILE(INDIRECT($A375),1)</f>
        <v>0</v>
      </c>
      <c r="G375" s="100">
        <f ca="1">QUARTILE(INDIRECT($A375),0)</f>
        <v>0</v>
      </c>
      <c r="H375" s="100">
        <f ca="1">+AVERAGE(INDIRECT($A375))</f>
        <v>0</v>
      </c>
      <c r="I375" s="95">
        <f ca="1">+COUNT(INDIRECT(A375))</f>
        <v>15</v>
      </c>
    </row>
    <row r="376" spans="1:25" ht="15.75" customHeight="1" x14ac:dyDescent="0.35">
      <c r="A376" s="133" t="str">
        <f ca="1">+HLOOKUP($C376&amp;" "&amp;$C$372,Consolidado!$A$8:$WX$10,2,FALSE)</f>
        <v>Consolidado!FP11:FP25</v>
      </c>
      <c r="B376" s="76"/>
      <c r="C376" s="327" t="s">
        <v>551</v>
      </c>
      <c r="D376" s="110" t="e">
        <f ca="1">QUARTILE(INDIRECT($A376),4)</f>
        <v>#DIV/0!</v>
      </c>
      <c r="E376" s="110" t="e">
        <f ca="1">QUARTILE(INDIRECT($A376),3)</f>
        <v>#DIV/0!</v>
      </c>
      <c r="F376" s="110" t="e">
        <f ca="1">QUARTILE(INDIRECT($A376),1)</f>
        <v>#DIV/0!</v>
      </c>
      <c r="G376" s="110" t="e">
        <f ca="1">QUARTILE(INDIRECT($A376),0)</f>
        <v>#DIV/0!</v>
      </c>
      <c r="H376" s="110" t="e">
        <f ca="1">+AVERAGE(INDIRECT($A376))</f>
        <v>#DIV/0!</v>
      </c>
      <c r="I376" s="95">
        <f ca="1">+COUNT(INDIRECT(A376))</f>
        <v>0</v>
      </c>
    </row>
    <row r="383" spans="1:25" x14ac:dyDescent="0.35">
      <c r="E383" s="140"/>
    </row>
    <row r="385" spans="1:19" x14ac:dyDescent="0.35">
      <c r="A385" s="237"/>
      <c r="I385" s="82"/>
      <c r="J385" s="82"/>
      <c r="K385" s="82"/>
      <c r="L385" s="82"/>
      <c r="M385" s="82"/>
      <c r="N385" s="82"/>
      <c r="O385" s="82"/>
      <c r="P385" s="82"/>
      <c r="Q385" s="82"/>
      <c r="R385" s="82"/>
      <c r="S385" s="82"/>
    </row>
    <row r="386" spans="1:19" x14ac:dyDescent="0.35">
      <c r="A386" s="237"/>
      <c r="I386" s="82"/>
      <c r="J386" s="82"/>
      <c r="K386" s="82"/>
      <c r="L386" s="82"/>
      <c r="M386" s="82"/>
      <c r="N386" s="82"/>
      <c r="O386" s="82"/>
      <c r="P386" s="82"/>
      <c r="Q386" s="82"/>
      <c r="R386" s="82"/>
      <c r="S386" s="82"/>
    </row>
    <row r="387" spans="1:19" x14ac:dyDescent="0.35">
      <c r="A387" s="237"/>
      <c r="I387" s="82"/>
      <c r="J387" s="82"/>
      <c r="K387" s="82"/>
      <c r="L387" s="82"/>
      <c r="M387" s="82"/>
      <c r="N387" s="82"/>
      <c r="O387" s="82"/>
      <c r="P387" s="82"/>
      <c r="Q387" s="82"/>
      <c r="R387" s="82"/>
      <c r="S387" s="82"/>
    </row>
    <row r="388" spans="1:19" x14ac:dyDescent="0.35">
      <c r="A388" s="149"/>
      <c r="I388" s="149"/>
      <c r="J388" s="149"/>
      <c r="K388" s="149"/>
      <c r="L388" s="149"/>
      <c r="M388" s="149"/>
      <c r="N388" s="149"/>
      <c r="O388" s="149"/>
      <c r="P388" s="149"/>
      <c r="Q388" s="149"/>
      <c r="R388" s="149"/>
      <c r="S388" s="149"/>
    </row>
    <row r="389" spans="1:19" x14ac:dyDescent="0.35">
      <c r="A389" s="96"/>
      <c r="J389" s="96"/>
      <c r="K389" s="149"/>
    </row>
    <row r="390" spans="1:19" x14ac:dyDescent="0.35">
      <c r="A390" s="161"/>
      <c r="J390" s="168"/>
      <c r="K390" s="149"/>
      <c r="L390" s="161"/>
    </row>
    <row r="391" spans="1:19" x14ac:dyDescent="0.35">
      <c r="A391" s="161"/>
      <c r="J391" s="168"/>
      <c r="K391" s="149"/>
      <c r="L391" s="161"/>
    </row>
    <row r="393" spans="1:19" ht="21" x14ac:dyDescent="0.5">
      <c r="A393" s="161" t="s">
        <v>622</v>
      </c>
      <c r="B393" s="180" t="s">
        <v>621</v>
      </c>
      <c r="C393" s="179"/>
      <c r="D393" s="179"/>
      <c r="E393" s="179"/>
      <c r="F393" s="179"/>
      <c r="G393" s="179"/>
      <c r="H393" s="179"/>
      <c r="I393" s="179"/>
      <c r="J393" s="179"/>
      <c r="K393" s="179"/>
      <c r="L393" s="179"/>
      <c r="M393" s="179"/>
      <c r="N393" s="179"/>
      <c r="O393" s="179"/>
      <c r="P393" s="179"/>
      <c r="Q393" s="179"/>
      <c r="R393" s="179"/>
      <c r="S393" s="179"/>
    </row>
    <row r="402" spans="1:24" x14ac:dyDescent="0.35">
      <c r="A402" s="133"/>
    </row>
    <row r="404" spans="1:24" x14ac:dyDescent="0.35">
      <c r="B404" s="147" t="s">
        <v>597</v>
      </c>
      <c r="C404" s="71"/>
      <c r="D404" s="140" t="s">
        <v>264</v>
      </c>
      <c r="E404" s="71" t="s">
        <v>267</v>
      </c>
      <c r="F404" s="71" t="s">
        <v>270</v>
      </c>
      <c r="G404" s="140" t="s">
        <v>265</v>
      </c>
      <c r="H404" s="71" t="s">
        <v>262</v>
      </c>
    </row>
    <row r="405" spans="1:24" x14ac:dyDescent="0.35">
      <c r="B405" s="76"/>
      <c r="C405" s="75" t="s">
        <v>626</v>
      </c>
      <c r="D405" s="75" t="s">
        <v>264</v>
      </c>
      <c r="E405" s="75" t="s">
        <v>263</v>
      </c>
      <c r="F405" s="75" t="s">
        <v>266</v>
      </c>
      <c r="G405" s="75" t="s">
        <v>265</v>
      </c>
      <c r="H405" s="75"/>
      <c r="I405" s="95">
        <f ca="1">+MAX(I406:I408)</f>
        <v>15</v>
      </c>
      <c r="T405" s="179"/>
      <c r="U405" s="179"/>
      <c r="V405" s="179"/>
      <c r="W405" s="179"/>
      <c r="X405" s="179"/>
    </row>
    <row r="406" spans="1:24" s="78" customFormat="1" x14ac:dyDescent="0.35">
      <c r="A406" s="133" t="str">
        <f ca="1">+HLOOKUP($C406&amp;" "&amp;$C$405,Consolidado!$A$8:$WX$10,2,FALSE)</f>
        <v>Consolidado!FR11:FR25</v>
      </c>
      <c r="B406" s="71"/>
      <c r="C406" s="145" t="s">
        <v>600</v>
      </c>
      <c r="D406" s="142">
        <f ca="1">QUARTILE(INDIRECT($A406),4)</f>
        <v>0</v>
      </c>
      <c r="E406" s="142">
        <f ca="1">QUARTILE(INDIRECT($A406),3)</f>
        <v>0</v>
      </c>
      <c r="F406" s="142">
        <f ca="1">QUARTILE(INDIRECT($A406),1)</f>
        <v>0</v>
      </c>
      <c r="G406" s="142">
        <f ca="1">QUARTILE(INDIRECT($A406),0)</f>
        <v>0</v>
      </c>
      <c r="H406" s="142">
        <f ca="1">+AVERAGE(INDIRECT($A406))</f>
        <v>0</v>
      </c>
      <c r="I406" s="95">
        <f ca="1">+COUNT(INDIRECT(A406))</f>
        <v>15</v>
      </c>
      <c r="J406" s="69"/>
      <c r="K406" s="69"/>
      <c r="L406" s="69"/>
      <c r="M406" s="69"/>
      <c r="N406" s="69"/>
      <c r="O406" s="69"/>
      <c r="P406" s="69"/>
      <c r="Q406" s="69"/>
      <c r="R406" s="69"/>
      <c r="S406" s="69"/>
      <c r="T406" s="82"/>
      <c r="U406" s="82"/>
      <c r="V406" s="82"/>
      <c r="W406" s="82"/>
      <c r="X406" s="82"/>
    </row>
    <row r="407" spans="1:24" s="78" customFormat="1" x14ac:dyDescent="0.35">
      <c r="A407" s="133" t="str">
        <f ca="1">+HLOOKUP($C407&amp;" "&amp;$C$405,Consolidado!$A$8:$WX$10,2,FALSE)</f>
        <v>Consolidado!FS11:FS25</v>
      </c>
      <c r="B407" s="71"/>
      <c r="C407" s="145" t="s">
        <v>601</v>
      </c>
      <c r="D407" s="142">
        <f ca="1">QUARTILE(INDIRECT($A407),4)</f>
        <v>0</v>
      </c>
      <c r="E407" s="142">
        <f ca="1">QUARTILE(INDIRECT($A407),3)</f>
        <v>0</v>
      </c>
      <c r="F407" s="142">
        <f ca="1">QUARTILE(INDIRECT($A407),1)</f>
        <v>0</v>
      </c>
      <c r="G407" s="142">
        <f ca="1">QUARTILE(INDIRECT($A407),0)</f>
        <v>0</v>
      </c>
      <c r="H407" s="142">
        <f ca="1">+AVERAGE(INDIRECT($A407))</f>
        <v>0</v>
      </c>
      <c r="I407" s="95">
        <f ca="1">+COUNT(INDIRECT(A407))</f>
        <v>15</v>
      </c>
      <c r="J407" s="69"/>
      <c r="K407" s="69"/>
      <c r="L407" s="69"/>
      <c r="M407" s="69"/>
      <c r="N407" s="69"/>
      <c r="O407" s="69"/>
      <c r="P407" s="69"/>
      <c r="Q407" s="69"/>
      <c r="R407" s="69"/>
      <c r="S407" s="69"/>
      <c r="T407" s="82"/>
      <c r="U407" s="82"/>
      <c r="V407" s="82"/>
      <c r="W407" s="82"/>
      <c r="X407" s="82"/>
    </row>
    <row r="408" spans="1:24" s="78" customFormat="1" x14ac:dyDescent="0.35">
      <c r="A408" s="133" t="str">
        <f ca="1">+HLOOKUP($C408&amp;" "&amp;$C$405,Consolidado!$A$8:$WX$10,2,FALSE)</f>
        <v>Consolidado!FT11:FT25</v>
      </c>
      <c r="B408" s="71"/>
      <c r="C408" s="328" t="s">
        <v>519</v>
      </c>
      <c r="D408" s="100" t="e">
        <f ca="1">QUARTILE(INDIRECT($A408),4)</f>
        <v>#NUM!</v>
      </c>
      <c r="E408" s="100" t="e">
        <f ca="1">QUARTILE(INDIRECT($A408),3)</f>
        <v>#NUM!</v>
      </c>
      <c r="F408" s="100" t="e">
        <f ca="1">QUARTILE(INDIRECT($A408),1)</f>
        <v>#NUM!</v>
      </c>
      <c r="G408" s="100" t="e">
        <f ca="1">QUARTILE(INDIRECT($A408),0)</f>
        <v>#NUM!</v>
      </c>
      <c r="H408" s="100" t="e">
        <f ca="1">+AVERAGE(INDIRECT($A408))</f>
        <v>#DIV/0!</v>
      </c>
      <c r="I408" s="95">
        <f ca="1">+COUNT(INDIRECT(A408))</f>
        <v>0</v>
      </c>
      <c r="J408" s="69"/>
      <c r="K408" s="69"/>
      <c r="L408" s="69"/>
      <c r="M408" s="69"/>
      <c r="N408" s="69"/>
      <c r="O408" s="69"/>
      <c r="P408" s="69"/>
      <c r="Q408" s="69"/>
      <c r="R408" s="69"/>
      <c r="S408" s="69"/>
      <c r="T408" s="82"/>
      <c r="U408" s="82"/>
      <c r="V408" s="82"/>
      <c r="W408" s="82"/>
      <c r="X408" s="82"/>
    </row>
    <row r="409" spans="1:24" s="78" customFormat="1" x14ac:dyDescent="0.35">
      <c r="A409" s="133" t="str">
        <f ca="1">+HLOOKUP($C409&amp;" "&amp;$C$405,Consolidado!$A$8:$WX$10,2,FALSE)</f>
        <v>Consolidado!FU11:FU25</v>
      </c>
      <c r="B409" s="76"/>
      <c r="C409" s="327" t="s">
        <v>551</v>
      </c>
      <c r="D409" s="110" t="e">
        <f ca="1">QUARTILE(INDIRECT($A409),4)</f>
        <v>#DIV/0!</v>
      </c>
      <c r="E409" s="110" t="e">
        <f ca="1">QUARTILE(INDIRECT($A409),3)</f>
        <v>#DIV/0!</v>
      </c>
      <c r="F409" s="110" t="e">
        <f ca="1">QUARTILE(INDIRECT($A409),1)</f>
        <v>#DIV/0!</v>
      </c>
      <c r="G409" s="110" t="e">
        <f ca="1">QUARTILE(INDIRECT($A409),0)</f>
        <v>#DIV/0!</v>
      </c>
      <c r="H409" s="110" t="e">
        <f ca="1">+AVERAGE(INDIRECT($A409))</f>
        <v>#DIV/0!</v>
      </c>
      <c r="I409" s="95">
        <f ca="1">+COUNT(INDIRECT(A409))</f>
        <v>0</v>
      </c>
      <c r="J409" s="69"/>
      <c r="K409" s="69"/>
      <c r="L409" s="69"/>
      <c r="M409" s="69"/>
      <c r="N409" s="69"/>
      <c r="O409" s="69"/>
      <c r="P409" s="69"/>
      <c r="Q409" s="69"/>
      <c r="R409" s="69"/>
      <c r="S409" s="69"/>
      <c r="T409" s="82"/>
      <c r="U409" s="82"/>
      <c r="V409" s="82"/>
      <c r="W409" s="82"/>
      <c r="X409" s="82"/>
    </row>
    <row r="416" spans="1:24" x14ac:dyDescent="0.35">
      <c r="E416" s="140"/>
    </row>
    <row r="418" spans="1:19" x14ac:dyDescent="0.35">
      <c r="A418" s="237"/>
      <c r="I418" s="82"/>
      <c r="J418" s="82"/>
      <c r="K418" s="82"/>
      <c r="L418" s="82"/>
      <c r="M418" s="82"/>
      <c r="N418" s="82"/>
      <c r="O418" s="82"/>
      <c r="P418" s="82"/>
      <c r="Q418" s="82"/>
      <c r="R418" s="82"/>
      <c r="S418" s="82"/>
    </row>
    <row r="419" spans="1:19" x14ac:dyDescent="0.35">
      <c r="A419" s="237"/>
      <c r="I419" s="82"/>
      <c r="J419" s="82"/>
      <c r="K419" s="82"/>
      <c r="L419" s="82"/>
      <c r="M419" s="82"/>
      <c r="N419" s="82"/>
      <c r="O419" s="82"/>
      <c r="P419" s="82"/>
      <c r="Q419" s="82"/>
      <c r="R419" s="82"/>
      <c r="S419" s="82"/>
    </row>
    <row r="420" spans="1:19" x14ac:dyDescent="0.35">
      <c r="A420" s="237"/>
      <c r="I420" s="82"/>
      <c r="J420" s="82"/>
      <c r="K420" s="82"/>
      <c r="L420" s="82"/>
      <c r="M420" s="82"/>
      <c r="N420" s="82"/>
      <c r="O420" s="82"/>
      <c r="P420" s="82"/>
      <c r="Q420" s="82"/>
      <c r="R420" s="82"/>
      <c r="S420" s="82"/>
    </row>
    <row r="421" spans="1:19" x14ac:dyDescent="0.35">
      <c r="A421" s="149"/>
      <c r="I421" s="149"/>
      <c r="J421" s="149"/>
      <c r="K421" s="149"/>
      <c r="L421" s="149"/>
      <c r="M421" s="149"/>
      <c r="N421" s="149"/>
      <c r="O421" s="149"/>
      <c r="P421" s="149"/>
      <c r="Q421" s="149"/>
      <c r="R421" s="149"/>
      <c r="S421" s="149"/>
    </row>
    <row r="422" spans="1:19" x14ac:dyDescent="0.35">
      <c r="A422" s="96"/>
      <c r="J422" s="96"/>
      <c r="K422" s="149"/>
    </row>
    <row r="423" spans="1:19" x14ac:dyDescent="0.35">
      <c r="A423" s="161"/>
      <c r="J423" s="168"/>
      <c r="K423" s="149"/>
      <c r="L423" s="161"/>
    </row>
    <row r="424" spans="1:19" x14ac:dyDescent="0.35">
      <c r="A424" s="161"/>
      <c r="J424" s="168"/>
      <c r="K424" s="149"/>
      <c r="L424" s="161"/>
    </row>
    <row r="443" spans="15:15" ht="16.5" customHeight="1" x14ac:dyDescent="0.35"/>
    <row r="444" spans="15:15" ht="16.5" customHeight="1" x14ac:dyDescent="0.35"/>
    <row r="445" spans="15:15" ht="16.5" customHeight="1" x14ac:dyDescent="0.35"/>
    <row r="448" spans="15:15" x14ac:dyDescent="0.35">
      <c r="O448" s="176"/>
    </row>
    <row r="449" spans="15:15" x14ac:dyDescent="0.35">
      <c r="O449" s="176"/>
    </row>
    <row r="450" spans="15:15" x14ac:dyDescent="0.35">
      <c r="O450" s="176"/>
    </row>
    <row r="451" spans="15:15" x14ac:dyDescent="0.35">
      <c r="O451" s="176"/>
    </row>
    <row r="452" spans="15:15" x14ac:dyDescent="0.35">
      <c r="O452" s="176"/>
    </row>
    <row r="453" spans="15:15" x14ac:dyDescent="0.35">
      <c r="O453" s="176"/>
    </row>
    <row r="454" spans="15:15" ht="16.5" customHeight="1" x14ac:dyDescent="0.35"/>
    <row r="486" spans="2:12" x14ac:dyDescent="0.35">
      <c r="J486" s="96"/>
      <c r="K486" s="96"/>
      <c r="L486" s="77"/>
    </row>
    <row r="487" spans="2:12" x14ac:dyDescent="0.35">
      <c r="I487" s="74"/>
    </row>
    <row r="488" spans="2:12" x14ac:dyDescent="0.35">
      <c r="I488" s="74"/>
    </row>
    <row r="489" spans="2:12" x14ac:dyDescent="0.35">
      <c r="I489" s="74"/>
    </row>
    <row r="490" spans="2:12" x14ac:dyDescent="0.35">
      <c r="I490" s="74"/>
    </row>
    <row r="491" spans="2:12" x14ac:dyDescent="0.35">
      <c r="I491" s="74"/>
    </row>
    <row r="492" spans="2:12" x14ac:dyDescent="0.35">
      <c r="I492" s="74"/>
    </row>
    <row r="494" spans="2:12" x14ac:dyDescent="0.35">
      <c r="B494" s="96"/>
    </row>
  </sheetData>
  <dataConsolidate/>
  <dataValidations count="1">
    <dataValidation type="list" allowBlank="1" showInputMessage="1" showErrorMessage="1" sqref="D77">
      <formula1>modeloproductivo</formula1>
    </dataValidation>
  </dataValidation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dimension ref="A1:AL185"/>
  <sheetViews>
    <sheetView showGridLines="0" topLeftCell="C1" zoomScale="50" zoomScaleNormal="50" workbookViewId="0">
      <selection activeCell="O18" sqref="O18:O22"/>
    </sheetView>
  </sheetViews>
  <sheetFormatPr baseColWidth="10" defaultColWidth="11.453125" defaultRowHeight="14" x14ac:dyDescent="0.3"/>
  <cols>
    <col min="1" max="1" width="37.453125" style="34" bestFit="1" customWidth="1"/>
    <col min="2" max="2" width="32.7265625" style="34" customWidth="1"/>
    <col min="3" max="3" width="11.453125" style="34"/>
    <col min="4" max="4" width="13.54296875" style="34" customWidth="1"/>
    <col min="5" max="5" width="11.453125" style="34"/>
    <col min="6" max="6" width="16.7265625" style="34" customWidth="1"/>
    <col min="7" max="16384" width="11.453125" style="34"/>
  </cols>
  <sheetData>
    <row r="1" spans="1:38" x14ac:dyDescent="0.3">
      <c r="A1" s="34" t="s">
        <v>95</v>
      </c>
    </row>
    <row r="2" spans="1:38" ht="15.75" customHeight="1" thickBot="1" x14ac:dyDescent="0.35"/>
    <row r="3" spans="1:38" ht="15.75" customHeight="1" thickBot="1" x14ac:dyDescent="0.4">
      <c r="A3" s="34" t="s">
        <v>3</v>
      </c>
      <c r="F3" s="35" t="s">
        <v>96</v>
      </c>
      <c r="J3" s="35" t="s">
        <v>97</v>
      </c>
      <c r="K3" s="34" t="s">
        <v>98</v>
      </c>
      <c r="M3" s="34" t="s">
        <v>99</v>
      </c>
      <c r="O3" s="35" t="s">
        <v>65</v>
      </c>
      <c r="P3" s="35"/>
      <c r="S3" s="35" t="s">
        <v>100</v>
      </c>
      <c r="V3" s="34" t="s">
        <v>55</v>
      </c>
      <c r="AA3" s="50" t="s">
        <v>88</v>
      </c>
      <c r="AB3" s="51" t="s">
        <v>89</v>
      </c>
      <c r="AD3">
        <v>1</v>
      </c>
      <c r="AE3" t="s">
        <v>204</v>
      </c>
      <c r="AF3" t="s">
        <v>204</v>
      </c>
      <c r="AG3" t="s">
        <v>290</v>
      </c>
      <c r="AH3" t="s">
        <v>316</v>
      </c>
      <c r="AI3" t="s">
        <v>342</v>
      </c>
      <c r="AJ3" t="s">
        <v>365</v>
      </c>
      <c r="AK3" t="s">
        <v>387</v>
      </c>
      <c r="AL3" t="s">
        <v>407</v>
      </c>
    </row>
    <row r="4" spans="1:38" ht="15.75" customHeight="1" thickBot="1" x14ac:dyDescent="0.4">
      <c r="G4" s="34" t="s">
        <v>102</v>
      </c>
      <c r="I4" s="34" t="s">
        <v>103</v>
      </c>
      <c r="J4" s="36" t="s">
        <v>90</v>
      </c>
      <c r="K4" s="37">
        <v>0</v>
      </c>
      <c r="L4" s="37">
        <v>4</v>
      </c>
      <c r="M4" s="38">
        <v>7.0000000000000007E-2</v>
      </c>
      <c r="O4" s="34" t="s">
        <v>104</v>
      </c>
      <c r="S4" s="34" t="s">
        <v>105</v>
      </c>
      <c r="V4" s="162" t="s">
        <v>106</v>
      </c>
      <c r="AA4" s="52" t="s">
        <v>90</v>
      </c>
      <c r="AB4" s="53">
        <v>7.0000000000000007E-2</v>
      </c>
      <c r="AD4">
        <v>2</v>
      </c>
      <c r="AE4" t="s">
        <v>205</v>
      </c>
      <c r="AF4" t="s">
        <v>205</v>
      </c>
      <c r="AG4" t="s">
        <v>291</v>
      </c>
      <c r="AH4" t="s">
        <v>317</v>
      </c>
      <c r="AI4" t="s">
        <v>343</v>
      </c>
      <c r="AJ4" t="s">
        <v>249</v>
      </c>
      <c r="AK4" t="s">
        <v>388</v>
      </c>
      <c r="AL4" t="s">
        <v>408</v>
      </c>
    </row>
    <row r="5" spans="1:38" ht="15.75" customHeight="1" thickBot="1" x14ac:dyDescent="0.4">
      <c r="B5" s="34" t="s">
        <v>101</v>
      </c>
      <c r="C5" s="34">
        <f ca="1">+COUNTIF(Consolidado!J11:J11,Gráficos!$C14)</f>
        <v>0</v>
      </c>
      <c r="G5" s="34" t="s">
        <v>108</v>
      </c>
      <c r="J5" s="39" t="s">
        <v>91</v>
      </c>
      <c r="K5" s="40">
        <v>4</v>
      </c>
      <c r="L5" s="40">
        <v>8</v>
      </c>
      <c r="M5" s="41">
        <v>0.05</v>
      </c>
      <c r="O5" s="34" t="s">
        <v>109</v>
      </c>
      <c r="S5" s="34" t="s">
        <v>110</v>
      </c>
      <c r="V5" s="162" t="s">
        <v>111</v>
      </c>
      <c r="AA5" s="52" t="s">
        <v>91</v>
      </c>
      <c r="AB5" s="53">
        <v>0.05</v>
      </c>
      <c r="AD5">
        <v>3</v>
      </c>
      <c r="AE5" t="s">
        <v>197</v>
      </c>
      <c r="AF5" t="s">
        <v>197</v>
      </c>
      <c r="AG5" t="s">
        <v>292</v>
      </c>
      <c r="AH5" t="s">
        <v>318</v>
      </c>
      <c r="AI5" t="s">
        <v>195</v>
      </c>
      <c r="AJ5" t="s">
        <v>247</v>
      </c>
      <c r="AK5" t="s">
        <v>238</v>
      </c>
      <c r="AL5" t="s">
        <v>409</v>
      </c>
    </row>
    <row r="6" spans="1:38" ht="15.75" customHeight="1" thickBot="1" x14ac:dyDescent="0.4">
      <c r="B6" s="34" t="s">
        <v>107</v>
      </c>
      <c r="C6" s="34" t="e">
        <f>+COUNTIF(Consolidado!#REF!,Gráficos!$C16)</f>
        <v>#REF!</v>
      </c>
      <c r="G6" s="34" t="s">
        <v>113</v>
      </c>
      <c r="J6" s="39" t="s">
        <v>92</v>
      </c>
      <c r="K6" s="40">
        <v>8</v>
      </c>
      <c r="L6" s="40">
        <v>16</v>
      </c>
      <c r="M6" s="41">
        <v>0.03</v>
      </c>
      <c r="O6" s="34" t="s">
        <v>114</v>
      </c>
      <c r="S6" s="34" t="s">
        <v>115</v>
      </c>
      <c r="V6" s="162" t="s">
        <v>116</v>
      </c>
      <c r="AA6" s="52" t="s">
        <v>92</v>
      </c>
      <c r="AB6" s="53">
        <v>0.03</v>
      </c>
      <c r="AD6">
        <v>4</v>
      </c>
      <c r="AE6" t="s">
        <v>206</v>
      </c>
      <c r="AF6" t="s">
        <v>206</v>
      </c>
      <c r="AG6" t="s">
        <v>293</v>
      </c>
      <c r="AH6" t="s">
        <v>319</v>
      </c>
      <c r="AI6" t="s">
        <v>344</v>
      </c>
      <c r="AJ6" t="s">
        <v>366</v>
      </c>
      <c r="AK6" t="s">
        <v>239</v>
      </c>
      <c r="AL6" t="s">
        <v>410</v>
      </c>
    </row>
    <row r="7" spans="1:38" ht="15.75" customHeight="1" thickBot="1" x14ac:dyDescent="0.4">
      <c r="B7" s="34" t="s">
        <v>112</v>
      </c>
      <c r="C7" s="34" t="e">
        <f>+COUNTIF(Consolidado!#REF!,Gráficos!$C17)</f>
        <v>#REF!</v>
      </c>
      <c r="G7" s="34" t="s">
        <v>118</v>
      </c>
      <c r="J7" s="39" t="s">
        <v>93</v>
      </c>
      <c r="K7" s="40">
        <v>16</v>
      </c>
      <c r="L7" s="40">
        <v>24</v>
      </c>
      <c r="M7" s="41">
        <v>0.02</v>
      </c>
      <c r="O7" s="34" t="s">
        <v>119</v>
      </c>
      <c r="S7" s="34" t="s">
        <v>120</v>
      </c>
      <c r="V7" s="162" t="s">
        <v>121</v>
      </c>
      <c r="AA7" s="52" t="s">
        <v>93</v>
      </c>
      <c r="AB7" s="53">
        <v>0.02</v>
      </c>
      <c r="AD7">
        <v>5</v>
      </c>
      <c r="AE7" t="s">
        <v>207</v>
      </c>
      <c r="AF7" t="s">
        <v>207</v>
      </c>
      <c r="AG7" t="s">
        <v>294</v>
      </c>
      <c r="AH7" t="s">
        <v>320</v>
      </c>
      <c r="AI7" t="s">
        <v>345</v>
      </c>
      <c r="AJ7" t="s">
        <v>241</v>
      </c>
      <c r="AK7" t="s">
        <v>389</v>
      </c>
      <c r="AL7" t="s">
        <v>411</v>
      </c>
    </row>
    <row r="8" spans="1:38" ht="15.75" customHeight="1" thickBot="1" x14ac:dyDescent="0.4">
      <c r="B8" s="34" t="s">
        <v>117</v>
      </c>
      <c r="C8" s="34" t="e">
        <f>+COUNTIF(Consolidado!#REF!,Gráficos!$C18)</f>
        <v>#REF!</v>
      </c>
      <c r="J8" s="42" t="s">
        <v>94</v>
      </c>
      <c r="K8" s="43">
        <v>24</v>
      </c>
      <c r="L8" s="44"/>
      <c r="M8" s="45">
        <v>0</v>
      </c>
      <c r="N8" s="46"/>
      <c r="O8" s="34" t="s">
        <v>122</v>
      </c>
      <c r="S8" s="34" t="s">
        <v>123</v>
      </c>
      <c r="V8" s="162" t="s">
        <v>593</v>
      </c>
      <c r="AA8" s="52" t="s">
        <v>94</v>
      </c>
      <c r="AB8" s="53">
        <v>0</v>
      </c>
      <c r="AD8">
        <v>6</v>
      </c>
      <c r="AE8" t="s">
        <v>208</v>
      </c>
      <c r="AF8" t="s">
        <v>208</v>
      </c>
      <c r="AG8" t="s">
        <v>295</v>
      </c>
      <c r="AH8" t="s">
        <v>321</v>
      </c>
      <c r="AI8" t="s">
        <v>346</v>
      </c>
      <c r="AJ8" t="s">
        <v>367</v>
      </c>
      <c r="AK8" t="s">
        <v>243</v>
      </c>
      <c r="AL8" t="s">
        <v>412</v>
      </c>
    </row>
    <row r="9" spans="1:38" ht="15.75" customHeight="1" x14ac:dyDescent="0.35">
      <c r="B9" s="34" t="s">
        <v>11</v>
      </c>
      <c r="C9" s="34" t="e">
        <f>+COUNTIF(Consolidado!#REF!,Gráficos!$C19)</f>
        <v>#REF!</v>
      </c>
      <c r="N9" s="46"/>
      <c r="O9" s="34" t="s">
        <v>125</v>
      </c>
      <c r="S9" s="34" t="s">
        <v>126</v>
      </c>
      <c r="AD9">
        <v>7</v>
      </c>
      <c r="AE9" t="s">
        <v>209</v>
      </c>
      <c r="AF9" t="s">
        <v>209</v>
      </c>
      <c r="AG9" t="s">
        <v>296</v>
      </c>
      <c r="AH9" t="s">
        <v>322</v>
      </c>
      <c r="AI9" t="s">
        <v>347</v>
      </c>
      <c r="AJ9" t="s">
        <v>368</v>
      </c>
      <c r="AK9" t="s">
        <v>390</v>
      </c>
      <c r="AL9" t="s">
        <v>413</v>
      </c>
    </row>
    <row r="10" spans="1:38" ht="13.5" customHeight="1" x14ac:dyDescent="0.35">
      <c r="B10" s="34" t="s">
        <v>124</v>
      </c>
      <c r="C10" s="34" t="e">
        <f>+COUNTIF(Consolidado!#REF!,Gráficos!$C20)</f>
        <v>#REF!</v>
      </c>
      <c r="N10" s="46"/>
      <c r="S10" s="34" t="s">
        <v>127</v>
      </c>
      <c r="AD10">
        <v>8</v>
      </c>
      <c r="AE10" t="s">
        <v>210</v>
      </c>
      <c r="AF10" s="62" t="s">
        <v>210</v>
      </c>
      <c r="AG10" t="s">
        <v>297</v>
      </c>
      <c r="AH10" t="s">
        <v>323</v>
      </c>
      <c r="AI10" t="s">
        <v>348</v>
      </c>
      <c r="AJ10" t="s">
        <v>369</v>
      </c>
      <c r="AK10" t="s">
        <v>391</v>
      </c>
      <c r="AL10" t="s">
        <v>414</v>
      </c>
    </row>
    <row r="11" spans="1:38" ht="14.5" x14ac:dyDescent="0.35">
      <c r="C11" s="34" t="e">
        <f>+COUNTIF(Consolidado!#REF!,Gráficos!$C21)</f>
        <v>#REF!</v>
      </c>
      <c r="N11" s="46"/>
      <c r="S11" s="34" t="s">
        <v>128</v>
      </c>
      <c r="AD11">
        <v>9</v>
      </c>
      <c r="AE11" t="s">
        <v>211</v>
      </c>
      <c r="AF11" s="62" t="s">
        <v>211</v>
      </c>
      <c r="AG11" t="s">
        <v>298</v>
      </c>
      <c r="AH11" t="s">
        <v>324</v>
      </c>
      <c r="AI11" t="s">
        <v>349</v>
      </c>
      <c r="AJ11" t="s">
        <v>370</v>
      </c>
      <c r="AK11" t="s">
        <v>392</v>
      </c>
      <c r="AL11" t="s">
        <v>415</v>
      </c>
    </row>
    <row r="12" spans="1:38" ht="14.5" x14ac:dyDescent="0.35">
      <c r="A12" s="34" t="s">
        <v>129</v>
      </c>
      <c r="C12" s="34" t="e">
        <f>+COUNTIF(Consolidado!#REF!,Gráficos!$C22)</f>
        <v>#REF!</v>
      </c>
      <c r="F12" s="35" t="s">
        <v>51</v>
      </c>
      <c r="N12" s="46"/>
      <c r="S12" s="34" t="s">
        <v>130</v>
      </c>
      <c r="AD12">
        <v>10</v>
      </c>
      <c r="AE12" t="s">
        <v>212</v>
      </c>
      <c r="AF12" s="62" t="s">
        <v>212</v>
      </c>
      <c r="AG12" t="s">
        <v>299</v>
      </c>
      <c r="AH12" t="s">
        <v>325</v>
      </c>
      <c r="AI12" t="s">
        <v>350</v>
      </c>
      <c r="AJ12" t="s">
        <v>244</v>
      </c>
      <c r="AK12" t="s">
        <v>393</v>
      </c>
      <c r="AL12" t="s">
        <v>416</v>
      </c>
    </row>
    <row r="13" spans="1:38" ht="14.5" x14ac:dyDescent="0.35">
      <c r="C13" s="34" t="e">
        <f>+COUNTIF(Consolidado!#REF!,Gráficos!#REF!)</f>
        <v>#REF!</v>
      </c>
      <c r="G13" s="34">
        <v>15</v>
      </c>
      <c r="N13" s="46"/>
      <c r="S13" s="34" t="s">
        <v>132</v>
      </c>
      <c r="AD13">
        <v>11</v>
      </c>
      <c r="AE13" t="s">
        <v>213</v>
      </c>
      <c r="AF13" s="62" t="s">
        <v>213</v>
      </c>
      <c r="AG13" t="s">
        <v>300</v>
      </c>
      <c r="AH13" t="s">
        <v>326</v>
      </c>
      <c r="AI13" t="s">
        <v>351</v>
      </c>
      <c r="AJ13" t="s">
        <v>371</v>
      </c>
      <c r="AK13" t="s">
        <v>394</v>
      </c>
      <c r="AL13" t="s">
        <v>417</v>
      </c>
    </row>
    <row r="14" spans="1:38" ht="14.5" x14ac:dyDescent="0.35">
      <c r="B14" s="34" t="s">
        <v>131</v>
      </c>
      <c r="C14" s="34" t="e">
        <f>+COUNTIF(Consolidado!#REF!,Gráficos!#REF!)</f>
        <v>#REF!</v>
      </c>
      <c r="G14" s="34">
        <v>18</v>
      </c>
      <c r="N14" s="46"/>
      <c r="S14" s="34" t="s">
        <v>133</v>
      </c>
      <c r="AD14">
        <v>12</v>
      </c>
      <c r="AE14" t="s">
        <v>214</v>
      </c>
      <c r="AF14" s="62" t="s">
        <v>214</v>
      </c>
      <c r="AG14" t="s">
        <v>301</v>
      </c>
      <c r="AH14" t="s">
        <v>327</v>
      </c>
      <c r="AI14" t="s">
        <v>352</v>
      </c>
      <c r="AJ14" t="s">
        <v>372</v>
      </c>
      <c r="AK14" t="s">
        <v>395</v>
      </c>
      <c r="AL14" t="s">
        <v>418</v>
      </c>
    </row>
    <row r="15" spans="1:38" ht="14.5" x14ac:dyDescent="0.35">
      <c r="B15" s="34" t="s">
        <v>134</v>
      </c>
      <c r="C15" s="34" t="s">
        <v>135</v>
      </c>
      <c r="G15" s="34">
        <v>22</v>
      </c>
      <c r="N15" s="46"/>
      <c r="S15" s="34" t="s">
        <v>136</v>
      </c>
      <c r="AD15">
        <v>13</v>
      </c>
      <c r="AE15" t="s">
        <v>215</v>
      </c>
      <c r="AF15" s="62" t="s">
        <v>215</v>
      </c>
      <c r="AG15" t="s">
        <v>302</v>
      </c>
      <c r="AH15" t="s">
        <v>328</v>
      </c>
      <c r="AI15" t="s">
        <v>353</v>
      </c>
      <c r="AJ15" t="s">
        <v>373</v>
      </c>
      <c r="AK15" t="s">
        <v>396</v>
      </c>
      <c r="AL15" t="s">
        <v>245</v>
      </c>
    </row>
    <row r="16" spans="1:38" ht="14.5" x14ac:dyDescent="0.35">
      <c r="B16" s="34" t="s">
        <v>137</v>
      </c>
      <c r="C16" s="34" t="s">
        <v>138</v>
      </c>
      <c r="G16" s="34">
        <v>24</v>
      </c>
      <c r="N16" s="46"/>
      <c r="AD16">
        <v>14</v>
      </c>
      <c r="AE16" t="s">
        <v>216</v>
      </c>
      <c r="AF16" s="62" t="s">
        <v>216</v>
      </c>
      <c r="AG16" t="s">
        <v>303</v>
      </c>
      <c r="AH16" t="s">
        <v>329</v>
      </c>
      <c r="AI16" t="s">
        <v>198</v>
      </c>
      <c r="AJ16" t="s">
        <v>374</v>
      </c>
      <c r="AK16" t="s">
        <v>397</v>
      </c>
      <c r="AL16" t="s">
        <v>419</v>
      </c>
    </row>
    <row r="17" spans="2:38" ht="14.5" x14ac:dyDescent="0.35">
      <c r="B17" s="34" t="s">
        <v>139</v>
      </c>
      <c r="C17" s="34" t="s">
        <v>140</v>
      </c>
      <c r="G17" s="34" t="s">
        <v>276</v>
      </c>
      <c r="N17" s="46"/>
      <c r="O17" s="35" t="s">
        <v>48</v>
      </c>
      <c r="AD17">
        <v>15</v>
      </c>
      <c r="AE17" t="s">
        <v>217</v>
      </c>
      <c r="AF17" s="62" t="s">
        <v>217</v>
      </c>
      <c r="AG17" t="s">
        <v>304</v>
      </c>
      <c r="AH17" t="s">
        <v>330</v>
      </c>
      <c r="AI17" t="s">
        <v>246</v>
      </c>
      <c r="AJ17" t="s">
        <v>375</v>
      </c>
      <c r="AK17" t="s">
        <v>398</v>
      </c>
      <c r="AL17" t="s">
        <v>420</v>
      </c>
    </row>
    <row r="18" spans="2:38" ht="14.5" x14ac:dyDescent="0.35">
      <c r="B18" s="34" t="s">
        <v>141</v>
      </c>
      <c r="C18" s="34" t="s">
        <v>142</v>
      </c>
      <c r="N18" s="46"/>
      <c r="O18" s="34" t="s">
        <v>654</v>
      </c>
      <c r="AD18">
        <v>16</v>
      </c>
      <c r="AE18" t="s">
        <v>218</v>
      </c>
      <c r="AF18" s="62" t="s">
        <v>218</v>
      </c>
      <c r="AG18" t="s">
        <v>305</v>
      </c>
      <c r="AH18" t="s">
        <v>331</v>
      </c>
      <c r="AI18" t="s">
        <v>354</v>
      </c>
      <c r="AJ18" t="s">
        <v>376</v>
      </c>
      <c r="AK18" t="s">
        <v>240</v>
      </c>
      <c r="AL18" t="s">
        <v>421</v>
      </c>
    </row>
    <row r="19" spans="2:38" ht="14.5" x14ac:dyDescent="0.35">
      <c r="B19" s="34" t="s">
        <v>143</v>
      </c>
      <c r="C19" s="34" t="s">
        <v>144</v>
      </c>
      <c r="N19" s="46"/>
      <c r="O19" s="34" t="s">
        <v>650</v>
      </c>
      <c r="AD19">
        <v>17</v>
      </c>
      <c r="AE19" t="s">
        <v>219</v>
      </c>
      <c r="AF19" s="62" t="s">
        <v>219</v>
      </c>
      <c r="AG19" t="s">
        <v>306</v>
      </c>
      <c r="AH19" t="s">
        <v>332</v>
      </c>
      <c r="AI19" t="s">
        <v>355</v>
      </c>
      <c r="AJ19" t="s">
        <v>377</v>
      </c>
      <c r="AK19" t="s">
        <v>399</v>
      </c>
      <c r="AL19" t="s">
        <v>422</v>
      </c>
    </row>
    <row r="20" spans="2:38" ht="14.5" x14ac:dyDescent="0.35">
      <c r="B20" s="34" t="s">
        <v>145</v>
      </c>
      <c r="C20" s="34" t="s">
        <v>146</v>
      </c>
      <c r="N20" s="46"/>
      <c r="O20" s="34" t="s">
        <v>651</v>
      </c>
      <c r="AD20">
        <v>18</v>
      </c>
      <c r="AE20" t="s">
        <v>220</v>
      </c>
      <c r="AF20" s="62" t="s">
        <v>220</v>
      </c>
      <c r="AG20" t="s">
        <v>307</v>
      </c>
      <c r="AH20" t="s">
        <v>333</v>
      </c>
      <c r="AI20" t="s">
        <v>356</v>
      </c>
      <c r="AJ20" t="s">
        <v>378</v>
      </c>
      <c r="AK20" t="s">
        <v>242</v>
      </c>
      <c r="AL20" t="s">
        <v>248</v>
      </c>
    </row>
    <row r="21" spans="2:38" ht="14.5" x14ac:dyDescent="0.35">
      <c r="B21" s="34" t="s">
        <v>147</v>
      </c>
      <c r="C21" s="34" t="s">
        <v>147</v>
      </c>
      <c r="N21" s="46"/>
      <c r="O21" s="34" t="s">
        <v>652</v>
      </c>
      <c r="AD21">
        <v>19</v>
      </c>
      <c r="AE21" t="s">
        <v>221</v>
      </c>
      <c r="AF21" s="62" t="s">
        <v>221</v>
      </c>
      <c r="AG21" t="s">
        <v>308</v>
      </c>
      <c r="AH21" t="s">
        <v>334</v>
      </c>
      <c r="AI21" t="s">
        <v>357</v>
      </c>
      <c r="AJ21" t="s">
        <v>379</v>
      </c>
      <c r="AK21" t="s">
        <v>400</v>
      </c>
      <c r="AL21" t="s">
        <v>423</v>
      </c>
    </row>
    <row r="22" spans="2:38" ht="14.5" x14ac:dyDescent="0.35">
      <c r="B22" s="34" t="s">
        <v>148</v>
      </c>
      <c r="C22" s="34" t="s">
        <v>149</v>
      </c>
      <c r="N22" s="46"/>
      <c r="O22" s="34" t="s">
        <v>653</v>
      </c>
      <c r="AD22">
        <v>20</v>
      </c>
      <c r="AE22" t="s">
        <v>222</v>
      </c>
      <c r="AF22" s="62" t="s">
        <v>222</v>
      </c>
      <c r="AG22" t="s">
        <v>309</v>
      </c>
      <c r="AH22" t="s">
        <v>335</v>
      </c>
      <c r="AI22" t="s">
        <v>358</v>
      </c>
      <c r="AJ22" t="s">
        <v>380</v>
      </c>
      <c r="AK22" t="s">
        <v>237</v>
      </c>
      <c r="AL22" t="s">
        <v>424</v>
      </c>
    </row>
    <row r="23" spans="2:38" ht="14.5" x14ac:dyDescent="0.35">
      <c r="B23" s="34" t="s">
        <v>150</v>
      </c>
      <c r="C23" s="34" t="s">
        <v>151</v>
      </c>
      <c r="N23" s="46"/>
      <c r="AD23">
        <v>21</v>
      </c>
      <c r="AE23" t="s">
        <v>223</v>
      </c>
      <c r="AF23" s="62" t="s">
        <v>223</v>
      </c>
      <c r="AG23" t="s">
        <v>310</v>
      </c>
      <c r="AH23" t="s">
        <v>336</v>
      </c>
      <c r="AI23" t="s">
        <v>359</v>
      </c>
      <c r="AJ23" t="s">
        <v>381</v>
      </c>
      <c r="AK23" t="s">
        <v>401</v>
      </c>
      <c r="AL23" t="s">
        <v>425</v>
      </c>
    </row>
    <row r="24" spans="2:38" ht="14.5" x14ac:dyDescent="0.35">
      <c r="B24" s="34" t="s">
        <v>152</v>
      </c>
      <c r="C24" s="34" t="s">
        <v>153</v>
      </c>
      <c r="N24" s="46"/>
      <c r="AD24">
        <v>22</v>
      </c>
      <c r="AE24" t="s">
        <v>224</v>
      </c>
      <c r="AF24" s="62" t="s">
        <v>224</v>
      </c>
      <c r="AG24" t="s">
        <v>311</v>
      </c>
      <c r="AH24" t="s">
        <v>337</v>
      </c>
      <c r="AI24" t="s">
        <v>360</v>
      </c>
      <c r="AJ24" t="s">
        <v>382</v>
      </c>
      <c r="AK24" t="s">
        <v>402</v>
      </c>
      <c r="AL24" t="s">
        <v>426</v>
      </c>
    </row>
    <row r="25" spans="2:38" ht="14.5" x14ac:dyDescent="0.35">
      <c r="B25" s="34" t="s">
        <v>154</v>
      </c>
      <c r="C25" s="34" t="s">
        <v>155</v>
      </c>
      <c r="N25" s="46"/>
      <c r="AD25">
        <v>23</v>
      </c>
      <c r="AE25" t="s">
        <v>225</v>
      </c>
      <c r="AF25" s="62" t="s">
        <v>225</v>
      </c>
      <c r="AG25" t="s">
        <v>312</v>
      </c>
      <c r="AH25" t="s">
        <v>338</v>
      </c>
      <c r="AI25" t="s">
        <v>361</v>
      </c>
      <c r="AJ25" t="s">
        <v>383</v>
      </c>
      <c r="AK25" t="s">
        <v>403</v>
      </c>
      <c r="AL25" t="s">
        <v>427</v>
      </c>
    </row>
    <row r="26" spans="2:38" ht="14.5" x14ac:dyDescent="0.35">
      <c r="B26" s="34" t="s">
        <v>156</v>
      </c>
      <c r="C26" s="34" t="s">
        <v>157</v>
      </c>
      <c r="N26" s="46"/>
      <c r="AD26">
        <v>24</v>
      </c>
      <c r="AE26" t="s">
        <v>103</v>
      </c>
      <c r="AF26" s="62" t="s">
        <v>103</v>
      </c>
      <c r="AG26" t="s">
        <v>313</v>
      </c>
      <c r="AH26" t="s">
        <v>339</v>
      </c>
      <c r="AI26" t="s">
        <v>362</v>
      </c>
      <c r="AJ26" t="s">
        <v>384</v>
      </c>
      <c r="AK26" t="s">
        <v>404</v>
      </c>
      <c r="AL26" t="s">
        <v>428</v>
      </c>
    </row>
    <row r="27" spans="2:38" ht="14.5" x14ac:dyDescent="0.35">
      <c r="B27" s="34" t="s">
        <v>158</v>
      </c>
      <c r="C27" s="34" t="s">
        <v>159</v>
      </c>
      <c r="AD27">
        <v>25</v>
      </c>
      <c r="AE27" t="s">
        <v>226</v>
      </c>
      <c r="AF27" s="62" t="s">
        <v>226</v>
      </c>
      <c r="AG27" t="s">
        <v>314</v>
      </c>
      <c r="AH27" t="s">
        <v>340</v>
      </c>
      <c r="AI27" t="s">
        <v>363</v>
      </c>
      <c r="AJ27" t="s">
        <v>385</v>
      </c>
      <c r="AK27" t="s">
        <v>405</v>
      </c>
      <c r="AL27" t="s">
        <v>429</v>
      </c>
    </row>
    <row r="28" spans="2:38" ht="14.5" x14ac:dyDescent="0.35">
      <c r="B28" s="34" t="s">
        <v>160</v>
      </c>
      <c r="C28" s="34" t="s">
        <v>161</v>
      </c>
      <c r="AD28">
        <v>26</v>
      </c>
      <c r="AE28" t="s">
        <v>227</v>
      </c>
      <c r="AF28" s="62" t="s">
        <v>227</v>
      </c>
      <c r="AG28" t="s">
        <v>315</v>
      </c>
      <c r="AH28" t="s">
        <v>341</v>
      </c>
      <c r="AI28" t="s">
        <v>364</v>
      </c>
      <c r="AJ28" t="s">
        <v>386</v>
      </c>
      <c r="AK28" t="s">
        <v>406</v>
      </c>
      <c r="AL28" t="s">
        <v>430</v>
      </c>
    </row>
    <row r="29" spans="2:38" ht="14.5" x14ac:dyDescent="0.35">
      <c r="B29" s="34" t="s">
        <v>162</v>
      </c>
      <c r="C29" s="34" t="s">
        <v>163</v>
      </c>
      <c r="AD29">
        <v>27</v>
      </c>
      <c r="AE29" t="s">
        <v>290</v>
      </c>
      <c r="AF29"/>
      <c r="AG29"/>
      <c r="AH29"/>
      <c r="AI29"/>
      <c r="AJ29"/>
      <c r="AK29"/>
      <c r="AL29"/>
    </row>
    <row r="30" spans="2:38" ht="14.5" x14ac:dyDescent="0.35">
      <c r="B30" s="34" t="s">
        <v>164</v>
      </c>
      <c r="C30" s="34" t="s">
        <v>165</v>
      </c>
      <c r="AD30">
        <v>28</v>
      </c>
      <c r="AE30" t="s">
        <v>291</v>
      </c>
      <c r="AF30"/>
      <c r="AG30"/>
      <c r="AH30"/>
      <c r="AI30"/>
      <c r="AJ30"/>
      <c r="AK30"/>
      <c r="AL30"/>
    </row>
    <row r="31" spans="2:38" ht="15.75" customHeight="1" x14ac:dyDescent="0.35">
      <c r="AD31">
        <v>29</v>
      </c>
      <c r="AE31" t="s">
        <v>292</v>
      </c>
      <c r="AF31"/>
      <c r="AG31"/>
      <c r="AH31"/>
      <c r="AI31"/>
      <c r="AJ31"/>
      <c r="AK31"/>
      <c r="AL31"/>
    </row>
    <row r="32" spans="2:38" ht="14.5" x14ac:dyDescent="0.35">
      <c r="AD32">
        <v>30</v>
      </c>
      <c r="AE32" t="s">
        <v>293</v>
      </c>
      <c r="AF32"/>
      <c r="AG32"/>
      <c r="AH32"/>
      <c r="AI32"/>
      <c r="AJ32"/>
      <c r="AK32"/>
      <c r="AL32"/>
    </row>
    <row r="33" spans="1:38" ht="14.5" x14ac:dyDescent="0.35">
      <c r="AD33">
        <v>31</v>
      </c>
      <c r="AE33" t="s">
        <v>294</v>
      </c>
      <c r="AF33"/>
      <c r="AG33"/>
      <c r="AH33"/>
      <c r="AI33"/>
      <c r="AJ33"/>
      <c r="AK33"/>
      <c r="AL33"/>
    </row>
    <row r="34" spans="1:38" ht="14.5" x14ac:dyDescent="0.35">
      <c r="AD34">
        <v>32</v>
      </c>
      <c r="AE34" t="s">
        <v>295</v>
      </c>
      <c r="AF34"/>
      <c r="AG34"/>
      <c r="AH34"/>
      <c r="AI34"/>
      <c r="AJ34"/>
      <c r="AK34"/>
      <c r="AL34"/>
    </row>
    <row r="35" spans="1:38" ht="14.5" x14ac:dyDescent="0.35">
      <c r="AD35">
        <v>33</v>
      </c>
      <c r="AE35" t="s">
        <v>296</v>
      </c>
      <c r="AF35"/>
      <c r="AG35"/>
      <c r="AH35"/>
      <c r="AI35"/>
      <c r="AJ35"/>
      <c r="AK35"/>
      <c r="AL35"/>
    </row>
    <row r="36" spans="1:38" ht="14.5" x14ac:dyDescent="0.35">
      <c r="AD36">
        <v>34</v>
      </c>
      <c r="AE36" t="s">
        <v>297</v>
      </c>
      <c r="AF36"/>
      <c r="AG36"/>
      <c r="AH36"/>
      <c r="AI36"/>
      <c r="AJ36"/>
      <c r="AK36"/>
      <c r="AL36"/>
    </row>
    <row r="37" spans="1:38" ht="14.5" x14ac:dyDescent="0.35">
      <c r="A37" s="34" t="s">
        <v>166</v>
      </c>
      <c r="AD37">
        <v>35</v>
      </c>
      <c r="AE37" t="s">
        <v>298</v>
      </c>
      <c r="AF37"/>
      <c r="AG37"/>
      <c r="AH37"/>
      <c r="AI37"/>
      <c r="AJ37"/>
      <c r="AK37"/>
      <c r="AL37"/>
    </row>
    <row r="38" spans="1:38" ht="14.5" x14ac:dyDescent="0.35">
      <c r="B38" s="34" t="s">
        <v>167</v>
      </c>
      <c r="C38" s="34">
        <v>1</v>
      </c>
      <c r="D38" s="34">
        <v>0</v>
      </c>
      <c r="E38" s="34">
        <v>0</v>
      </c>
      <c r="AD38">
        <v>36</v>
      </c>
      <c r="AE38" t="s">
        <v>299</v>
      </c>
      <c r="AF38"/>
      <c r="AG38"/>
      <c r="AH38"/>
      <c r="AI38"/>
      <c r="AJ38"/>
      <c r="AK38"/>
      <c r="AL38"/>
    </row>
    <row r="39" spans="1:38" ht="14.5" x14ac:dyDescent="0.35">
      <c r="B39" s="34" t="s">
        <v>168</v>
      </c>
      <c r="C39" s="34">
        <v>0</v>
      </c>
      <c r="D39" s="34">
        <v>0</v>
      </c>
      <c r="E39" s="34">
        <v>0</v>
      </c>
      <c r="AD39">
        <v>37</v>
      </c>
      <c r="AE39" t="s">
        <v>300</v>
      </c>
      <c r="AF39"/>
      <c r="AG39"/>
      <c r="AH39"/>
      <c r="AI39"/>
      <c r="AJ39"/>
      <c r="AK39"/>
      <c r="AL39"/>
    </row>
    <row r="40" spans="1:38" ht="14.5" x14ac:dyDescent="0.35">
      <c r="B40" s="34" t="s">
        <v>172</v>
      </c>
      <c r="C40" s="34">
        <v>0</v>
      </c>
      <c r="D40" s="34">
        <v>1</v>
      </c>
      <c r="E40" s="34">
        <v>1</v>
      </c>
      <c r="AD40">
        <v>38</v>
      </c>
      <c r="AE40" t="s">
        <v>301</v>
      </c>
      <c r="AF40"/>
      <c r="AG40"/>
      <c r="AH40"/>
      <c r="AI40"/>
      <c r="AJ40"/>
      <c r="AK40"/>
      <c r="AL40"/>
    </row>
    <row r="41" spans="1:38" ht="14.5" x14ac:dyDescent="0.35">
      <c r="B41" s="34" t="s">
        <v>195</v>
      </c>
      <c r="C41" s="34">
        <v>1</v>
      </c>
      <c r="D41" s="34">
        <v>1</v>
      </c>
      <c r="E41" s="34">
        <v>1</v>
      </c>
      <c r="AD41">
        <v>39</v>
      </c>
      <c r="AE41" t="s">
        <v>302</v>
      </c>
      <c r="AF41"/>
      <c r="AG41"/>
      <c r="AH41"/>
      <c r="AI41"/>
      <c r="AJ41"/>
      <c r="AK41"/>
      <c r="AL41"/>
    </row>
    <row r="42" spans="1:38" ht="14.5" x14ac:dyDescent="0.35">
      <c r="B42" s="34" t="s">
        <v>196</v>
      </c>
      <c r="C42" s="34">
        <v>0</v>
      </c>
      <c r="D42" s="34">
        <v>1</v>
      </c>
      <c r="E42" s="34">
        <v>0</v>
      </c>
      <c r="AD42">
        <v>40</v>
      </c>
      <c r="AE42" t="s">
        <v>303</v>
      </c>
      <c r="AF42"/>
      <c r="AG42"/>
      <c r="AH42"/>
      <c r="AI42"/>
      <c r="AJ42"/>
      <c r="AK42"/>
      <c r="AL42"/>
    </row>
    <row r="43" spans="1:38" ht="14.5" x14ac:dyDescent="0.35">
      <c r="B43" s="34" t="s">
        <v>12</v>
      </c>
      <c r="C43" s="34">
        <v>0</v>
      </c>
      <c r="D43" s="34">
        <v>0</v>
      </c>
      <c r="E43" s="34">
        <v>1</v>
      </c>
      <c r="AD43">
        <v>41</v>
      </c>
      <c r="AE43" t="s">
        <v>304</v>
      </c>
      <c r="AF43"/>
      <c r="AG43"/>
      <c r="AH43"/>
      <c r="AI43"/>
      <c r="AJ43"/>
      <c r="AK43"/>
      <c r="AL43"/>
    </row>
    <row r="44" spans="1:38" ht="14.5" x14ac:dyDescent="0.35">
      <c r="B44" s="34" t="s">
        <v>171</v>
      </c>
      <c r="C44" s="34">
        <v>1</v>
      </c>
      <c r="D44" s="34">
        <v>1</v>
      </c>
      <c r="E44" s="34">
        <v>1</v>
      </c>
      <c r="AD44">
        <v>42</v>
      </c>
      <c r="AE44" t="s">
        <v>305</v>
      </c>
      <c r="AF44"/>
      <c r="AG44"/>
      <c r="AH44"/>
      <c r="AI44"/>
      <c r="AJ44"/>
      <c r="AK44"/>
      <c r="AL44"/>
    </row>
    <row r="45" spans="1:38" ht="14.5" x14ac:dyDescent="0.35">
      <c r="B45" s="34" t="s">
        <v>170</v>
      </c>
      <c r="C45" s="34">
        <v>0</v>
      </c>
      <c r="D45" s="34">
        <v>1</v>
      </c>
      <c r="E45" s="34">
        <v>1</v>
      </c>
      <c r="AD45">
        <v>43</v>
      </c>
      <c r="AE45" t="s">
        <v>306</v>
      </c>
      <c r="AF45"/>
      <c r="AG45"/>
      <c r="AH45"/>
      <c r="AI45"/>
      <c r="AJ45"/>
      <c r="AK45"/>
      <c r="AL45"/>
    </row>
    <row r="46" spans="1:38" ht="14.5" x14ac:dyDescent="0.35">
      <c r="B46" s="34" t="s">
        <v>9</v>
      </c>
      <c r="C46" s="34">
        <v>1</v>
      </c>
      <c r="D46" s="34">
        <v>1</v>
      </c>
      <c r="E46" s="34">
        <v>1</v>
      </c>
      <c r="AD46">
        <v>44</v>
      </c>
      <c r="AE46" t="s">
        <v>307</v>
      </c>
      <c r="AF46"/>
      <c r="AG46"/>
      <c r="AH46"/>
      <c r="AI46"/>
      <c r="AJ46"/>
      <c r="AK46"/>
      <c r="AL46"/>
    </row>
    <row r="47" spans="1:38" ht="14.5" x14ac:dyDescent="0.35">
      <c r="AD47">
        <v>45</v>
      </c>
      <c r="AE47" t="s">
        <v>308</v>
      </c>
      <c r="AF47"/>
      <c r="AG47"/>
      <c r="AH47"/>
      <c r="AI47"/>
      <c r="AJ47"/>
      <c r="AK47"/>
      <c r="AL47"/>
    </row>
    <row r="48" spans="1:38" ht="14.5" x14ac:dyDescent="0.35">
      <c r="AD48">
        <v>46</v>
      </c>
      <c r="AE48" t="s">
        <v>309</v>
      </c>
      <c r="AF48"/>
      <c r="AG48"/>
      <c r="AH48"/>
      <c r="AI48"/>
      <c r="AJ48"/>
      <c r="AK48"/>
      <c r="AL48"/>
    </row>
    <row r="49" spans="1:38" ht="14.5" x14ac:dyDescent="0.35">
      <c r="AD49">
        <v>47</v>
      </c>
      <c r="AE49" t="s">
        <v>310</v>
      </c>
      <c r="AF49"/>
      <c r="AG49"/>
      <c r="AH49"/>
      <c r="AI49"/>
      <c r="AJ49"/>
      <c r="AK49"/>
      <c r="AL49"/>
    </row>
    <row r="50" spans="1:38" ht="14.5" x14ac:dyDescent="0.35">
      <c r="AD50">
        <v>48</v>
      </c>
      <c r="AE50" t="s">
        <v>311</v>
      </c>
      <c r="AF50"/>
      <c r="AG50"/>
      <c r="AH50"/>
      <c r="AI50"/>
      <c r="AJ50"/>
      <c r="AK50"/>
      <c r="AL50"/>
    </row>
    <row r="51" spans="1:38" ht="14.5" x14ac:dyDescent="0.35">
      <c r="AD51">
        <v>49</v>
      </c>
      <c r="AE51" t="s">
        <v>312</v>
      </c>
      <c r="AF51"/>
      <c r="AG51"/>
      <c r="AH51"/>
      <c r="AI51"/>
      <c r="AJ51"/>
      <c r="AK51"/>
      <c r="AL51"/>
    </row>
    <row r="52" spans="1:38" ht="14.5" x14ac:dyDescent="0.35">
      <c r="AD52">
        <v>50</v>
      </c>
      <c r="AE52" t="s">
        <v>313</v>
      </c>
      <c r="AF52"/>
      <c r="AG52"/>
      <c r="AH52"/>
      <c r="AI52"/>
      <c r="AJ52"/>
      <c r="AK52"/>
      <c r="AL52"/>
    </row>
    <row r="53" spans="1:38" ht="14.5" x14ac:dyDescent="0.35">
      <c r="AD53">
        <v>51</v>
      </c>
      <c r="AE53" t="s">
        <v>314</v>
      </c>
      <c r="AF53"/>
      <c r="AG53"/>
      <c r="AH53"/>
      <c r="AI53"/>
      <c r="AJ53"/>
      <c r="AK53"/>
      <c r="AL53"/>
    </row>
    <row r="54" spans="1:38" ht="14.5" x14ac:dyDescent="0.35">
      <c r="AD54">
        <v>52</v>
      </c>
      <c r="AE54" t="s">
        <v>315</v>
      </c>
      <c r="AF54"/>
      <c r="AG54"/>
      <c r="AH54"/>
      <c r="AI54"/>
      <c r="AJ54"/>
      <c r="AK54"/>
      <c r="AL54"/>
    </row>
    <row r="55" spans="1:38" ht="14.5" x14ac:dyDescent="0.35">
      <c r="A55" s="47" t="s">
        <v>173</v>
      </c>
      <c r="B55" s="47"/>
      <c r="C55" s="47"/>
      <c r="D55" s="47"/>
      <c r="AD55">
        <v>53</v>
      </c>
      <c r="AE55" t="s">
        <v>316</v>
      </c>
      <c r="AF55"/>
      <c r="AG55"/>
      <c r="AH55"/>
      <c r="AI55"/>
      <c r="AJ55"/>
      <c r="AK55"/>
      <c r="AL55"/>
    </row>
    <row r="56" spans="1:38" ht="14.5" x14ac:dyDescent="0.35">
      <c r="A56" s="47"/>
      <c r="B56" s="47" t="s">
        <v>174</v>
      </c>
      <c r="C56" s="47"/>
      <c r="D56" s="47"/>
      <c r="AD56">
        <v>54</v>
      </c>
      <c r="AE56" t="s">
        <v>317</v>
      </c>
      <c r="AF56"/>
      <c r="AG56"/>
      <c r="AH56"/>
      <c r="AI56"/>
      <c r="AJ56"/>
      <c r="AK56"/>
      <c r="AL56"/>
    </row>
    <row r="57" spans="1:38" ht="14.5" x14ac:dyDescent="0.35">
      <c r="A57" s="47"/>
      <c r="B57" s="47" t="s">
        <v>175</v>
      </c>
      <c r="C57" s="47"/>
      <c r="D57" s="47"/>
      <c r="AD57">
        <v>55</v>
      </c>
      <c r="AE57" t="s">
        <v>318</v>
      </c>
      <c r="AF57"/>
      <c r="AG57"/>
      <c r="AH57"/>
      <c r="AI57"/>
      <c r="AJ57"/>
      <c r="AK57"/>
      <c r="AL57"/>
    </row>
    <row r="58" spans="1:38" ht="14.5" x14ac:dyDescent="0.35">
      <c r="A58" s="47"/>
      <c r="B58" s="47" t="s">
        <v>176</v>
      </c>
      <c r="C58" s="47"/>
      <c r="D58" s="47"/>
      <c r="AD58">
        <v>56</v>
      </c>
      <c r="AE58" t="s">
        <v>319</v>
      </c>
      <c r="AF58"/>
      <c r="AG58"/>
      <c r="AH58"/>
      <c r="AI58"/>
      <c r="AJ58"/>
      <c r="AK58"/>
      <c r="AL58"/>
    </row>
    <row r="59" spans="1:38" ht="14.5" x14ac:dyDescent="0.35">
      <c r="A59" s="47"/>
      <c r="B59" s="47" t="s">
        <v>171</v>
      </c>
      <c r="C59" s="47"/>
      <c r="D59" s="47"/>
      <c r="AD59">
        <v>57</v>
      </c>
      <c r="AE59" t="s">
        <v>320</v>
      </c>
      <c r="AF59"/>
      <c r="AG59"/>
      <c r="AH59"/>
      <c r="AI59"/>
      <c r="AJ59"/>
      <c r="AK59"/>
      <c r="AL59"/>
    </row>
    <row r="60" spans="1:38" ht="14.5" x14ac:dyDescent="0.35">
      <c r="A60" s="34" t="s">
        <v>178</v>
      </c>
      <c r="AD60">
        <v>58</v>
      </c>
      <c r="AE60" t="s">
        <v>321</v>
      </c>
      <c r="AF60"/>
      <c r="AG60"/>
      <c r="AH60"/>
      <c r="AI60"/>
      <c r="AJ60"/>
      <c r="AK60"/>
      <c r="AL60"/>
    </row>
    <row r="61" spans="1:38" ht="14.5" x14ac:dyDescent="0.35">
      <c r="B61" s="34" t="s">
        <v>179</v>
      </c>
      <c r="AD61">
        <v>59</v>
      </c>
      <c r="AE61" t="s">
        <v>322</v>
      </c>
      <c r="AF61"/>
      <c r="AG61"/>
      <c r="AH61"/>
      <c r="AI61"/>
      <c r="AJ61"/>
      <c r="AK61"/>
      <c r="AL61"/>
    </row>
    <row r="62" spans="1:38" ht="14.5" x14ac:dyDescent="0.35">
      <c r="B62" s="34" t="s">
        <v>177</v>
      </c>
      <c r="AD62">
        <v>60</v>
      </c>
      <c r="AE62" t="s">
        <v>323</v>
      </c>
      <c r="AF62"/>
      <c r="AG62"/>
      <c r="AH62"/>
      <c r="AI62"/>
      <c r="AJ62"/>
      <c r="AK62"/>
      <c r="AL62"/>
    </row>
    <row r="63" spans="1:38" ht="14.5" x14ac:dyDescent="0.35">
      <c r="AD63">
        <v>61</v>
      </c>
      <c r="AE63" t="s">
        <v>324</v>
      </c>
      <c r="AF63"/>
      <c r="AG63"/>
      <c r="AH63"/>
      <c r="AI63"/>
      <c r="AJ63"/>
      <c r="AK63"/>
      <c r="AL63"/>
    </row>
    <row r="64" spans="1:38" ht="14.5" x14ac:dyDescent="0.35">
      <c r="A64" s="48" t="s">
        <v>180</v>
      </c>
      <c r="AD64">
        <v>62</v>
      </c>
      <c r="AE64" t="s">
        <v>325</v>
      </c>
      <c r="AF64"/>
      <c r="AG64"/>
      <c r="AH64"/>
      <c r="AI64"/>
      <c r="AJ64"/>
      <c r="AK64"/>
      <c r="AL64"/>
    </row>
    <row r="65" spans="1:38" ht="14.5" x14ac:dyDescent="0.35">
      <c r="B65" s="48" t="s">
        <v>167</v>
      </c>
      <c r="AD65">
        <v>63</v>
      </c>
      <c r="AE65" t="s">
        <v>326</v>
      </c>
      <c r="AF65"/>
      <c r="AG65"/>
      <c r="AH65"/>
      <c r="AI65"/>
      <c r="AJ65"/>
      <c r="AK65"/>
      <c r="AL65"/>
    </row>
    <row r="66" spans="1:38" ht="14.5" x14ac:dyDescent="0.35">
      <c r="B66" s="49" t="s">
        <v>181</v>
      </c>
      <c r="AD66">
        <v>64</v>
      </c>
      <c r="AE66" t="s">
        <v>327</v>
      </c>
      <c r="AF66"/>
      <c r="AG66"/>
      <c r="AH66"/>
      <c r="AI66"/>
      <c r="AJ66"/>
      <c r="AK66"/>
      <c r="AL66"/>
    </row>
    <row r="67" spans="1:38" ht="14.5" x14ac:dyDescent="0.35">
      <c r="B67" s="49" t="s">
        <v>182</v>
      </c>
      <c r="AD67">
        <v>65</v>
      </c>
      <c r="AE67" t="s">
        <v>328</v>
      </c>
      <c r="AF67"/>
      <c r="AG67"/>
      <c r="AH67"/>
      <c r="AI67"/>
      <c r="AJ67"/>
      <c r="AK67"/>
      <c r="AL67"/>
    </row>
    <row r="68" spans="1:38" ht="14.5" x14ac:dyDescent="0.35">
      <c r="B68" s="49" t="s">
        <v>183</v>
      </c>
      <c r="AD68">
        <v>66</v>
      </c>
      <c r="AE68" t="s">
        <v>329</v>
      </c>
      <c r="AF68"/>
      <c r="AG68"/>
      <c r="AH68"/>
      <c r="AI68"/>
      <c r="AJ68"/>
      <c r="AK68"/>
      <c r="AL68"/>
    </row>
    <row r="69" spans="1:38" ht="14.5" x14ac:dyDescent="0.35">
      <c r="B69" s="49" t="s">
        <v>169</v>
      </c>
      <c r="AD69">
        <v>67</v>
      </c>
      <c r="AE69" t="s">
        <v>330</v>
      </c>
      <c r="AF69"/>
      <c r="AG69"/>
      <c r="AH69"/>
      <c r="AI69"/>
      <c r="AJ69"/>
      <c r="AK69"/>
      <c r="AL69"/>
    </row>
    <row r="70" spans="1:38" ht="14.5" x14ac:dyDescent="0.35">
      <c r="B70" s="49" t="s">
        <v>168</v>
      </c>
      <c r="AD70">
        <v>68</v>
      </c>
      <c r="AE70" t="s">
        <v>331</v>
      </c>
      <c r="AF70"/>
      <c r="AG70"/>
      <c r="AH70"/>
      <c r="AI70"/>
      <c r="AJ70"/>
      <c r="AK70"/>
      <c r="AL70"/>
    </row>
    <row r="71" spans="1:38" ht="14.5" x14ac:dyDescent="0.35">
      <c r="B71" s="49" t="s">
        <v>184</v>
      </c>
      <c r="AD71">
        <v>69</v>
      </c>
      <c r="AE71" t="s">
        <v>332</v>
      </c>
      <c r="AF71"/>
      <c r="AG71"/>
      <c r="AH71"/>
      <c r="AI71"/>
      <c r="AJ71"/>
      <c r="AK71"/>
      <c r="AL71"/>
    </row>
    <row r="72" spans="1:38" ht="14.5" x14ac:dyDescent="0.35">
      <c r="AD72">
        <v>70</v>
      </c>
      <c r="AE72" t="s">
        <v>333</v>
      </c>
      <c r="AF72"/>
      <c r="AG72"/>
      <c r="AH72"/>
      <c r="AI72"/>
      <c r="AJ72"/>
      <c r="AK72"/>
      <c r="AL72"/>
    </row>
    <row r="73" spans="1:38" ht="14.5" x14ac:dyDescent="0.35">
      <c r="A73" s="48" t="s">
        <v>524</v>
      </c>
      <c r="B73" s="34" t="s">
        <v>525</v>
      </c>
      <c r="C73" s="48" t="s">
        <v>168</v>
      </c>
      <c r="D73" s="34" t="s">
        <v>538</v>
      </c>
      <c r="E73" s="34" t="s">
        <v>539</v>
      </c>
      <c r="F73" s="48" t="s">
        <v>529</v>
      </c>
      <c r="G73" s="34" t="s">
        <v>536</v>
      </c>
      <c r="H73" s="34" t="s">
        <v>537</v>
      </c>
      <c r="I73" s="34" t="s">
        <v>594</v>
      </c>
      <c r="AD73">
        <v>71</v>
      </c>
      <c r="AE73" t="s">
        <v>334</v>
      </c>
      <c r="AF73"/>
      <c r="AG73"/>
      <c r="AH73"/>
      <c r="AI73"/>
      <c r="AJ73"/>
      <c r="AK73"/>
      <c r="AL73"/>
    </row>
    <row r="74" spans="1:38" ht="14.5" x14ac:dyDescent="0.35">
      <c r="B74" s="34" t="s">
        <v>569</v>
      </c>
      <c r="D74" s="34" t="s">
        <v>554</v>
      </c>
      <c r="E74" s="34" t="s">
        <v>553</v>
      </c>
      <c r="G74" s="34" t="s">
        <v>530</v>
      </c>
      <c r="H74" s="34" t="s">
        <v>531</v>
      </c>
      <c r="I74" s="34" t="s">
        <v>546</v>
      </c>
      <c r="AD74">
        <v>72</v>
      </c>
      <c r="AE74" t="s">
        <v>335</v>
      </c>
      <c r="AF74"/>
      <c r="AG74"/>
      <c r="AH74"/>
      <c r="AI74"/>
      <c r="AJ74"/>
      <c r="AK74"/>
      <c r="AL74"/>
    </row>
    <row r="75" spans="1:38" ht="14.5" x14ac:dyDescent="0.35">
      <c r="B75" s="34" t="s">
        <v>570</v>
      </c>
      <c r="D75" s="34" t="s">
        <v>555</v>
      </c>
      <c r="E75" s="34" t="s">
        <v>526</v>
      </c>
      <c r="G75" s="34" t="s">
        <v>556</v>
      </c>
      <c r="H75" s="34" t="s">
        <v>532</v>
      </c>
      <c r="I75" s="34" t="s">
        <v>547</v>
      </c>
      <c r="AD75">
        <v>73</v>
      </c>
      <c r="AE75" t="s">
        <v>336</v>
      </c>
      <c r="AF75"/>
      <c r="AG75"/>
      <c r="AH75"/>
      <c r="AI75"/>
      <c r="AJ75"/>
      <c r="AK75"/>
      <c r="AL75"/>
    </row>
    <row r="76" spans="1:38" ht="14.5" x14ac:dyDescent="0.35">
      <c r="B76" s="34" t="s">
        <v>571</v>
      </c>
      <c r="D76" s="34" t="s">
        <v>556</v>
      </c>
      <c r="E76" s="34" t="s">
        <v>528</v>
      </c>
      <c r="G76" s="34" t="s">
        <v>557</v>
      </c>
      <c r="H76" s="34" t="s">
        <v>533</v>
      </c>
      <c r="I76" s="34" t="s">
        <v>548</v>
      </c>
      <c r="AD76">
        <v>74</v>
      </c>
      <c r="AE76" t="s">
        <v>337</v>
      </c>
      <c r="AF76"/>
      <c r="AG76"/>
      <c r="AH76"/>
      <c r="AI76"/>
      <c r="AJ76"/>
      <c r="AK76"/>
      <c r="AL76"/>
    </row>
    <row r="77" spans="1:38" ht="14.5" x14ac:dyDescent="0.35">
      <c r="D77" s="34" t="s">
        <v>557</v>
      </c>
      <c r="E77" s="34" t="s">
        <v>527</v>
      </c>
      <c r="G77" s="34" t="s">
        <v>559</v>
      </c>
      <c r="H77" s="34" t="s">
        <v>534</v>
      </c>
      <c r="I77" s="34" t="s">
        <v>549</v>
      </c>
      <c r="AD77">
        <v>75</v>
      </c>
      <c r="AE77" t="s">
        <v>338</v>
      </c>
      <c r="AF77"/>
      <c r="AG77"/>
      <c r="AH77"/>
      <c r="AI77"/>
      <c r="AJ77"/>
      <c r="AK77"/>
      <c r="AL77"/>
    </row>
    <row r="78" spans="1:38" ht="14.5" x14ac:dyDescent="0.35">
      <c r="D78" s="34" t="s">
        <v>558</v>
      </c>
      <c r="G78" s="34" t="s">
        <v>560</v>
      </c>
      <c r="H78" s="34" t="s">
        <v>535</v>
      </c>
      <c r="I78" s="34" t="s">
        <v>550</v>
      </c>
      <c r="AD78">
        <v>76</v>
      </c>
      <c r="AE78" t="s">
        <v>339</v>
      </c>
      <c r="AF78"/>
      <c r="AG78"/>
      <c r="AH78"/>
      <c r="AI78"/>
      <c r="AJ78"/>
      <c r="AK78"/>
      <c r="AL78"/>
    </row>
    <row r="79" spans="1:38" ht="14.5" x14ac:dyDescent="0.35">
      <c r="G79" s="34" t="s">
        <v>561</v>
      </c>
      <c r="AD79">
        <v>77</v>
      </c>
      <c r="AE79" t="s">
        <v>340</v>
      </c>
      <c r="AF79"/>
      <c r="AG79"/>
      <c r="AH79"/>
      <c r="AI79"/>
      <c r="AJ79"/>
      <c r="AK79"/>
      <c r="AL79"/>
    </row>
    <row r="80" spans="1:38" ht="14.5" x14ac:dyDescent="0.35">
      <c r="A80" s="48" t="s">
        <v>541</v>
      </c>
      <c r="G80" s="34" t="s">
        <v>562</v>
      </c>
      <c r="AD80">
        <v>78</v>
      </c>
      <c r="AE80" t="s">
        <v>341</v>
      </c>
      <c r="AF80"/>
      <c r="AG80"/>
      <c r="AH80"/>
      <c r="AI80"/>
      <c r="AJ80"/>
      <c r="AK80"/>
      <c r="AL80"/>
    </row>
    <row r="81" spans="2:38" ht="15.5" x14ac:dyDescent="0.35">
      <c r="B81" s="32" t="s">
        <v>79</v>
      </c>
      <c r="C81" s="32" t="s">
        <v>80</v>
      </c>
      <c r="D81" s="32" t="s">
        <v>81</v>
      </c>
      <c r="E81" s="32" t="s">
        <v>82</v>
      </c>
      <c r="F81" s="32" t="s">
        <v>83</v>
      </c>
      <c r="AD81">
        <v>79</v>
      </c>
      <c r="AE81" t="s">
        <v>342</v>
      </c>
      <c r="AF81"/>
      <c r="AG81"/>
      <c r="AH81"/>
      <c r="AI81"/>
      <c r="AJ81"/>
      <c r="AK81"/>
      <c r="AL81"/>
    </row>
    <row r="82" spans="2:38" ht="14.5" x14ac:dyDescent="0.35">
      <c r="B82" s="34" t="s">
        <v>542</v>
      </c>
      <c r="C82" s="34" t="s">
        <v>546</v>
      </c>
      <c r="AD82">
        <v>80</v>
      </c>
      <c r="AE82" t="s">
        <v>343</v>
      </c>
      <c r="AF82"/>
      <c r="AG82"/>
      <c r="AH82"/>
      <c r="AI82"/>
      <c r="AJ82"/>
      <c r="AK82"/>
      <c r="AL82"/>
    </row>
    <row r="83" spans="2:38" ht="14.5" x14ac:dyDescent="0.35">
      <c r="B83" s="34" t="s">
        <v>543</v>
      </c>
      <c r="C83" s="34" t="s">
        <v>547</v>
      </c>
      <c r="AD83">
        <v>81</v>
      </c>
      <c r="AE83" t="s">
        <v>195</v>
      </c>
      <c r="AF83"/>
      <c r="AG83"/>
      <c r="AH83"/>
      <c r="AI83"/>
      <c r="AJ83"/>
      <c r="AK83"/>
      <c r="AL83"/>
    </row>
    <row r="84" spans="2:38" ht="14.5" x14ac:dyDescent="0.35">
      <c r="B84" s="34" t="s">
        <v>544</v>
      </c>
      <c r="C84" s="34" t="s">
        <v>548</v>
      </c>
      <c r="AD84">
        <v>82</v>
      </c>
      <c r="AE84" t="s">
        <v>344</v>
      </c>
      <c r="AF84"/>
      <c r="AG84"/>
      <c r="AH84"/>
      <c r="AI84"/>
      <c r="AJ84"/>
      <c r="AK84"/>
      <c r="AL84"/>
    </row>
    <row r="85" spans="2:38" ht="14.5" x14ac:dyDescent="0.35">
      <c r="B85" s="34" t="s">
        <v>545</v>
      </c>
      <c r="C85" s="34" t="s">
        <v>549</v>
      </c>
      <c r="AD85">
        <v>83</v>
      </c>
      <c r="AE85" t="s">
        <v>345</v>
      </c>
      <c r="AF85"/>
      <c r="AG85"/>
      <c r="AH85"/>
      <c r="AI85"/>
      <c r="AJ85"/>
      <c r="AK85"/>
      <c r="AL85"/>
    </row>
    <row r="86" spans="2:38" ht="14.5" x14ac:dyDescent="0.35">
      <c r="C86" s="34" t="s">
        <v>550</v>
      </c>
      <c r="AD86">
        <v>84</v>
      </c>
      <c r="AE86" t="s">
        <v>346</v>
      </c>
      <c r="AF86"/>
      <c r="AG86"/>
      <c r="AH86"/>
      <c r="AI86"/>
      <c r="AJ86"/>
      <c r="AK86"/>
      <c r="AL86"/>
    </row>
    <row r="87" spans="2:38" ht="14.5" x14ac:dyDescent="0.35">
      <c r="AD87">
        <v>85</v>
      </c>
      <c r="AE87" t="s">
        <v>347</v>
      </c>
      <c r="AF87"/>
      <c r="AG87"/>
      <c r="AH87"/>
      <c r="AI87"/>
      <c r="AJ87"/>
      <c r="AK87"/>
      <c r="AL87"/>
    </row>
    <row r="88" spans="2:38" ht="14.5" x14ac:dyDescent="0.35">
      <c r="AD88">
        <v>86</v>
      </c>
      <c r="AE88" t="s">
        <v>348</v>
      </c>
      <c r="AF88"/>
      <c r="AG88"/>
      <c r="AH88"/>
      <c r="AI88"/>
      <c r="AJ88"/>
      <c r="AK88"/>
      <c r="AL88"/>
    </row>
    <row r="89" spans="2:38" ht="14.5" x14ac:dyDescent="0.35">
      <c r="AD89">
        <v>87</v>
      </c>
      <c r="AE89" t="s">
        <v>349</v>
      </c>
      <c r="AF89"/>
      <c r="AG89"/>
      <c r="AH89"/>
      <c r="AI89"/>
      <c r="AJ89"/>
      <c r="AK89"/>
      <c r="AL89"/>
    </row>
    <row r="90" spans="2:38" ht="14.5" x14ac:dyDescent="0.35">
      <c r="AD90">
        <v>88</v>
      </c>
      <c r="AE90" t="s">
        <v>350</v>
      </c>
      <c r="AF90"/>
      <c r="AG90"/>
      <c r="AH90"/>
      <c r="AI90"/>
      <c r="AJ90"/>
      <c r="AK90"/>
      <c r="AL90"/>
    </row>
    <row r="91" spans="2:38" ht="14.5" x14ac:dyDescent="0.35">
      <c r="AD91">
        <v>89</v>
      </c>
      <c r="AE91" t="s">
        <v>351</v>
      </c>
      <c r="AF91"/>
      <c r="AG91"/>
      <c r="AH91"/>
      <c r="AI91"/>
      <c r="AJ91"/>
      <c r="AK91"/>
      <c r="AL91"/>
    </row>
    <row r="92" spans="2:38" ht="14.5" x14ac:dyDescent="0.35">
      <c r="AD92">
        <v>90</v>
      </c>
      <c r="AE92" t="s">
        <v>352</v>
      </c>
      <c r="AF92"/>
      <c r="AG92"/>
      <c r="AH92"/>
      <c r="AI92"/>
      <c r="AJ92"/>
      <c r="AK92"/>
      <c r="AL92"/>
    </row>
    <row r="93" spans="2:38" ht="14.5" x14ac:dyDescent="0.35">
      <c r="AD93">
        <v>91</v>
      </c>
      <c r="AE93" t="s">
        <v>353</v>
      </c>
      <c r="AF93"/>
      <c r="AG93"/>
      <c r="AH93"/>
      <c r="AI93"/>
      <c r="AJ93"/>
      <c r="AK93"/>
      <c r="AL93"/>
    </row>
    <row r="94" spans="2:38" ht="14.5" x14ac:dyDescent="0.35">
      <c r="AD94">
        <v>92</v>
      </c>
      <c r="AE94" t="s">
        <v>198</v>
      </c>
      <c r="AF94"/>
      <c r="AG94"/>
      <c r="AH94"/>
      <c r="AI94"/>
      <c r="AJ94"/>
      <c r="AK94"/>
      <c r="AL94"/>
    </row>
    <row r="95" spans="2:38" ht="14.5" x14ac:dyDescent="0.35">
      <c r="AD95">
        <v>93</v>
      </c>
      <c r="AE95" t="s">
        <v>246</v>
      </c>
      <c r="AF95"/>
      <c r="AG95"/>
      <c r="AH95"/>
      <c r="AI95"/>
      <c r="AJ95"/>
      <c r="AK95"/>
      <c r="AL95"/>
    </row>
    <row r="96" spans="2:38" ht="14.5" x14ac:dyDescent="0.35">
      <c r="AD96">
        <v>94</v>
      </c>
      <c r="AE96" t="s">
        <v>354</v>
      </c>
      <c r="AF96"/>
      <c r="AG96"/>
      <c r="AH96"/>
      <c r="AI96"/>
      <c r="AJ96"/>
      <c r="AK96"/>
      <c r="AL96"/>
    </row>
    <row r="97" spans="30:38" ht="14.5" x14ac:dyDescent="0.35">
      <c r="AD97">
        <v>95</v>
      </c>
      <c r="AE97" t="s">
        <v>355</v>
      </c>
      <c r="AF97"/>
      <c r="AG97"/>
      <c r="AH97"/>
      <c r="AI97"/>
      <c r="AJ97"/>
      <c r="AK97"/>
      <c r="AL97"/>
    </row>
    <row r="98" spans="30:38" ht="14.5" x14ac:dyDescent="0.35">
      <c r="AD98">
        <v>96</v>
      </c>
      <c r="AE98" t="s">
        <v>356</v>
      </c>
      <c r="AF98"/>
      <c r="AG98"/>
      <c r="AH98"/>
      <c r="AI98"/>
      <c r="AJ98"/>
      <c r="AK98"/>
      <c r="AL98"/>
    </row>
    <row r="99" spans="30:38" ht="14.5" x14ac:dyDescent="0.35">
      <c r="AD99">
        <v>97</v>
      </c>
      <c r="AE99" t="s">
        <v>357</v>
      </c>
      <c r="AF99"/>
      <c r="AG99"/>
      <c r="AH99"/>
      <c r="AI99"/>
      <c r="AJ99"/>
      <c r="AK99"/>
      <c r="AL99"/>
    </row>
    <row r="100" spans="30:38" ht="14.5" x14ac:dyDescent="0.35">
      <c r="AD100">
        <v>98</v>
      </c>
      <c r="AE100" t="s">
        <v>358</v>
      </c>
      <c r="AF100"/>
      <c r="AG100"/>
      <c r="AH100"/>
      <c r="AI100"/>
      <c r="AJ100"/>
      <c r="AK100"/>
      <c r="AL100"/>
    </row>
    <row r="101" spans="30:38" ht="14.5" x14ac:dyDescent="0.35">
      <c r="AD101">
        <v>99</v>
      </c>
      <c r="AE101" t="s">
        <v>359</v>
      </c>
      <c r="AF101"/>
      <c r="AG101"/>
      <c r="AH101"/>
      <c r="AI101"/>
      <c r="AJ101"/>
      <c r="AK101"/>
      <c r="AL101"/>
    </row>
    <row r="102" spans="30:38" ht="14.5" x14ac:dyDescent="0.35">
      <c r="AD102">
        <v>100</v>
      </c>
      <c r="AE102" t="s">
        <v>360</v>
      </c>
      <c r="AF102"/>
      <c r="AG102"/>
      <c r="AH102"/>
      <c r="AI102"/>
      <c r="AJ102"/>
      <c r="AK102"/>
      <c r="AL102"/>
    </row>
    <row r="103" spans="30:38" ht="14.5" x14ac:dyDescent="0.35">
      <c r="AD103">
        <v>101</v>
      </c>
      <c r="AE103" t="s">
        <v>361</v>
      </c>
      <c r="AF103"/>
      <c r="AG103"/>
      <c r="AH103"/>
      <c r="AI103"/>
      <c r="AJ103"/>
      <c r="AK103"/>
      <c r="AL103"/>
    </row>
    <row r="104" spans="30:38" ht="14.5" x14ac:dyDescent="0.35">
      <c r="AD104">
        <v>102</v>
      </c>
      <c r="AE104" t="s">
        <v>362</v>
      </c>
      <c r="AF104"/>
      <c r="AG104"/>
      <c r="AH104"/>
      <c r="AI104"/>
      <c r="AJ104"/>
      <c r="AK104"/>
      <c r="AL104"/>
    </row>
    <row r="105" spans="30:38" ht="14.5" x14ac:dyDescent="0.35">
      <c r="AD105">
        <v>103</v>
      </c>
      <c r="AE105" t="s">
        <v>363</v>
      </c>
      <c r="AF105"/>
      <c r="AG105"/>
      <c r="AH105"/>
      <c r="AI105"/>
      <c r="AJ105"/>
      <c r="AK105"/>
      <c r="AL105"/>
    </row>
    <row r="106" spans="30:38" ht="14.5" x14ac:dyDescent="0.35">
      <c r="AD106">
        <v>104</v>
      </c>
      <c r="AE106" t="s">
        <v>364</v>
      </c>
      <c r="AF106"/>
      <c r="AG106"/>
      <c r="AH106"/>
      <c r="AI106"/>
      <c r="AJ106"/>
      <c r="AK106"/>
      <c r="AL106"/>
    </row>
    <row r="107" spans="30:38" ht="14.5" x14ac:dyDescent="0.35">
      <c r="AD107">
        <v>105</v>
      </c>
      <c r="AE107" t="s">
        <v>365</v>
      </c>
      <c r="AF107"/>
      <c r="AG107"/>
      <c r="AH107"/>
      <c r="AI107"/>
      <c r="AJ107"/>
      <c r="AK107"/>
      <c r="AL107"/>
    </row>
    <row r="108" spans="30:38" ht="14.5" x14ac:dyDescent="0.35">
      <c r="AD108">
        <v>106</v>
      </c>
      <c r="AE108" t="s">
        <v>249</v>
      </c>
      <c r="AF108"/>
      <c r="AG108"/>
      <c r="AH108"/>
      <c r="AI108"/>
      <c r="AJ108"/>
      <c r="AK108"/>
      <c r="AL108"/>
    </row>
    <row r="109" spans="30:38" ht="14.5" x14ac:dyDescent="0.35">
      <c r="AD109">
        <v>107</v>
      </c>
      <c r="AE109" t="s">
        <v>247</v>
      </c>
      <c r="AF109"/>
      <c r="AG109"/>
      <c r="AH109"/>
      <c r="AI109"/>
      <c r="AJ109"/>
      <c r="AK109"/>
      <c r="AL109"/>
    </row>
    <row r="110" spans="30:38" ht="14.5" x14ac:dyDescent="0.35">
      <c r="AD110">
        <v>108</v>
      </c>
      <c r="AE110" t="s">
        <v>366</v>
      </c>
      <c r="AF110"/>
      <c r="AG110"/>
      <c r="AH110"/>
      <c r="AI110"/>
      <c r="AJ110"/>
      <c r="AK110"/>
      <c r="AL110"/>
    </row>
    <row r="111" spans="30:38" ht="14.5" x14ac:dyDescent="0.35">
      <c r="AD111">
        <v>109</v>
      </c>
      <c r="AE111" t="s">
        <v>241</v>
      </c>
      <c r="AF111"/>
      <c r="AG111"/>
      <c r="AH111"/>
      <c r="AI111"/>
      <c r="AJ111"/>
      <c r="AK111"/>
      <c r="AL111"/>
    </row>
    <row r="112" spans="30:38" ht="14.5" x14ac:dyDescent="0.35">
      <c r="AD112">
        <v>110</v>
      </c>
      <c r="AE112" t="s">
        <v>367</v>
      </c>
      <c r="AF112"/>
      <c r="AG112"/>
      <c r="AH112"/>
      <c r="AI112"/>
      <c r="AJ112"/>
      <c r="AK112"/>
      <c r="AL112"/>
    </row>
    <row r="113" spans="30:38" ht="14.5" x14ac:dyDescent="0.35">
      <c r="AD113">
        <v>111</v>
      </c>
      <c r="AE113" t="s">
        <v>368</v>
      </c>
      <c r="AF113"/>
      <c r="AG113"/>
      <c r="AH113"/>
      <c r="AI113"/>
      <c r="AJ113"/>
      <c r="AK113"/>
      <c r="AL113"/>
    </row>
    <row r="114" spans="30:38" ht="14.5" x14ac:dyDescent="0.35">
      <c r="AD114">
        <v>112</v>
      </c>
      <c r="AE114" t="s">
        <v>369</v>
      </c>
      <c r="AF114"/>
      <c r="AG114"/>
      <c r="AH114"/>
      <c r="AI114"/>
      <c r="AJ114"/>
      <c r="AK114"/>
      <c r="AL114"/>
    </row>
    <row r="115" spans="30:38" ht="14.5" x14ac:dyDescent="0.35">
      <c r="AD115">
        <v>113</v>
      </c>
      <c r="AE115" t="s">
        <v>370</v>
      </c>
      <c r="AF115"/>
      <c r="AG115"/>
      <c r="AH115"/>
      <c r="AI115"/>
      <c r="AJ115"/>
      <c r="AK115"/>
      <c r="AL115"/>
    </row>
    <row r="116" spans="30:38" ht="14.5" x14ac:dyDescent="0.35">
      <c r="AD116">
        <v>114</v>
      </c>
      <c r="AE116" t="s">
        <v>244</v>
      </c>
      <c r="AF116"/>
      <c r="AG116"/>
      <c r="AH116"/>
      <c r="AI116"/>
      <c r="AJ116"/>
      <c r="AK116"/>
      <c r="AL116"/>
    </row>
    <row r="117" spans="30:38" ht="14.5" x14ac:dyDescent="0.35">
      <c r="AD117">
        <v>115</v>
      </c>
      <c r="AE117" t="s">
        <v>371</v>
      </c>
      <c r="AF117"/>
      <c r="AG117"/>
      <c r="AH117"/>
      <c r="AI117"/>
      <c r="AJ117"/>
      <c r="AK117"/>
      <c r="AL117"/>
    </row>
    <row r="118" spans="30:38" ht="14.5" x14ac:dyDescent="0.35">
      <c r="AD118">
        <v>116</v>
      </c>
      <c r="AE118" t="s">
        <v>372</v>
      </c>
      <c r="AF118"/>
      <c r="AG118"/>
      <c r="AH118"/>
      <c r="AI118"/>
      <c r="AJ118"/>
      <c r="AK118"/>
      <c r="AL118"/>
    </row>
    <row r="119" spans="30:38" ht="14.5" x14ac:dyDescent="0.35">
      <c r="AD119">
        <v>117</v>
      </c>
      <c r="AE119" t="s">
        <v>373</v>
      </c>
      <c r="AF119"/>
      <c r="AG119"/>
      <c r="AH119"/>
      <c r="AI119"/>
      <c r="AJ119"/>
      <c r="AK119"/>
      <c r="AL119"/>
    </row>
    <row r="120" spans="30:38" ht="14.5" x14ac:dyDescent="0.35">
      <c r="AD120">
        <v>118</v>
      </c>
      <c r="AE120" t="s">
        <v>374</v>
      </c>
      <c r="AF120"/>
      <c r="AG120"/>
      <c r="AH120"/>
      <c r="AI120"/>
      <c r="AJ120"/>
      <c r="AK120"/>
      <c r="AL120"/>
    </row>
    <row r="121" spans="30:38" ht="14.5" x14ac:dyDescent="0.35">
      <c r="AD121">
        <v>119</v>
      </c>
      <c r="AE121" t="s">
        <v>375</v>
      </c>
      <c r="AF121"/>
      <c r="AG121"/>
      <c r="AH121"/>
      <c r="AI121"/>
      <c r="AJ121"/>
      <c r="AK121"/>
      <c r="AL121"/>
    </row>
    <row r="122" spans="30:38" ht="14.5" x14ac:dyDescent="0.35">
      <c r="AD122">
        <v>120</v>
      </c>
      <c r="AE122" t="s">
        <v>376</v>
      </c>
      <c r="AF122"/>
      <c r="AG122"/>
      <c r="AH122"/>
      <c r="AI122"/>
      <c r="AJ122"/>
      <c r="AK122"/>
      <c r="AL122"/>
    </row>
    <row r="123" spans="30:38" ht="14.5" x14ac:dyDescent="0.35">
      <c r="AD123">
        <v>121</v>
      </c>
      <c r="AE123" t="s">
        <v>377</v>
      </c>
      <c r="AF123"/>
      <c r="AG123"/>
      <c r="AH123"/>
      <c r="AI123"/>
      <c r="AJ123"/>
      <c r="AK123"/>
      <c r="AL123"/>
    </row>
    <row r="124" spans="30:38" ht="14.5" x14ac:dyDescent="0.35">
      <c r="AD124">
        <v>122</v>
      </c>
      <c r="AE124" t="s">
        <v>378</v>
      </c>
      <c r="AF124"/>
      <c r="AG124"/>
      <c r="AH124"/>
      <c r="AI124"/>
      <c r="AJ124"/>
      <c r="AK124"/>
      <c r="AL124"/>
    </row>
    <row r="125" spans="30:38" ht="14.5" x14ac:dyDescent="0.35">
      <c r="AD125">
        <v>123</v>
      </c>
      <c r="AE125" t="s">
        <v>379</v>
      </c>
      <c r="AF125"/>
      <c r="AG125"/>
      <c r="AH125"/>
      <c r="AI125"/>
      <c r="AJ125"/>
      <c r="AK125"/>
      <c r="AL125"/>
    </row>
    <row r="126" spans="30:38" ht="14.5" x14ac:dyDescent="0.35">
      <c r="AD126">
        <v>124</v>
      </c>
      <c r="AE126" t="s">
        <v>380</v>
      </c>
      <c r="AF126"/>
      <c r="AG126"/>
      <c r="AH126"/>
      <c r="AI126"/>
      <c r="AJ126"/>
      <c r="AK126"/>
      <c r="AL126"/>
    </row>
    <row r="127" spans="30:38" ht="14.5" x14ac:dyDescent="0.35">
      <c r="AD127">
        <v>125</v>
      </c>
      <c r="AE127" t="s">
        <v>381</v>
      </c>
      <c r="AF127"/>
      <c r="AG127"/>
      <c r="AH127"/>
      <c r="AI127"/>
      <c r="AJ127"/>
      <c r="AK127"/>
      <c r="AL127"/>
    </row>
    <row r="128" spans="30:38" ht="14.5" x14ac:dyDescent="0.35">
      <c r="AD128">
        <v>126</v>
      </c>
      <c r="AE128" t="s">
        <v>382</v>
      </c>
      <c r="AF128"/>
      <c r="AG128"/>
      <c r="AH128"/>
      <c r="AI128"/>
      <c r="AJ128"/>
      <c r="AK128"/>
      <c r="AL128"/>
    </row>
    <row r="129" spans="30:38" ht="14.5" x14ac:dyDescent="0.35">
      <c r="AD129">
        <v>127</v>
      </c>
      <c r="AE129" t="s">
        <v>383</v>
      </c>
      <c r="AF129"/>
      <c r="AG129"/>
      <c r="AH129"/>
      <c r="AI129"/>
      <c r="AJ129"/>
      <c r="AK129"/>
      <c r="AL129"/>
    </row>
    <row r="130" spans="30:38" ht="14.5" x14ac:dyDescent="0.35">
      <c r="AD130">
        <v>128</v>
      </c>
      <c r="AE130" t="s">
        <v>384</v>
      </c>
      <c r="AF130"/>
      <c r="AG130"/>
      <c r="AH130"/>
      <c r="AI130"/>
      <c r="AJ130"/>
      <c r="AK130"/>
      <c r="AL130"/>
    </row>
    <row r="131" spans="30:38" ht="14.5" x14ac:dyDescent="0.35">
      <c r="AD131">
        <v>129</v>
      </c>
      <c r="AE131" t="s">
        <v>385</v>
      </c>
      <c r="AF131"/>
      <c r="AG131"/>
      <c r="AH131"/>
      <c r="AI131"/>
      <c r="AJ131"/>
      <c r="AK131"/>
      <c r="AL131"/>
    </row>
    <row r="132" spans="30:38" ht="14.5" x14ac:dyDescent="0.35">
      <c r="AD132">
        <v>130</v>
      </c>
      <c r="AE132" t="s">
        <v>386</v>
      </c>
      <c r="AF132"/>
      <c r="AG132"/>
      <c r="AH132"/>
      <c r="AI132"/>
      <c r="AJ132"/>
      <c r="AK132"/>
      <c r="AL132"/>
    </row>
    <row r="133" spans="30:38" ht="14.5" x14ac:dyDescent="0.35">
      <c r="AD133">
        <v>131</v>
      </c>
      <c r="AE133" t="s">
        <v>387</v>
      </c>
      <c r="AF133"/>
      <c r="AG133"/>
      <c r="AH133"/>
      <c r="AI133"/>
      <c r="AJ133"/>
      <c r="AK133"/>
      <c r="AL133"/>
    </row>
    <row r="134" spans="30:38" ht="14.5" x14ac:dyDescent="0.35">
      <c r="AD134">
        <v>132</v>
      </c>
      <c r="AE134" t="s">
        <v>388</v>
      </c>
      <c r="AF134"/>
      <c r="AG134"/>
      <c r="AH134"/>
      <c r="AI134"/>
      <c r="AJ134"/>
      <c r="AK134"/>
      <c r="AL134"/>
    </row>
    <row r="135" spans="30:38" ht="14.5" x14ac:dyDescent="0.35">
      <c r="AD135">
        <v>133</v>
      </c>
      <c r="AE135" t="s">
        <v>238</v>
      </c>
      <c r="AF135"/>
      <c r="AG135"/>
      <c r="AH135"/>
      <c r="AI135"/>
      <c r="AJ135"/>
      <c r="AK135"/>
      <c r="AL135"/>
    </row>
    <row r="136" spans="30:38" ht="14.5" x14ac:dyDescent="0.35">
      <c r="AD136">
        <v>134</v>
      </c>
      <c r="AE136" t="s">
        <v>239</v>
      </c>
      <c r="AF136"/>
      <c r="AG136"/>
      <c r="AH136"/>
      <c r="AI136"/>
      <c r="AJ136"/>
      <c r="AK136"/>
      <c r="AL136"/>
    </row>
    <row r="137" spans="30:38" ht="14.5" x14ac:dyDescent="0.35">
      <c r="AD137">
        <v>135</v>
      </c>
      <c r="AE137" t="s">
        <v>389</v>
      </c>
      <c r="AF137"/>
      <c r="AG137"/>
      <c r="AH137"/>
      <c r="AI137"/>
      <c r="AJ137"/>
      <c r="AK137"/>
      <c r="AL137"/>
    </row>
    <row r="138" spans="30:38" ht="14.5" x14ac:dyDescent="0.35">
      <c r="AD138">
        <v>136</v>
      </c>
      <c r="AE138" t="s">
        <v>243</v>
      </c>
      <c r="AF138"/>
      <c r="AG138"/>
      <c r="AH138"/>
      <c r="AI138"/>
      <c r="AJ138"/>
      <c r="AK138"/>
      <c r="AL138"/>
    </row>
    <row r="139" spans="30:38" ht="14.5" x14ac:dyDescent="0.35">
      <c r="AD139">
        <v>137</v>
      </c>
      <c r="AE139" t="s">
        <v>390</v>
      </c>
      <c r="AF139"/>
      <c r="AG139"/>
      <c r="AH139"/>
      <c r="AI139"/>
      <c r="AJ139"/>
      <c r="AK139"/>
      <c r="AL139"/>
    </row>
    <row r="140" spans="30:38" ht="14.5" x14ac:dyDescent="0.35">
      <c r="AD140">
        <v>138</v>
      </c>
      <c r="AE140" t="s">
        <v>391</v>
      </c>
      <c r="AF140"/>
      <c r="AG140"/>
      <c r="AH140"/>
      <c r="AI140"/>
      <c r="AJ140"/>
      <c r="AK140"/>
      <c r="AL140"/>
    </row>
    <row r="141" spans="30:38" ht="14.5" x14ac:dyDescent="0.35">
      <c r="AD141">
        <v>139</v>
      </c>
      <c r="AE141" t="s">
        <v>392</v>
      </c>
      <c r="AF141"/>
      <c r="AG141"/>
      <c r="AH141"/>
      <c r="AI141"/>
      <c r="AJ141"/>
      <c r="AK141"/>
      <c r="AL141"/>
    </row>
    <row r="142" spans="30:38" ht="14.5" x14ac:dyDescent="0.35">
      <c r="AD142">
        <v>140</v>
      </c>
      <c r="AE142" t="s">
        <v>393</v>
      </c>
      <c r="AF142"/>
      <c r="AG142"/>
      <c r="AH142"/>
      <c r="AI142"/>
      <c r="AJ142"/>
      <c r="AK142"/>
      <c r="AL142"/>
    </row>
    <row r="143" spans="30:38" ht="14.5" x14ac:dyDescent="0.35">
      <c r="AD143">
        <v>141</v>
      </c>
      <c r="AE143" t="s">
        <v>394</v>
      </c>
      <c r="AF143"/>
      <c r="AG143"/>
      <c r="AH143"/>
      <c r="AI143"/>
      <c r="AJ143"/>
      <c r="AK143"/>
      <c r="AL143"/>
    </row>
    <row r="144" spans="30:38" ht="14.5" x14ac:dyDescent="0.35">
      <c r="AD144">
        <v>142</v>
      </c>
      <c r="AE144" t="s">
        <v>395</v>
      </c>
      <c r="AF144"/>
      <c r="AG144"/>
      <c r="AH144"/>
      <c r="AI144"/>
      <c r="AJ144"/>
      <c r="AK144"/>
      <c r="AL144"/>
    </row>
    <row r="145" spans="30:38" ht="14.5" x14ac:dyDescent="0.35">
      <c r="AD145">
        <v>143</v>
      </c>
      <c r="AE145" t="s">
        <v>396</v>
      </c>
      <c r="AF145"/>
      <c r="AG145"/>
      <c r="AH145"/>
      <c r="AI145"/>
      <c r="AJ145"/>
      <c r="AK145"/>
      <c r="AL145"/>
    </row>
    <row r="146" spans="30:38" ht="14.5" x14ac:dyDescent="0.35">
      <c r="AD146">
        <v>144</v>
      </c>
      <c r="AE146" t="s">
        <v>397</v>
      </c>
      <c r="AF146"/>
      <c r="AG146"/>
      <c r="AH146"/>
      <c r="AI146"/>
      <c r="AJ146"/>
      <c r="AK146"/>
      <c r="AL146"/>
    </row>
    <row r="147" spans="30:38" ht="14.5" x14ac:dyDescent="0.35">
      <c r="AD147">
        <v>145</v>
      </c>
      <c r="AE147" t="s">
        <v>398</v>
      </c>
      <c r="AF147"/>
      <c r="AG147"/>
      <c r="AH147"/>
      <c r="AI147"/>
      <c r="AJ147"/>
      <c r="AK147"/>
      <c r="AL147"/>
    </row>
    <row r="148" spans="30:38" ht="14.5" x14ac:dyDescent="0.35">
      <c r="AD148">
        <v>146</v>
      </c>
      <c r="AE148" t="s">
        <v>240</v>
      </c>
      <c r="AF148"/>
      <c r="AG148"/>
      <c r="AH148"/>
      <c r="AI148"/>
      <c r="AJ148"/>
      <c r="AK148"/>
      <c r="AL148"/>
    </row>
    <row r="149" spans="30:38" ht="14.5" x14ac:dyDescent="0.35">
      <c r="AD149">
        <v>147</v>
      </c>
      <c r="AE149" t="s">
        <v>399</v>
      </c>
      <c r="AF149"/>
      <c r="AG149"/>
      <c r="AH149"/>
      <c r="AI149"/>
      <c r="AJ149"/>
      <c r="AK149"/>
      <c r="AL149"/>
    </row>
    <row r="150" spans="30:38" ht="14.5" x14ac:dyDescent="0.35">
      <c r="AD150">
        <v>148</v>
      </c>
      <c r="AE150" t="s">
        <v>242</v>
      </c>
      <c r="AF150"/>
      <c r="AG150"/>
      <c r="AH150"/>
      <c r="AI150"/>
      <c r="AJ150"/>
      <c r="AK150"/>
      <c r="AL150"/>
    </row>
    <row r="151" spans="30:38" ht="14.5" x14ac:dyDescent="0.35">
      <c r="AD151">
        <v>149</v>
      </c>
      <c r="AE151" t="s">
        <v>400</v>
      </c>
      <c r="AF151"/>
      <c r="AG151"/>
      <c r="AH151"/>
      <c r="AI151"/>
      <c r="AJ151"/>
      <c r="AK151"/>
      <c r="AL151"/>
    </row>
    <row r="152" spans="30:38" ht="14.5" x14ac:dyDescent="0.35">
      <c r="AD152">
        <v>150</v>
      </c>
      <c r="AE152" t="s">
        <v>237</v>
      </c>
      <c r="AF152"/>
      <c r="AG152"/>
      <c r="AH152"/>
      <c r="AI152"/>
      <c r="AJ152"/>
      <c r="AK152"/>
      <c r="AL152"/>
    </row>
    <row r="153" spans="30:38" ht="14.5" x14ac:dyDescent="0.35">
      <c r="AD153">
        <v>151</v>
      </c>
      <c r="AE153" t="s">
        <v>401</v>
      </c>
      <c r="AF153"/>
      <c r="AG153"/>
      <c r="AH153"/>
      <c r="AI153"/>
      <c r="AJ153"/>
      <c r="AK153"/>
      <c r="AL153"/>
    </row>
    <row r="154" spans="30:38" ht="14.5" x14ac:dyDescent="0.35">
      <c r="AD154">
        <v>152</v>
      </c>
      <c r="AE154" t="s">
        <v>402</v>
      </c>
      <c r="AF154"/>
      <c r="AG154"/>
      <c r="AH154"/>
      <c r="AI154"/>
      <c r="AJ154"/>
      <c r="AK154"/>
      <c r="AL154"/>
    </row>
    <row r="155" spans="30:38" ht="14.5" x14ac:dyDescent="0.35">
      <c r="AD155">
        <v>153</v>
      </c>
      <c r="AE155" t="s">
        <v>403</v>
      </c>
      <c r="AF155"/>
      <c r="AG155"/>
      <c r="AH155"/>
      <c r="AI155"/>
      <c r="AJ155"/>
      <c r="AK155"/>
      <c r="AL155"/>
    </row>
    <row r="156" spans="30:38" ht="14.5" x14ac:dyDescent="0.35">
      <c r="AD156">
        <v>154</v>
      </c>
      <c r="AE156" t="s">
        <v>404</v>
      </c>
      <c r="AF156"/>
      <c r="AG156"/>
      <c r="AH156"/>
      <c r="AI156"/>
      <c r="AJ156"/>
      <c r="AK156"/>
      <c r="AL156"/>
    </row>
    <row r="157" spans="30:38" ht="14.5" x14ac:dyDescent="0.35">
      <c r="AD157">
        <v>155</v>
      </c>
      <c r="AE157" t="s">
        <v>405</v>
      </c>
      <c r="AF157"/>
      <c r="AG157"/>
      <c r="AH157"/>
      <c r="AI157"/>
      <c r="AJ157"/>
      <c r="AK157"/>
      <c r="AL157"/>
    </row>
    <row r="158" spans="30:38" ht="14.5" x14ac:dyDescent="0.35">
      <c r="AD158">
        <v>156</v>
      </c>
      <c r="AE158" t="s">
        <v>406</v>
      </c>
      <c r="AF158"/>
      <c r="AG158"/>
      <c r="AH158"/>
      <c r="AI158"/>
      <c r="AJ158"/>
      <c r="AK158"/>
      <c r="AL158"/>
    </row>
    <row r="159" spans="30:38" ht="14.5" x14ac:dyDescent="0.35">
      <c r="AD159">
        <v>157</v>
      </c>
      <c r="AE159" t="s">
        <v>407</v>
      </c>
      <c r="AF159"/>
      <c r="AG159"/>
      <c r="AH159"/>
      <c r="AI159"/>
      <c r="AJ159"/>
      <c r="AK159"/>
      <c r="AL159"/>
    </row>
    <row r="160" spans="30:38" ht="14.5" x14ac:dyDescent="0.35">
      <c r="AD160">
        <v>158</v>
      </c>
      <c r="AE160" t="s">
        <v>408</v>
      </c>
      <c r="AF160"/>
      <c r="AG160"/>
      <c r="AH160"/>
      <c r="AI160"/>
      <c r="AJ160"/>
      <c r="AK160"/>
      <c r="AL160"/>
    </row>
    <row r="161" spans="30:38" ht="14.5" x14ac:dyDescent="0.35">
      <c r="AD161">
        <v>159</v>
      </c>
      <c r="AE161" t="s">
        <v>409</v>
      </c>
      <c r="AF161"/>
      <c r="AG161"/>
      <c r="AH161"/>
      <c r="AI161"/>
      <c r="AJ161"/>
      <c r="AK161"/>
      <c r="AL161"/>
    </row>
    <row r="162" spans="30:38" ht="14.5" x14ac:dyDescent="0.35">
      <c r="AD162">
        <v>160</v>
      </c>
      <c r="AE162" t="s">
        <v>410</v>
      </c>
      <c r="AF162"/>
      <c r="AG162"/>
      <c r="AH162"/>
      <c r="AI162"/>
      <c r="AJ162"/>
      <c r="AK162"/>
      <c r="AL162"/>
    </row>
    <row r="163" spans="30:38" ht="14.5" x14ac:dyDescent="0.35">
      <c r="AD163">
        <v>161</v>
      </c>
      <c r="AE163" t="s">
        <v>411</v>
      </c>
      <c r="AF163"/>
      <c r="AG163"/>
      <c r="AH163"/>
      <c r="AI163"/>
      <c r="AJ163"/>
      <c r="AK163"/>
      <c r="AL163"/>
    </row>
    <row r="164" spans="30:38" ht="14.5" x14ac:dyDescent="0.35">
      <c r="AD164">
        <v>162</v>
      </c>
      <c r="AE164" t="s">
        <v>412</v>
      </c>
      <c r="AF164"/>
      <c r="AG164"/>
      <c r="AH164"/>
      <c r="AI164"/>
      <c r="AJ164"/>
      <c r="AK164"/>
      <c r="AL164"/>
    </row>
    <row r="165" spans="30:38" ht="14.5" x14ac:dyDescent="0.35">
      <c r="AD165">
        <v>163</v>
      </c>
      <c r="AE165" t="s">
        <v>413</v>
      </c>
      <c r="AF165"/>
      <c r="AG165"/>
      <c r="AH165"/>
      <c r="AI165"/>
      <c r="AJ165"/>
      <c r="AK165"/>
      <c r="AL165"/>
    </row>
    <row r="166" spans="30:38" ht="14.5" x14ac:dyDescent="0.35">
      <c r="AD166">
        <v>164</v>
      </c>
      <c r="AE166" t="s">
        <v>414</v>
      </c>
      <c r="AF166"/>
      <c r="AG166"/>
      <c r="AH166"/>
      <c r="AI166"/>
      <c r="AJ166"/>
      <c r="AK166"/>
      <c r="AL166"/>
    </row>
    <row r="167" spans="30:38" ht="14.5" x14ac:dyDescent="0.35">
      <c r="AD167">
        <v>165</v>
      </c>
      <c r="AE167" t="s">
        <v>415</v>
      </c>
      <c r="AF167"/>
      <c r="AG167"/>
      <c r="AH167"/>
      <c r="AI167"/>
      <c r="AJ167"/>
      <c r="AK167"/>
      <c r="AL167"/>
    </row>
    <row r="168" spans="30:38" ht="14.5" x14ac:dyDescent="0.35">
      <c r="AD168">
        <v>166</v>
      </c>
      <c r="AE168" t="s">
        <v>416</v>
      </c>
      <c r="AF168"/>
      <c r="AG168"/>
      <c r="AH168"/>
      <c r="AI168"/>
      <c r="AJ168"/>
      <c r="AK168"/>
      <c r="AL168"/>
    </row>
    <row r="169" spans="30:38" ht="14.5" x14ac:dyDescent="0.35">
      <c r="AD169">
        <v>167</v>
      </c>
      <c r="AE169" t="s">
        <v>417</v>
      </c>
      <c r="AF169"/>
      <c r="AG169"/>
      <c r="AH169"/>
      <c r="AI169"/>
      <c r="AJ169"/>
      <c r="AK169"/>
      <c r="AL169"/>
    </row>
    <row r="170" spans="30:38" ht="14.5" x14ac:dyDescent="0.35">
      <c r="AD170">
        <v>168</v>
      </c>
      <c r="AE170" t="s">
        <v>418</v>
      </c>
      <c r="AF170"/>
      <c r="AG170"/>
      <c r="AH170"/>
      <c r="AI170"/>
      <c r="AJ170"/>
      <c r="AK170"/>
      <c r="AL170"/>
    </row>
    <row r="171" spans="30:38" ht="14.5" x14ac:dyDescent="0.35">
      <c r="AD171">
        <v>169</v>
      </c>
      <c r="AE171" t="s">
        <v>245</v>
      </c>
      <c r="AF171"/>
      <c r="AG171"/>
      <c r="AH171"/>
      <c r="AI171"/>
      <c r="AJ171"/>
      <c r="AK171"/>
      <c r="AL171"/>
    </row>
    <row r="172" spans="30:38" ht="14.5" x14ac:dyDescent="0.35">
      <c r="AD172">
        <v>170</v>
      </c>
      <c r="AE172" t="s">
        <v>419</v>
      </c>
      <c r="AF172"/>
      <c r="AG172"/>
      <c r="AH172"/>
      <c r="AI172"/>
      <c r="AJ172"/>
      <c r="AK172"/>
      <c r="AL172"/>
    </row>
    <row r="173" spans="30:38" ht="14.5" x14ac:dyDescent="0.35">
      <c r="AD173">
        <v>171</v>
      </c>
      <c r="AE173" t="s">
        <v>420</v>
      </c>
      <c r="AF173"/>
      <c r="AG173"/>
      <c r="AH173"/>
      <c r="AI173"/>
      <c r="AJ173"/>
      <c r="AK173"/>
      <c r="AL173"/>
    </row>
    <row r="174" spans="30:38" ht="14.5" x14ac:dyDescent="0.35">
      <c r="AD174">
        <v>172</v>
      </c>
      <c r="AE174" t="s">
        <v>421</v>
      </c>
      <c r="AF174"/>
      <c r="AG174"/>
      <c r="AH174"/>
      <c r="AI174"/>
      <c r="AJ174"/>
      <c r="AK174"/>
      <c r="AL174"/>
    </row>
    <row r="175" spans="30:38" ht="14.5" x14ac:dyDescent="0.35">
      <c r="AD175">
        <v>173</v>
      </c>
      <c r="AE175" t="s">
        <v>422</v>
      </c>
      <c r="AF175"/>
      <c r="AG175"/>
      <c r="AH175"/>
      <c r="AI175"/>
      <c r="AJ175"/>
      <c r="AK175"/>
      <c r="AL175"/>
    </row>
    <row r="176" spans="30:38" ht="14.5" x14ac:dyDescent="0.35">
      <c r="AD176">
        <v>174</v>
      </c>
      <c r="AE176" t="s">
        <v>248</v>
      </c>
      <c r="AF176"/>
      <c r="AG176"/>
      <c r="AH176"/>
      <c r="AI176"/>
      <c r="AJ176"/>
      <c r="AK176"/>
      <c r="AL176"/>
    </row>
    <row r="177" spans="30:38" ht="14.5" x14ac:dyDescent="0.35">
      <c r="AD177">
        <v>175</v>
      </c>
      <c r="AE177" t="s">
        <v>423</v>
      </c>
      <c r="AF177"/>
      <c r="AG177"/>
      <c r="AH177"/>
      <c r="AI177"/>
      <c r="AJ177"/>
      <c r="AK177"/>
      <c r="AL177"/>
    </row>
    <row r="178" spans="30:38" ht="14.5" x14ac:dyDescent="0.35">
      <c r="AD178">
        <v>176</v>
      </c>
      <c r="AE178" t="s">
        <v>424</v>
      </c>
      <c r="AF178"/>
      <c r="AG178"/>
      <c r="AH178"/>
      <c r="AI178"/>
      <c r="AJ178"/>
      <c r="AK178"/>
      <c r="AL178"/>
    </row>
    <row r="179" spans="30:38" ht="14.5" x14ac:dyDescent="0.35">
      <c r="AD179">
        <v>177</v>
      </c>
      <c r="AE179" t="s">
        <v>425</v>
      </c>
      <c r="AF179"/>
      <c r="AG179"/>
      <c r="AH179"/>
      <c r="AI179"/>
      <c r="AJ179"/>
      <c r="AK179"/>
      <c r="AL179"/>
    </row>
    <row r="180" spans="30:38" ht="14.5" x14ac:dyDescent="0.35">
      <c r="AD180">
        <v>178</v>
      </c>
      <c r="AE180" t="s">
        <v>426</v>
      </c>
      <c r="AF180"/>
      <c r="AG180"/>
      <c r="AH180"/>
      <c r="AI180"/>
      <c r="AJ180"/>
      <c r="AK180"/>
      <c r="AL180"/>
    </row>
    <row r="181" spans="30:38" ht="14.5" x14ac:dyDescent="0.35">
      <c r="AD181">
        <v>179</v>
      </c>
      <c r="AE181" t="s">
        <v>427</v>
      </c>
      <c r="AF181"/>
      <c r="AG181"/>
      <c r="AH181"/>
      <c r="AI181"/>
      <c r="AJ181"/>
      <c r="AK181"/>
      <c r="AL181"/>
    </row>
    <row r="182" spans="30:38" ht="14.5" x14ac:dyDescent="0.35">
      <c r="AD182">
        <v>180</v>
      </c>
      <c r="AE182" t="s">
        <v>428</v>
      </c>
      <c r="AF182"/>
      <c r="AG182"/>
      <c r="AH182"/>
      <c r="AI182"/>
      <c r="AJ182"/>
      <c r="AK182"/>
      <c r="AL182"/>
    </row>
    <row r="183" spans="30:38" ht="14.5" x14ac:dyDescent="0.35">
      <c r="AD183">
        <v>181</v>
      </c>
      <c r="AE183" t="s">
        <v>429</v>
      </c>
      <c r="AF183"/>
      <c r="AG183"/>
      <c r="AH183"/>
      <c r="AI183"/>
      <c r="AJ183"/>
      <c r="AK183"/>
      <c r="AL183"/>
    </row>
    <row r="184" spans="30:38" ht="14.5" x14ac:dyDescent="0.35">
      <c r="AD184">
        <v>182</v>
      </c>
      <c r="AE184" t="s">
        <v>430</v>
      </c>
      <c r="AF184"/>
      <c r="AG184"/>
      <c r="AH184"/>
      <c r="AI184"/>
      <c r="AJ184"/>
      <c r="AK184"/>
      <c r="AL184"/>
    </row>
    <row r="185" spans="30:38" ht="14.5" x14ac:dyDescent="0.35">
      <c r="AD185">
        <v>183</v>
      </c>
      <c r="AE185">
        <v>0</v>
      </c>
      <c r="AF185"/>
      <c r="AG185"/>
      <c r="AH185"/>
      <c r="AI185"/>
      <c r="AJ185"/>
      <c r="AK185"/>
      <c r="AL185"/>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3"/>
  <sheetViews>
    <sheetView showGridLines="0" zoomScaleNormal="100" workbookViewId="0">
      <selection activeCell="C19" sqref="C19"/>
    </sheetView>
  </sheetViews>
  <sheetFormatPr baseColWidth="10" defaultColWidth="0" defaultRowHeight="14.5" x14ac:dyDescent="0.35"/>
  <cols>
    <col min="1" max="1" width="9.1796875" style="178" customWidth="1"/>
    <col min="2" max="2" width="6" customWidth="1"/>
    <col min="3" max="3" width="154.453125" customWidth="1"/>
    <col min="4" max="4" width="7.453125" customWidth="1"/>
    <col min="5" max="5" width="11.453125" style="306" customWidth="1"/>
    <col min="6" max="19" width="0" hidden="1" customWidth="1"/>
    <col min="20" max="16384" width="11.453125" hidden="1"/>
  </cols>
  <sheetData>
    <row r="1" spans="1:19" x14ac:dyDescent="0.35">
      <c r="B1" s="178"/>
      <c r="C1" s="178"/>
      <c r="D1" s="178"/>
      <c r="E1" s="178"/>
      <c r="F1" s="178"/>
      <c r="G1" s="178"/>
      <c r="H1" s="178"/>
      <c r="I1" s="178"/>
      <c r="J1" s="178"/>
      <c r="K1" s="178"/>
      <c r="L1" s="178"/>
      <c r="M1" s="178"/>
      <c r="N1" s="178"/>
      <c r="O1" s="178"/>
      <c r="P1" s="178"/>
      <c r="Q1" s="178"/>
      <c r="R1" s="178"/>
      <c r="S1" s="178"/>
    </row>
    <row r="4" spans="1:19" ht="23.5" x14ac:dyDescent="0.5">
      <c r="A4" s="290"/>
      <c r="C4" s="301" t="s">
        <v>477</v>
      </c>
      <c r="D4" s="301"/>
      <c r="E4" s="307"/>
    </row>
    <row r="5" spans="1:19" ht="21" x14ac:dyDescent="0.5">
      <c r="A5" s="290"/>
      <c r="E5" s="307"/>
    </row>
    <row r="6" spans="1:19" ht="29" x14ac:dyDescent="0.35">
      <c r="C6" s="296" t="s">
        <v>478</v>
      </c>
      <c r="D6" s="296"/>
      <c r="E6" s="307"/>
    </row>
    <row r="7" spans="1:19" ht="18.5" x14ac:dyDescent="0.45">
      <c r="A7" s="291"/>
      <c r="C7" s="9" t="s">
        <v>479</v>
      </c>
      <c r="D7" s="9"/>
      <c r="E7" s="307"/>
    </row>
    <row r="8" spans="1:19" x14ac:dyDescent="0.35">
      <c r="C8" s="297" t="s">
        <v>480</v>
      </c>
      <c r="D8" s="297"/>
      <c r="E8" s="307"/>
    </row>
    <row r="9" spans="1:19" ht="15.5" x14ac:dyDescent="0.35">
      <c r="A9" s="292"/>
      <c r="C9" s="297" t="s">
        <v>481</v>
      </c>
      <c r="D9" s="297"/>
      <c r="E9" s="307"/>
    </row>
    <row r="10" spans="1:19" x14ac:dyDescent="0.35">
      <c r="C10" s="297" t="s">
        <v>482</v>
      </c>
      <c r="D10" s="297"/>
      <c r="E10" s="307"/>
    </row>
    <row r="11" spans="1:19" x14ac:dyDescent="0.35">
      <c r="C11" s="9"/>
      <c r="D11" s="9"/>
      <c r="E11" s="307"/>
    </row>
    <row r="12" spans="1:19" x14ac:dyDescent="0.35">
      <c r="C12" s="9" t="s">
        <v>483</v>
      </c>
      <c r="D12" s="9"/>
      <c r="E12" s="307"/>
    </row>
    <row r="13" spans="1:19" x14ac:dyDescent="0.35">
      <c r="C13" s="9" t="s">
        <v>484</v>
      </c>
      <c r="D13" s="9"/>
      <c r="E13" s="307"/>
    </row>
    <row r="14" spans="1:19" x14ac:dyDescent="0.35">
      <c r="E14" s="307"/>
    </row>
    <row r="15" spans="1:19" x14ac:dyDescent="0.35">
      <c r="C15" s="296" t="s">
        <v>485</v>
      </c>
      <c r="D15" s="296"/>
      <c r="E15" s="307"/>
    </row>
    <row r="16" spans="1:19" ht="29" x14ac:dyDescent="0.35">
      <c r="C16" s="9" t="s">
        <v>486</v>
      </c>
      <c r="D16" s="9"/>
      <c r="E16" s="307"/>
    </row>
    <row r="17" spans="1:5" ht="29" x14ac:dyDescent="0.35">
      <c r="C17" s="9" t="s">
        <v>487</v>
      </c>
      <c r="D17" s="9"/>
      <c r="E17" s="307"/>
    </row>
    <row r="18" spans="1:5" x14ac:dyDescent="0.35">
      <c r="C18" s="9" t="s">
        <v>488</v>
      </c>
      <c r="D18" s="9"/>
      <c r="E18" s="307"/>
    </row>
    <row r="19" spans="1:5" ht="29" x14ac:dyDescent="0.35">
      <c r="C19" s="9" t="s">
        <v>489</v>
      </c>
      <c r="D19" s="9"/>
      <c r="E19" s="307"/>
    </row>
    <row r="20" spans="1:5" x14ac:dyDescent="0.35">
      <c r="C20" s="9"/>
      <c r="D20" s="9"/>
      <c r="E20" s="307"/>
    </row>
    <row r="21" spans="1:5" x14ac:dyDescent="0.35">
      <c r="C21" s="296" t="s">
        <v>490</v>
      </c>
      <c r="D21" s="296"/>
      <c r="E21" s="307"/>
    </row>
    <row r="22" spans="1:5" ht="29" x14ac:dyDescent="0.35">
      <c r="A22" s="293"/>
      <c r="C22" s="9" t="s">
        <v>491</v>
      </c>
      <c r="D22" s="9"/>
      <c r="E22" s="307"/>
    </row>
    <row r="23" spans="1:5" x14ac:dyDescent="0.35">
      <c r="C23" s="9"/>
      <c r="D23" s="9"/>
      <c r="E23" s="307"/>
    </row>
    <row r="24" spans="1:5" x14ac:dyDescent="0.35">
      <c r="C24" s="296" t="s">
        <v>492</v>
      </c>
      <c r="D24" s="296"/>
      <c r="E24" s="307"/>
    </row>
    <row r="25" spans="1:5" x14ac:dyDescent="0.35">
      <c r="C25" s="296"/>
      <c r="D25" s="296"/>
      <c r="E25" s="307"/>
    </row>
    <row r="26" spans="1:5" x14ac:dyDescent="0.35">
      <c r="C26" s="296" t="s">
        <v>493</v>
      </c>
      <c r="D26" s="296"/>
      <c r="E26" s="307"/>
    </row>
    <row r="27" spans="1:5" ht="16.5" x14ac:dyDescent="0.35">
      <c r="C27" s="298" t="s">
        <v>494</v>
      </c>
      <c r="D27" s="298"/>
      <c r="E27" s="307"/>
    </row>
    <row r="28" spans="1:5" ht="45.5" x14ac:dyDescent="0.35">
      <c r="C28" s="298" t="s">
        <v>495</v>
      </c>
      <c r="D28" s="298"/>
      <c r="E28" s="307"/>
    </row>
    <row r="29" spans="1:5" ht="29" x14ac:dyDescent="0.35">
      <c r="C29" s="298" t="s">
        <v>496</v>
      </c>
      <c r="D29" s="298"/>
      <c r="E29" s="307"/>
    </row>
    <row r="36" spans="3:5" x14ac:dyDescent="0.35">
      <c r="C36" s="9"/>
      <c r="D36" s="9"/>
      <c r="E36" s="307"/>
    </row>
    <row r="37" spans="3:5" x14ac:dyDescent="0.35">
      <c r="C37" s="299" t="s">
        <v>497</v>
      </c>
      <c r="D37" s="299"/>
      <c r="E37" s="307"/>
    </row>
    <row r="38" spans="3:5" x14ac:dyDescent="0.35">
      <c r="C38" s="300" t="s">
        <v>498</v>
      </c>
      <c r="D38" s="300"/>
      <c r="E38" s="307"/>
    </row>
    <row r="39" spans="3:5" x14ac:dyDescent="0.35">
      <c r="C39" s="300" t="s">
        <v>499</v>
      </c>
      <c r="D39" s="300"/>
      <c r="E39" s="307"/>
    </row>
    <row r="40" spans="3:5" x14ac:dyDescent="0.35">
      <c r="C40" s="298" t="s">
        <v>500</v>
      </c>
      <c r="D40" s="298"/>
      <c r="E40" s="307"/>
    </row>
    <row r="41" spans="3:5" x14ac:dyDescent="0.35">
      <c r="C41" s="9" t="s">
        <v>501</v>
      </c>
      <c r="D41" s="9"/>
      <c r="E41" s="307"/>
    </row>
    <row r="42" spans="3:5" x14ac:dyDescent="0.35">
      <c r="C42" s="9"/>
      <c r="D42" s="9"/>
      <c r="E42" s="307"/>
    </row>
    <row r="43" spans="3:5" x14ac:dyDescent="0.35">
      <c r="C43" s="296" t="s">
        <v>502</v>
      </c>
      <c r="D43" s="296"/>
      <c r="E43" s="307"/>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20</vt:i4>
      </vt:variant>
      <vt:variant>
        <vt:lpstr>Rangos con nombre</vt:lpstr>
      </vt:variant>
      <vt:variant>
        <vt:i4>25</vt:i4>
      </vt:variant>
    </vt:vector>
  </HeadingPairs>
  <TitlesOfParts>
    <vt:vector size="45" baseType="lpstr">
      <vt:lpstr>INICIO</vt:lpstr>
      <vt:lpstr>1</vt:lpstr>
      <vt:lpstr>2</vt:lpstr>
      <vt:lpstr>3</vt:lpstr>
      <vt:lpstr>4</vt:lpstr>
      <vt:lpstr>5</vt:lpstr>
      <vt:lpstr>6</vt:lpstr>
      <vt:lpstr>7</vt:lpstr>
      <vt:lpstr>8</vt:lpstr>
      <vt:lpstr>9</vt:lpstr>
      <vt:lpstr>10</vt:lpstr>
      <vt:lpstr>11</vt:lpstr>
      <vt:lpstr>12</vt:lpstr>
      <vt:lpstr>13</vt:lpstr>
      <vt:lpstr>14</vt:lpstr>
      <vt:lpstr>15</vt:lpstr>
      <vt:lpstr>Consolidado</vt:lpstr>
      <vt:lpstr>Gráficos</vt:lpstr>
      <vt:lpstr>Validaciones</vt:lpstr>
      <vt:lpstr>Normas</vt:lpstr>
      <vt:lpstr>CC</vt:lpstr>
      <vt:lpstr>CORRAL</vt:lpstr>
      <vt:lpstr>Crea</vt:lpstr>
      <vt:lpstr>cruz</vt:lpstr>
      <vt:lpstr>Destete</vt:lpstr>
      <vt:lpstr>Dieta</vt:lpstr>
      <vt:lpstr>duracion</vt:lpstr>
      <vt:lpstr>edadservicio</vt:lpstr>
      <vt:lpstr>fechaservicio</vt:lpstr>
      <vt:lpstr>MH</vt:lpstr>
      <vt:lpstr>Consolidado!modeloproductivo</vt:lpstr>
      <vt:lpstr>modeloproductivo</vt:lpstr>
      <vt:lpstr>MP</vt:lpstr>
      <vt:lpstr>Pasto</vt:lpstr>
      <vt:lpstr>PER</vt:lpstr>
      <vt:lpstr>periodo</vt:lpstr>
      <vt:lpstr>PET</vt:lpstr>
      <vt:lpstr>PSR</vt:lpstr>
      <vt:lpstr>PST</vt:lpstr>
      <vt:lpstr>region2</vt:lpstr>
      <vt:lpstr>RRFF</vt:lpstr>
      <vt:lpstr>sino</vt:lpstr>
      <vt:lpstr>sino1</vt:lpstr>
      <vt:lpstr>supl</vt:lpstr>
      <vt:lpstr>Suplementacion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Milagros</dc:creator>
  <cp:lastModifiedBy>Mili</cp:lastModifiedBy>
  <cp:lastPrinted>2016-06-30T21:04:48Z</cp:lastPrinted>
  <dcterms:created xsi:type="dcterms:W3CDTF">2015-05-22T13:36:02Z</dcterms:created>
  <dcterms:modified xsi:type="dcterms:W3CDTF">2017-08-16T17:46:04Z</dcterms:modified>
</cp:coreProperties>
</file>