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029"/>
  <workbookPr defaultThemeVersion="124226"/>
  <xr:revisionPtr revIDLastSave="1" documentId="99AA1DC30311D3D078CBDC9B6EF6036A78E5A230" xr6:coauthVersionLast="17" xr6:coauthVersionMax="17" xr10:uidLastSave="{D36C05DF-E54A-495D-83A5-03836BE90C0D}"/>
  <bookViews>
    <workbookView xWindow="240" yWindow="4140" windowWidth="20115" windowHeight="3930" firstSheet="1" activeTab="1" xr2:uid="{00000000-000D-0000-FFFF-FFFF00000000}"/>
  </bookViews>
  <sheets>
    <sheet name="QUETZALES" sheetId="1" r:id="rId1"/>
    <sheet name="DOLARES" sheetId="5" r:id="rId2"/>
  </sheets>
  <calcPr calcId="171026"/>
</workbook>
</file>

<file path=xl/calcChain.xml><?xml version="1.0" encoding="utf-8"?>
<calcChain xmlns="http://schemas.openxmlformats.org/spreadsheetml/2006/main">
  <c r="F82" i="5" l="1"/>
  <c r="F83" i="5"/>
  <c r="F82" i="1"/>
  <c r="F83" i="1"/>
  <c r="F84" i="5"/>
  <c r="F85" i="5"/>
  <c r="F84" i="1"/>
  <c r="F85" i="1"/>
  <c r="F87" i="1"/>
  <c r="D52" i="5"/>
  <c r="E52" i="5"/>
  <c r="F52" i="5"/>
  <c r="D51" i="5"/>
  <c r="E51" i="5"/>
  <c r="F51" i="5"/>
  <c r="D50" i="5"/>
  <c r="E50" i="5"/>
  <c r="F50" i="5"/>
  <c r="D21" i="5"/>
  <c r="D20" i="5"/>
  <c r="D19" i="5"/>
  <c r="D18" i="5"/>
  <c r="D17" i="5"/>
  <c r="D16" i="5"/>
  <c r="F68" i="5"/>
  <c r="F70" i="5"/>
  <c r="D53" i="5"/>
  <c r="E53" i="5"/>
  <c r="F53" i="5"/>
  <c r="F37" i="5"/>
  <c r="F39" i="5"/>
  <c r="F40" i="5"/>
  <c r="E21" i="5"/>
  <c r="F21" i="5"/>
  <c r="F4" i="5"/>
  <c r="F6" i="5"/>
  <c r="F7" i="5"/>
  <c r="F71" i="5"/>
  <c r="F72" i="5"/>
  <c r="F54" i="5"/>
  <c r="D54" i="5"/>
  <c r="F8" i="5"/>
  <c r="E18" i="5"/>
  <c r="F18" i="5"/>
  <c r="E20" i="5"/>
  <c r="F20" i="5"/>
  <c r="D22" i="5"/>
  <c r="E22" i="5"/>
  <c r="F22" i="5"/>
  <c r="F41" i="5"/>
  <c r="E17" i="5"/>
  <c r="F17" i="5"/>
  <c r="E19" i="5"/>
  <c r="F19" i="5"/>
  <c r="G56" i="5"/>
  <c r="F56" i="5"/>
  <c r="F73" i="5"/>
  <c r="F74" i="5"/>
  <c r="D23" i="5"/>
  <c r="E16" i="5"/>
  <c r="F16" i="5"/>
  <c r="F23" i="5"/>
  <c r="F25" i="5"/>
  <c r="F42" i="5"/>
  <c r="F43" i="5"/>
  <c r="F9" i="5"/>
  <c r="F10" i="5"/>
  <c r="J4" i="1"/>
  <c r="J5" i="1"/>
  <c r="F68" i="1"/>
  <c r="F70" i="1"/>
  <c r="D53" i="1"/>
  <c r="E53" i="1"/>
  <c r="F53" i="1"/>
  <c r="D52" i="1"/>
  <c r="E52" i="1"/>
  <c r="F52" i="1"/>
  <c r="D51" i="1"/>
  <c r="E51" i="1"/>
  <c r="F51" i="1"/>
  <c r="D50" i="1"/>
  <c r="F37" i="1"/>
  <c r="F39" i="1"/>
  <c r="F4" i="1"/>
  <c r="F6" i="1"/>
  <c r="D22" i="1"/>
  <c r="E22" i="1"/>
  <c r="F22" i="1"/>
  <c r="D21" i="1"/>
  <c r="E21" i="1"/>
  <c r="F21" i="1"/>
  <c r="D20" i="1"/>
  <c r="E20" i="1"/>
  <c r="F20" i="1"/>
  <c r="D19" i="1"/>
  <c r="E19" i="1"/>
  <c r="F19" i="1"/>
  <c r="D18" i="1"/>
  <c r="E18" i="1"/>
  <c r="F18" i="1"/>
  <c r="D17" i="1"/>
  <c r="E17" i="1"/>
  <c r="F17" i="1"/>
  <c r="D16" i="1"/>
  <c r="F58" i="5"/>
  <c r="F59" i="5"/>
  <c r="F26" i="5"/>
  <c r="F27" i="5"/>
  <c r="G57" i="5"/>
  <c r="J6" i="1"/>
  <c r="K5" i="1"/>
  <c r="L5" i="1"/>
  <c r="K4" i="1"/>
  <c r="D23" i="1"/>
  <c r="F7" i="1"/>
  <c r="F8" i="1"/>
  <c r="F9" i="1"/>
  <c r="F10" i="1"/>
  <c r="F12" i="1"/>
  <c r="D54" i="1"/>
  <c r="L4" i="1"/>
  <c r="F71" i="1"/>
  <c r="F72" i="1"/>
  <c r="E50" i="1"/>
  <c r="F50" i="1"/>
  <c r="F54" i="1"/>
  <c r="F40" i="1"/>
  <c r="F41" i="1"/>
  <c r="E16" i="1"/>
  <c r="F16" i="1"/>
  <c r="F23" i="1"/>
  <c r="L6" i="1"/>
  <c r="L8" i="1"/>
  <c r="L9" i="1"/>
  <c r="L10" i="1"/>
  <c r="G58" i="5"/>
  <c r="G59" i="5"/>
  <c r="G60" i="5"/>
  <c r="G61" i="5"/>
  <c r="F60" i="5"/>
  <c r="F61" i="5"/>
  <c r="F28" i="5"/>
  <c r="F29" i="5"/>
  <c r="F73" i="1"/>
  <c r="F74" i="1"/>
  <c r="F76" i="1"/>
  <c r="G56" i="1"/>
  <c r="F56" i="1"/>
  <c r="F42" i="1"/>
  <c r="F43" i="1"/>
  <c r="F45" i="1"/>
  <c r="F25" i="1"/>
  <c r="L11" i="1"/>
  <c r="L12" i="1"/>
  <c r="L14" i="1"/>
  <c r="F26" i="1"/>
  <c r="F27" i="1"/>
  <c r="F58" i="1"/>
  <c r="F59" i="1"/>
  <c r="F60" i="1"/>
  <c r="F61" i="1"/>
  <c r="F63" i="1"/>
  <c r="G57" i="1"/>
  <c r="G58" i="1"/>
  <c r="G59" i="1"/>
  <c r="G60" i="1"/>
  <c r="G61" i="1"/>
  <c r="G63" i="1"/>
  <c r="F28" i="1"/>
  <c r="F29" i="1"/>
  <c r="F31" i="1"/>
</calcChain>
</file>

<file path=xl/sharedStrings.xml><?xml version="1.0" encoding="utf-8"?>
<sst xmlns="http://schemas.openxmlformats.org/spreadsheetml/2006/main" count="138" uniqueCount="27">
  <si>
    <t>Ministerio de Ambiente y Recursos Naturales:</t>
  </si>
  <si>
    <t>Sostenimiento de Oferta:</t>
  </si>
  <si>
    <t>Monto Afianzado</t>
  </si>
  <si>
    <t>Tasa</t>
  </si>
  <si>
    <t>arriba Q.100,000.00</t>
  </si>
  <si>
    <t>Prima Neta</t>
  </si>
  <si>
    <t>Total</t>
  </si>
  <si>
    <t xml:space="preserve"> </t>
  </si>
  <si>
    <t>Gastos Emision</t>
  </si>
  <si>
    <t>Sub Total</t>
  </si>
  <si>
    <t>IVA</t>
  </si>
  <si>
    <t>Prima Total</t>
  </si>
  <si>
    <t>Legalización</t>
  </si>
  <si>
    <t>Total a Pagar</t>
  </si>
  <si>
    <t>Cumplimiento de contrato (C-2 PA-1):</t>
  </si>
  <si>
    <t>arriba Q.12,000,000.00</t>
  </si>
  <si>
    <t>Anticipo (C-5, PA-2):</t>
  </si>
  <si>
    <t>Conservación de obra (C-3, PA-3):</t>
  </si>
  <si>
    <t xml:space="preserve">  </t>
  </si>
  <si>
    <t>arriba Q. 4.000,000.00</t>
  </si>
  <si>
    <t>12 meses</t>
  </si>
  <si>
    <t>18 meses</t>
  </si>
  <si>
    <t>Prima Anticipada</t>
  </si>
  <si>
    <t>Saldos Deudores:</t>
  </si>
  <si>
    <t>PRIMA MINIMA</t>
  </si>
  <si>
    <t>arriba US$1.500,000.00</t>
  </si>
  <si>
    <t>arriba US$ 500,000.00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</si>
</sst>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Q&quot;* #,##0.00_);_(&quot;Q&quot;* \(#,##0.00\);_(&quot;Q&quot;* &quot;-&quot;??_);_(@_)"/>
    <numFmt numFmtId="165" formatCode="0.0000%"/>
    <numFmt numFmtId="166" formatCode="_([$$-409]* #,##0.00_);_([$$-409]* \(#,##0.00\);_([$$-409]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164" fontId="3" fillId="0" borderId="0" xfId="1" applyFont="1"/>
    <xf numFmtId="0" fontId="3" fillId="0" borderId="0" xfId="0" applyFont="1" applyAlignment="1">
      <alignment horizontal="right"/>
    </xf>
    <xf numFmtId="10" fontId="3" fillId="0" borderId="0" xfId="0" applyNumberFormat="1" applyFont="1"/>
    <xf numFmtId="0" fontId="3" fillId="0" borderId="1" xfId="0" applyFont="1" applyBorder="1" applyAlignment="1">
      <alignment horizontal="right"/>
    </xf>
    <xf numFmtId="10" fontId="3" fillId="0" borderId="1" xfId="0" applyNumberFormat="1" applyFont="1" applyBorder="1"/>
    <xf numFmtId="164" fontId="3" fillId="0" borderId="1" xfId="1" applyFont="1" applyBorder="1"/>
    <xf numFmtId="0" fontId="3" fillId="0" borderId="2" xfId="0" applyFont="1" applyFill="1" applyBorder="1"/>
    <xf numFmtId="164" fontId="3" fillId="0" borderId="2" xfId="0" applyNumberFormat="1" applyFont="1" applyFill="1" applyBorder="1"/>
    <xf numFmtId="0" fontId="4" fillId="0" borderId="2" xfId="0" applyFont="1" applyFill="1" applyBorder="1"/>
    <xf numFmtId="164" fontId="4" fillId="0" borderId="2" xfId="0" applyNumberFormat="1" applyFont="1" applyFill="1" applyBorder="1"/>
    <xf numFmtId="9" fontId="3" fillId="0" borderId="0" xfId="0" applyNumberFormat="1" applyFont="1"/>
    <xf numFmtId="0" fontId="3" fillId="0" borderId="1" xfId="0" applyFont="1" applyBorder="1"/>
    <xf numFmtId="165" fontId="3" fillId="0" borderId="0" xfId="2" applyNumberFormat="1" applyFont="1"/>
    <xf numFmtId="0" fontId="3" fillId="0" borderId="0" xfId="0" applyFont="1" applyFill="1"/>
    <xf numFmtId="0" fontId="5" fillId="0" borderId="0" xfId="0" applyFont="1" applyAlignment="1">
      <alignment horizontal="center"/>
    </xf>
    <xf numFmtId="164" fontId="5" fillId="0" borderId="0" xfId="1" applyFont="1" applyAlignment="1">
      <alignment horizontal="center"/>
    </xf>
    <xf numFmtId="164" fontId="5" fillId="0" borderId="0" xfId="1" applyFont="1"/>
    <xf numFmtId="0" fontId="5" fillId="0" borderId="0" xfId="0" applyFont="1"/>
    <xf numFmtId="164" fontId="5" fillId="0" borderId="0" xfId="0" applyNumberFormat="1" applyFont="1"/>
    <xf numFmtId="166" fontId="3" fillId="0" borderId="2" xfId="2" applyNumberFormat="1" applyFont="1" applyFill="1" applyBorder="1"/>
    <xf numFmtId="166" fontId="4" fillId="0" borderId="2" xfId="2" applyNumberFormat="1" applyFont="1" applyFill="1" applyBorder="1"/>
    <xf numFmtId="164" fontId="3" fillId="0" borderId="2" xfId="1" applyFont="1" applyFill="1" applyBorder="1"/>
    <xf numFmtId="166" fontId="3" fillId="0" borderId="0" xfId="1" applyNumberFormat="1" applyFont="1"/>
    <xf numFmtId="166" fontId="3" fillId="0" borderId="1" xfId="1" applyNumberFormat="1" applyFont="1" applyBorder="1"/>
    <xf numFmtId="166" fontId="5" fillId="0" borderId="0" xfId="1" applyNumberFormat="1" applyFont="1" applyAlignment="1">
      <alignment horizontal="center"/>
    </xf>
    <xf numFmtId="166" fontId="5" fillId="0" borderId="0" xfId="1" applyNumberFormat="1" applyFont="1"/>
    <xf numFmtId="166" fontId="3" fillId="0" borderId="2" xfId="0" applyNumberFormat="1" applyFont="1" applyFill="1" applyBorder="1"/>
    <xf numFmtId="166" fontId="4" fillId="0" borderId="2" xfId="0" applyNumberFormat="1" applyFont="1" applyFill="1" applyBorder="1"/>
    <xf numFmtId="166" fontId="3" fillId="0" borderId="0" xfId="0" applyNumberFormat="1" applyFont="1"/>
    <xf numFmtId="166" fontId="5" fillId="0" borderId="0" xfId="0" applyNumberFormat="1" applyFont="1"/>
    <xf numFmtId="164" fontId="3" fillId="2" borderId="2" xfId="1" applyFont="1" applyFill="1" applyBorder="1"/>
    <xf numFmtId="166" fontId="3" fillId="2" borderId="2" xfId="2" applyNumberFormat="1" applyFont="1" applyFill="1" applyBorder="1"/>
    <xf numFmtId="166" fontId="3" fillId="2" borderId="2" xfId="1" applyNumberFormat="1" applyFont="1" applyFill="1" applyBorder="1"/>
    <xf numFmtId="0" fontId="3" fillId="3" borderId="2" xfId="0" applyFont="1" applyFill="1" applyBorder="1"/>
    <xf numFmtId="164" fontId="3" fillId="3" borderId="2" xfId="0" applyNumberFormat="1" applyFont="1" applyFill="1" applyBorder="1"/>
    <xf numFmtId="0" fontId="4" fillId="3" borderId="2" xfId="0" applyFont="1" applyFill="1" applyBorder="1"/>
    <xf numFmtId="164" fontId="4" fillId="3" borderId="2" xfId="0" applyNumberFormat="1" applyFont="1" applyFill="1" applyBorder="1"/>
    <xf numFmtId="166" fontId="3" fillId="3" borderId="2" xfId="0" applyNumberFormat="1" applyFont="1" applyFill="1" applyBorder="1"/>
    <xf numFmtId="166" fontId="4" fillId="3" borderId="2" xfId="0" applyNumberFormat="1" applyFont="1" applyFill="1" applyBorder="1"/>
    <xf numFmtId="164" fontId="3" fillId="3" borderId="2" xfId="1" applyFont="1" applyFill="1" applyBorder="1"/>
    <xf numFmtId="0" fontId="5" fillId="0" borderId="0" xfId="0" applyFont="1" applyAlignment="1">
      <alignment horizontal="left" vertical="top" wrapText="1"/>
    </xf>
    <xf numFmtId="0" fontId="4" fillId="3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</cellXfs>
  <cellStyles count="5">
    <cellStyle name="Moneda" xfId="1" builtinId="4"/>
    <cellStyle name="Normal" xfId="0" builtinId="0"/>
    <cellStyle name="Normal 2" xfId="3" xr:uid="{00000000-0005-0000-0000-000002000000}"/>
    <cellStyle name="Porcentaje" xfId="2" builtinId="5"/>
    <cellStyle name="Porcentaje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87"/>
  <sheetViews>
    <sheetView topLeftCell="A58" zoomScale="85" zoomScaleNormal="85" workbookViewId="0" xr3:uid="{AEA406A1-0E4B-5B11-9CD5-51D6E497D94C}">
      <selection activeCell="E80" sqref="E80:F87"/>
    </sheetView>
  </sheetViews>
  <sheetFormatPr defaultColWidth="11.42578125" defaultRowHeight="14.25"/>
  <cols>
    <col min="1" max="1" width="3.28515625" style="1" customWidth="1"/>
    <col min="2" max="2" width="20.42578125" style="1" bestFit="1" customWidth="1"/>
    <col min="3" max="3" width="7" style="1" bestFit="1" customWidth="1"/>
    <col min="4" max="4" width="20.140625" style="1" bestFit="1" customWidth="1"/>
    <col min="5" max="5" width="17.7109375" style="1" bestFit="1" customWidth="1"/>
    <col min="6" max="6" width="16.28515625" style="1" bestFit="1" customWidth="1"/>
    <col min="7" max="7" width="15.7109375" style="1" customWidth="1"/>
    <col min="8" max="8" width="20.42578125" style="1" bestFit="1" customWidth="1"/>
    <col min="9" max="9" width="7" style="1" bestFit="1" customWidth="1"/>
    <col min="10" max="10" width="17.140625" style="1" bestFit="1" customWidth="1"/>
    <col min="11" max="11" width="17.7109375" style="1" bestFit="1" customWidth="1"/>
    <col min="12" max="12" width="15.42578125" style="1" bestFit="1" customWidth="1"/>
    <col min="13" max="13" width="11.42578125" style="1"/>
    <col min="14" max="14" width="19.140625" style="1" bestFit="1" customWidth="1"/>
    <col min="15" max="16" width="13.140625" style="1" bestFit="1" customWidth="1"/>
    <col min="17" max="17" width="10" style="1" bestFit="1" customWidth="1"/>
    <col min="18" max="18" width="13.28515625" style="1" bestFit="1" customWidth="1"/>
    <col min="19" max="19" width="15.85546875" style="1" bestFit="1" customWidth="1"/>
    <col min="20" max="20" width="12.7109375" style="1" bestFit="1" customWidth="1"/>
    <col min="21" max="16384" width="11.42578125" style="1"/>
  </cols>
  <sheetData>
    <row r="1" spans="2:12" ht="15.75" customHeight="1">
      <c r="H1" s="44" t="s">
        <v>0</v>
      </c>
      <c r="I1" s="44"/>
      <c r="J1" s="44"/>
      <c r="K1" s="44"/>
      <c r="L1" s="44"/>
    </row>
    <row r="2" spans="2:12" ht="15">
      <c r="B2" s="46" t="s">
        <v>1</v>
      </c>
      <c r="C2" s="46"/>
      <c r="D2" s="46"/>
      <c r="E2" s="34" t="s">
        <v>2</v>
      </c>
      <c r="F2" s="34">
        <v>525000</v>
      </c>
      <c r="K2" s="34" t="s">
        <v>2</v>
      </c>
      <c r="L2" s="34">
        <v>525000</v>
      </c>
    </row>
    <row r="3" spans="2:12">
      <c r="H3" s="3"/>
      <c r="K3" s="4"/>
      <c r="L3" s="4"/>
    </row>
    <row r="4" spans="2:12">
      <c r="D4" s="5" t="s">
        <v>3</v>
      </c>
      <c r="E4" s="6">
        <v>5.0000000000000001E-3</v>
      </c>
      <c r="F4" s="4">
        <f>+F2*E4</f>
        <v>2625</v>
      </c>
      <c r="H4" s="4">
        <v>100000</v>
      </c>
      <c r="I4" s="6">
        <v>0.03</v>
      </c>
      <c r="J4" s="4">
        <f>IF(L2&gt;H4,100000,L2)</f>
        <v>100000</v>
      </c>
      <c r="K4" s="4">
        <f>I4*J4</f>
        <v>3000</v>
      </c>
      <c r="L4" s="4">
        <f>IF(K4&gt;0,K4,0)</f>
        <v>3000</v>
      </c>
    </row>
    <row r="5" spans="2:12">
      <c r="H5" s="7" t="s">
        <v>4</v>
      </c>
      <c r="I5" s="8">
        <v>1.7500000000000002E-2</v>
      </c>
      <c r="J5" s="9">
        <f>IF(L2&gt;J4,L2-J4,0)</f>
        <v>425000</v>
      </c>
      <c r="K5" s="9">
        <f>I5*J5</f>
        <v>7437.5000000000009</v>
      </c>
      <c r="L5" s="9">
        <f t="shared" ref="L5" si="0">IF(K5&gt;0,K5,0)</f>
        <v>7437.5000000000009</v>
      </c>
    </row>
    <row r="6" spans="2:12" ht="15">
      <c r="E6" s="10" t="s">
        <v>5</v>
      </c>
      <c r="F6" s="11">
        <f>IF(F4&lt;256,256,ROUNDUP(F4,0))</f>
        <v>2625</v>
      </c>
      <c r="I6" s="18" t="s">
        <v>6</v>
      </c>
      <c r="J6" s="19">
        <f>SUM(J4:J5)</f>
        <v>525000</v>
      </c>
      <c r="K6" s="20" t="s">
        <v>7</v>
      </c>
      <c r="L6" s="20">
        <f>SUM(L4:L5)</f>
        <v>10437.5</v>
      </c>
    </row>
    <row r="7" spans="2:12">
      <c r="E7" s="10" t="s">
        <v>8</v>
      </c>
      <c r="F7" s="11">
        <f>ROUNDUP(F6*8%,0)</f>
        <v>210</v>
      </c>
    </row>
    <row r="8" spans="2:12">
      <c r="E8" s="10" t="s">
        <v>9</v>
      </c>
      <c r="F8" s="11">
        <f>+F6+F7</f>
        <v>2835</v>
      </c>
      <c r="K8" s="10" t="s">
        <v>5</v>
      </c>
      <c r="L8" s="11">
        <f>IF(L6&lt;256,256,ROUNDUP(L6,0))</f>
        <v>10438</v>
      </c>
    </row>
    <row r="9" spans="2:12">
      <c r="E9" s="10" t="s">
        <v>10</v>
      </c>
      <c r="F9" s="11">
        <f>+F8*0.12</f>
        <v>340.2</v>
      </c>
      <c r="K9" s="10" t="s">
        <v>8</v>
      </c>
      <c r="L9" s="11">
        <f>ROUNDUP(L8*8%,0)</f>
        <v>836</v>
      </c>
    </row>
    <row r="10" spans="2:12" ht="15">
      <c r="E10" s="12" t="s">
        <v>11</v>
      </c>
      <c r="F10" s="13">
        <f>+F8+F9</f>
        <v>3175.2</v>
      </c>
      <c r="G10" s="2"/>
      <c r="K10" s="10" t="s">
        <v>9</v>
      </c>
      <c r="L10" s="11">
        <f>+L8+L9</f>
        <v>11274</v>
      </c>
    </row>
    <row r="11" spans="2:12">
      <c r="E11" s="10" t="s">
        <v>12</v>
      </c>
      <c r="F11" s="11">
        <v>56</v>
      </c>
      <c r="K11" s="10" t="s">
        <v>10</v>
      </c>
      <c r="L11" s="11">
        <f>+L10*0.12</f>
        <v>1352.8799999999999</v>
      </c>
    </row>
    <row r="12" spans="2:12" ht="15">
      <c r="E12" s="12" t="s">
        <v>13</v>
      </c>
      <c r="F12" s="13">
        <f>+F10+F11</f>
        <v>3231.2</v>
      </c>
      <c r="K12" s="12" t="s">
        <v>11</v>
      </c>
      <c r="L12" s="13">
        <f>+L10+L11</f>
        <v>12626.88</v>
      </c>
    </row>
    <row r="13" spans="2:12">
      <c r="K13" s="10" t="s">
        <v>12</v>
      </c>
      <c r="L13" s="11">
        <v>56</v>
      </c>
    </row>
    <row r="14" spans="2:12" ht="15">
      <c r="B14" s="46" t="s">
        <v>14</v>
      </c>
      <c r="C14" s="46"/>
      <c r="D14" s="46"/>
      <c r="E14" s="34" t="s">
        <v>2</v>
      </c>
      <c r="F14" s="34">
        <v>525000</v>
      </c>
      <c r="K14" s="12" t="s">
        <v>13</v>
      </c>
      <c r="L14" s="13">
        <f>+L12+L13</f>
        <v>12682.88</v>
      </c>
    </row>
    <row r="15" spans="2:12">
      <c r="E15" s="4"/>
      <c r="F15" s="4"/>
    </row>
    <row r="16" spans="2:12">
      <c r="B16" s="4">
        <v>200000</v>
      </c>
      <c r="C16" s="6">
        <v>1.7500000000000002E-2</v>
      </c>
      <c r="D16" s="4">
        <f>IF(F14&gt;B16,200000,F14)</f>
        <v>200000</v>
      </c>
      <c r="E16" s="4">
        <f>C16*D16</f>
        <v>3500.0000000000005</v>
      </c>
      <c r="F16" s="4">
        <f>IF(E16&gt;0,E16,0)</f>
        <v>3500.0000000000005</v>
      </c>
    </row>
    <row r="17" spans="2:7">
      <c r="B17" s="4">
        <v>400000</v>
      </c>
      <c r="C17" s="6">
        <v>1.4999999999999999E-2</v>
      </c>
      <c r="D17" s="4">
        <f>IF(F14&gt;B17,200000,F14-200000)</f>
        <v>200000</v>
      </c>
      <c r="E17" s="4">
        <f t="shared" ref="E17:E22" si="1">C17*D17</f>
        <v>3000</v>
      </c>
      <c r="F17" s="4">
        <f t="shared" ref="F17:F22" si="2">IF(E17&gt;0,E17,0)</f>
        <v>3000</v>
      </c>
    </row>
    <row r="18" spans="2:7">
      <c r="B18" s="4">
        <v>600000</v>
      </c>
      <c r="C18" s="6">
        <v>1.2500000000000001E-2</v>
      </c>
      <c r="D18" s="4">
        <f>IF(F14&gt;B18,200000,F14-400000)</f>
        <v>125000</v>
      </c>
      <c r="E18" s="4">
        <f t="shared" si="1"/>
        <v>1562.5</v>
      </c>
      <c r="F18" s="4">
        <f t="shared" si="2"/>
        <v>1562.5</v>
      </c>
    </row>
    <row r="19" spans="2:7">
      <c r="B19" s="4">
        <v>800000</v>
      </c>
      <c r="C19" s="14">
        <v>0.01</v>
      </c>
      <c r="D19" s="4">
        <f>IF(F14&gt;B19,200000,F14-600000)</f>
        <v>-75000</v>
      </c>
      <c r="E19" s="4">
        <f t="shared" si="1"/>
        <v>-750</v>
      </c>
      <c r="F19" s="4">
        <f t="shared" si="2"/>
        <v>0</v>
      </c>
    </row>
    <row r="20" spans="2:7">
      <c r="B20" s="4">
        <v>4000000</v>
      </c>
      <c r="C20" s="6">
        <v>9.4999999999999998E-3</v>
      </c>
      <c r="D20" s="4">
        <f>IF(F14&gt;B20,3200000,F14-800000)</f>
        <v>-275000</v>
      </c>
      <c r="E20" s="4">
        <f t="shared" si="1"/>
        <v>-2612.5</v>
      </c>
      <c r="F20" s="4">
        <f t="shared" si="2"/>
        <v>0</v>
      </c>
    </row>
    <row r="21" spans="2:7">
      <c r="B21" s="4">
        <v>12000000</v>
      </c>
      <c r="C21" s="6">
        <v>7.0000000000000001E-3</v>
      </c>
      <c r="D21" s="4">
        <f>IF(F14&gt;B21,8000000,F14-4000000)</f>
        <v>-3475000</v>
      </c>
      <c r="E21" s="4">
        <f t="shared" si="1"/>
        <v>-24325</v>
      </c>
      <c r="F21" s="4">
        <f t="shared" si="2"/>
        <v>0</v>
      </c>
    </row>
    <row r="22" spans="2:7">
      <c r="B22" s="15" t="s">
        <v>15</v>
      </c>
      <c r="C22" s="8">
        <v>6.0000000000000001E-3</v>
      </c>
      <c r="D22" s="9">
        <f>IF(F14&gt;B21,F14-B21,0)</f>
        <v>0</v>
      </c>
      <c r="E22" s="9">
        <f t="shared" si="1"/>
        <v>0</v>
      </c>
      <c r="F22" s="9">
        <f t="shared" si="2"/>
        <v>0</v>
      </c>
    </row>
    <row r="23" spans="2:7" ht="15">
      <c r="C23" s="18" t="s">
        <v>6</v>
      </c>
      <c r="D23" s="19">
        <f>SUM(D16:D22)</f>
        <v>-3300000</v>
      </c>
      <c r="E23" s="20" t="s">
        <v>7</v>
      </c>
      <c r="F23" s="20">
        <f>SUM(F16:F22)</f>
        <v>8062.5</v>
      </c>
      <c r="G23" s="16"/>
    </row>
    <row r="25" spans="2:7">
      <c r="E25" s="10" t="s">
        <v>5</v>
      </c>
      <c r="F25" s="11">
        <f>IF(F23&lt;256,256,ROUNDUP(F23,0))</f>
        <v>8063</v>
      </c>
    </row>
    <row r="26" spans="2:7">
      <c r="E26" s="10" t="s">
        <v>8</v>
      </c>
      <c r="F26" s="11">
        <f>ROUNDUP(F25*8%,0)</f>
        <v>646</v>
      </c>
    </row>
    <row r="27" spans="2:7">
      <c r="E27" s="10" t="s">
        <v>9</v>
      </c>
      <c r="F27" s="11">
        <f>+F25+F26</f>
        <v>8709</v>
      </c>
    </row>
    <row r="28" spans="2:7">
      <c r="E28" s="10" t="s">
        <v>10</v>
      </c>
      <c r="F28" s="11">
        <f>+F27*0.12</f>
        <v>1045.08</v>
      </c>
    </row>
    <row r="29" spans="2:7" ht="15">
      <c r="E29" s="12" t="s">
        <v>11</v>
      </c>
      <c r="F29" s="13">
        <f>+F27+F28</f>
        <v>9754.08</v>
      </c>
    </row>
    <row r="30" spans="2:7">
      <c r="E30" s="10" t="s">
        <v>12</v>
      </c>
      <c r="F30" s="11">
        <v>56</v>
      </c>
    </row>
    <row r="31" spans="2:7" ht="15">
      <c r="E31" s="12" t="s">
        <v>13</v>
      </c>
      <c r="F31" s="13">
        <f>+F29+F30</f>
        <v>9810.08</v>
      </c>
    </row>
    <row r="32" spans="2:7">
      <c r="E32" s="17"/>
      <c r="F32" s="17"/>
    </row>
    <row r="35" spans="2:6" ht="15">
      <c r="B35" s="46" t="s">
        <v>16</v>
      </c>
      <c r="C35" s="46"/>
      <c r="D35" s="46"/>
      <c r="E35" s="34" t="s">
        <v>2</v>
      </c>
      <c r="F35" s="34">
        <v>525000</v>
      </c>
    </row>
    <row r="37" spans="2:6">
      <c r="D37" s="5" t="s">
        <v>3</v>
      </c>
      <c r="E37" s="6">
        <v>0.01</v>
      </c>
      <c r="F37" s="4">
        <f>+F35*E37</f>
        <v>5250</v>
      </c>
    </row>
    <row r="39" spans="2:6">
      <c r="E39" s="10" t="s">
        <v>5</v>
      </c>
      <c r="F39" s="11">
        <f>IF(F37&lt;256,256,ROUNDUP(F37,0))</f>
        <v>5250</v>
      </c>
    </row>
    <row r="40" spans="2:6">
      <c r="E40" s="10" t="s">
        <v>8</v>
      </c>
      <c r="F40" s="11">
        <f>ROUNDUP(F39*8%,0)</f>
        <v>420</v>
      </c>
    </row>
    <row r="41" spans="2:6">
      <c r="E41" s="10" t="s">
        <v>9</v>
      </c>
      <c r="F41" s="11">
        <f>+F39+F40</f>
        <v>5670</v>
      </c>
    </row>
    <row r="42" spans="2:6">
      <c r="E42" s="10" t="s">
        <v>10</v>
      </c>
      <c r="F42" s="11">
        <f>+F41*0.12</f>
        <v>680.4</v>
      </c>
    </row>
    <row r="43" spans="2:6" ht="15">
      <c r="E43" s="12" t="s">
        <v>11</v>
      </c>
      <c r="F43" s="13">
        <f>+F41+F42</f>
        <v>6350.4</v>
      </c>
    </row>
    <row r="44" spans="2:6">
      <c r="E44" s="10" t="s">
        <v>12</v>
      </c>
      <c r="F44" s="11">
        <v>56</v>
      </c>
    </row>
    <row r="45" spans="2:6" ht="15">
      <c r="E45" s="12" t="s">
        <v>13</v>
      </c>
      <c r="F45" s="13">
        <f>+F43+F44</f>
        <v>6406.4</v>
      </c>
    </row>
    <row r="48" spans="2:6" ht="15">
      <c r="B48" s="21" t="s">
        <v>17</v>
      </c>
      <c r="E48" s="34" t="s">
        <v>2</v>
      </c>
      <c r="F48" s="34">
        <v>525000</v>
      </c>
    </row>
    <row r="49" spans="2:7">
      <c r="D49" s="4"/>
      <c r="E49" s="4"/>
      <c r="F49" s="1" t="s">
        <v>18</v>
      </c>
    </row>
    <row r="50" spans="2:7">
      <c r="B50" s="4">
        <v>400000</v>
      </c>
      <c r="C50" s="6">
        <v>0.01</v>
      </c>
      <c r="D50" s="4">
        <f>IF(F48&gt;B50,400000,F48)</f>
        <v>400000</v>
      </c>
      <c r="E50" s="4">
        <f>C50*D50</f>
        <v>4000</v>
      </c>
      <c r="F50" s="4">
        <f>IF(E50&gt;0,E50,0)</f>
        <v>4000</v>
      </c>
    </row>
    <row r="51" spans="2:7">
      <c r="B51" s="4">
        <v>800000</v>
      </c>
      <c r="C51" s="6">
        <v>7.4999999999999997E-3</v>
      </c>
      <c r="D51" s="4">
        <f>IF(F48&gt;B51,400000,F48-400000)</f>
        <v>125000</v>
      </c>
      <c r="E51" s="4">
        <f>C51*D51</f>
        <v>937.5</v>
      </c>
      <c r="F51" s="4">
        <f>IF(E51&gt;0,E51,0)</f>
        <v>937.5</v>
      </c>
    </row>
    <row r="52" spans="2:7">
      <c r="B52" s="4">
        <v>4000000</v>
      </c>
      <c r="C52" s="6">
        <v>6.0000000000000001E-3</v>
      </c>
      <c r="D52" s="4">
        <f>IF(F48&gt;B52,3200000,F48-800000)</f>
        <v>-275000</v>
      </c>
      <c r="E52" s="4">
        <f>C52*D52</f>
        <v>-1650</v>
      </c>
      <c r="F52" s="4">
        <f>IF(E52&gt;0,E52,0)</f>
        <v>0</v>
      </c>
    </row>
    <row r="53" spans="2:7">
      <c r="B53" s="15" t="s">
        <v>19</v>
      </c>
      <c r="C53" s="8">
        <v>4.0000000000000001E-3</v>
      </c>
      <c r="D53" s="9">
        <f>IF(F48&gt;B52,F48-B52,0)</f>
        <v>0</v>
      </c>
      <c r="E53" s="9">
        <f>C53*D53</f>
        <v>0</v>
      </c>
      <c r="F53" s="9">
        <f>IF(E53&gt;0,E53,0)</f>
        <v>0</v>
      </c>
    </row>
    <row r="54" spans="2:7" ht="15">
      <c r="C54" s="18" t="s">
        <v>6</v>
      </c>
      <c r="D54" s="19">
        <f>SUM(D50:D53)</f>
        <v>250000</v>
      </c>
      <c r="E54" s="20" t="s">
        <v>7</v>
      </c>
      <c r="F54" s="22">
        <f>SUM(F50:F53)</f>
        <v>4937.5</v>
      </c>
    </row>
    <row r="55" spans="2:7">
      <c r="F55" s="1" t="s">
        <v>20</v>
      </c>
      <c r="G55" s="1" t="s">
        <v>21</v>
      </c>
    </row>
    <row r="56" spans="2:7">
      <c r="E56" s="10" t="s">
        <v>5</v>
      </c>
      <c r="F56" s="11">
        <f>IF(F54&lt;256,256,ROUNDUP(F54,0))</f>
        <v>4938</v>
      </c>
      <c r="G56" s="11">
        <f>IF(F54&lt;256,256,ROUNDUP(F54,0))</f>
        <v>4938</v>
      </c>
    </row>
    <row r="57" spans="2:7">
      <c r="E57" s="10" t="s">
        <v>22</v>
      </c>
      <c r="F57" s="11">
        <v>0</v>
      </c>
      <c r="G57" s="11">
        <f>ROUNDUP(G56*0.5,0)</f>
        <v>2469</v>
      </c>
    </row>
    <row r="58" spans="2:7">
      <c r="E58" s="10" t="s">
        <v>8</v>
      </c>
      <c r="F58" s="11">
        <f>ROUNDUP((F56+F57)*8%,0)</f>
        <v>396</v>
      </c>
      <c r="G58" s="11">
        <f>ROUNDUP((G56+G57)*8%,0)</f>
        <v>593</v>
      </c>
    </row>
    <row r="59" spans="2:7">
      <c r="E59" s="10" t="s">
        <v>9</v>
      </c>
      <c r="F59" s="11">
        <f>+F56+F58</f>
        <v>5334</v>
      </c>
      <c r="G59" s="11">
        <f>(G56+G57+G58)</f>
        <v>8000</v>
      </c>
    </row>
    <row r="60" spans="2:7">
      <c r="E60" s="10" t="s">
        <v>10</v>
      </c>
      <c r="F60" s="11">
        <f>+F59*0.12</f>
        <v>640.07999999999993</v>
      </c>
      <c r="G60" s="11">
        <f>+G59*0.12</f>
        <v>960</v>
      </c>
    </row>
    <row r="61" spans="2:7" ht="15">
      <c r="E61" s="12" t="s">
        <v>11</v>
      </c>
      <c r="F61" s="13">
        <f>+F59+F60</f>
        <v>5974.08</v>
      </c>
      <c r="G61" s="13">
        <f>+G59+G60</f>
        <v>8960</v>
      </c>
    </row>
    <row r="62" spans="2:7">
      <c r="E62" s="10" t="s">
        <v>12</v>
      </c>
      <c r="F62" s="11">
        <v>56</v>
      </c>
      <c r="G62" s="11">
        <v>56</v>
      </c>
    </row>
    <row r="63" spans="2:7" ht="15">
      <c r="E63" s="12" t="s">
        <v>13</v>
      </c>
      <c r="F63" s="13">
        <f>+F61+F62</f>
        <v>6030.08</v>
      </c>
      <c r="G63" s="13">
        <f>+G61+G62</f>
        <v>9016</v>
      </c>
    </row>
    <row r="64" spans="2:7">
      <c r="E64" s="17"/>
      <c r="F64" s="17"/>
    </row>
    <row r="66" spans="2:6" ht="15">
      <c r="B66" s="46" t="s">
        <v>23</v>
      </c>
      <c r="C66" s="46"/>
      <c r="D66" s="46"/>
      <c r="E66" s="34" t="s">
        <v>2</v>
      </c>
      <c r="F66" s="34">
        <v>5000</v>
      </c>
    </row>
    <row r="68" spans="2:6">
      <c r="D68" s="5" t="s">
        <v>3</v>
      </c>
      <c r="E68" s="6">
        <v>0.01</v>
      </c>
      <c r="F68" s="4">
        <f>+F66*E68</f>
        <v>50</v>
      </c>
    </row>
    <row r="70" spans="2:6">
      <c r="E70" s="10" t="s">
        <v>5</v>
      </c>
      <c r="F70" s="11">
        <f>IF(F68&lt;256,256,ROUNDUP(F68,0))</f>
        <v>256</v>
      </c>
    </row>
    <row r="71" spans="2:6">
      <c r="E71" s="10" t="s">
        <v>8</v>
      </c>
      <c r="F71" s="11">
        <f>ROUNDUP(F70*8%,0)</f>
        <v>21</v>
      </c>
    </row>
    <row r="72" spans="2:6">
      <c r="E72" s="10" t="s">
        <v>9</v>
      </c>
      <c r="F72" s="11">
        <f>+F70+F71</f>
        <v>277</v>
      </c>
    </row>
    <row r="73" spans="2:6">
      <c r="E73" s="10" t="s">
        <v>10</v>
      </c>
      <c r="F73" s="11">
        <f>+F72*0.12</f>
        <v>33.24</v>
      </c>
    </row>
    <row r="74" spans="2:6" ht="15">
      <c r="E74" s="12" t="s">
        <v>11</v>
      </c>
      <c r="F74" s="13">
        <f>+F72+F73</f>
        <v>310.24</v>
      </c>
    </row>
    <row r="75" spans="2:6">
      <c r="E75" s="10" t="s">
        <v>12</v>
      </c>
      <c r="F75" s="11">
        <v>56</v>
      </c>
    </row>
    <row r="76" spans="2:6" ht="15">
      <c r="E76" s="12" t="s">
        <v>13</v>
      </c>
      <c r="F76" s="13">
        <f>+F74+F75</f>
        <v>366.24</v>
      </c>
    </row>
    <row r="80" spans="2:6" ht="15">
      <c r="E80" s="45" t="s">
        <v>24</v>
      </c>
      <c r="F80" s="45"/>
    </row>
    <row r="81" spans="5:6">
      <c r="E81" s="37" t="s">
        <v>5</v>
      </c>
      <c r="F81" s="38">
        <v>256</v>
      </c>
    </row>
    <row r="82" spans="5:6">
      <c r="E82" s="37" t="s">
        <v>8</v>
      </c>
      <c r="F82" s="38">
        <f>ROUNDUP(F81*8%,0)</f>
        <v>21</v>
      </c>
    </row>
    <row r="83" spans="5:6">
      <c r="E83" s="37" t="s">
        <v>9</v>
      </c>
      <c r="F83" s="38">
        <f>+F81+F82</f>
        <v>277</v>
      </c>
    </row>
    <row r="84" spans="5:6">
      <c r="E84" s="37" t="s">
        <v>10</v>
      </c>
      <c r="F84" s="38">
        <f>+F83*0.12</f>
        <v>33.24</v>
      </c>
    </row>
    <row r="85" spans="5:6" ht="15">
      <c r="E85" s="39" t="s">
        <v>11</v>
      </c>
      <c r="F85" s="40">
        <f>+F83+F84</f>
        <v>310.24</v>
      </c>
    </row>
    <row r="86" spans="5:6">
      <c r="E86" s="37" t="s">
        <v>12</v>
      </c>
      <c r="F86" s="38">
        <v>56</v>
      </c>
    </row>
    <row r="87" spans="5:6" ht="15">
      <c r="E87" s="39" t="s">
        <v>13</v>
      </c>
      <c r="F87" s="40">
        <f>+F85+F86</f>
        <v>366.24</v>
      </c>
    </row>
  </sheetData>
  <mergeCells count="6">
    <mergeCell ref="H1:L1"/>
    <mergeCell ref="E80:F80"/>
    <mergeCell ref="B14:D14"/>
    <mergeCell ref="B2:D2"/>
    <mergeCell ref="B35:D35"/>
    <mergeCell ref="B66:D6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87"/>
  <sheetViews>
    <sheetView tabSelected="1" zoomScale="85" zoomScaleNormal="85" workbookViewId="0" xr3:uid="{958C4451-9541-5A59-BF78-D2F731DF1C81}">
      <selection activeCell="F3" sqref="F3"/>
    </sheetView>
  </sheetViews>
  <sheetFormatPr defaultColWidth="11.42578125" defaultRowHeight="14.25"/>
  <cols>
    <col min="1" max="1" width="3.28515625" style="1" customWidth="1"/>
    <col min="2" max="2" width="20.42578125" style="1" bestFit="1" customWidth="1"/>
    <col min="3" max="3" width="7" style="1" bestFit="1" customWidth="1"/>
    <col min="4" max="4" width="20.140625" style="1" bestFit="1" customWidth="1"/>
    <col min="5" max="5" width="17.7109375" style="1" bestFit="1" customWidth="1"/>
    <col min="6" max="6" width="17.140625" style="1" bestFit="1" customWidth="1"/>
    <col min="7" max="7" width="15.7109375" style="1" customWidth="1"/>
    <col min="8" max="8" width="20.42578125" style="1" bestFit="1" customWidth="1"/>
    <col min="9" max="9" width="7" style="1" bestFit="1" customWidth="1"/>
    <col min="10" max="10" width="17.140625" style="1" bestFit="1" customWidth="1"/>
    <col min="11" max="11" width="17.7109375" style="1" bestFit="1" customWidth="1"/>
    <col min="12" max="12" width="15.42578125" style="1" bestFit="1" customWidth="1"/>
    <col min="13" max="13" width="11.42578125" style="1"/>
    <col min="14" max="14" width="19.140625" style="1" bestFit="1" customWidth="1"/>
    <col min="15" max="16" width="13.140625" style="1" bestFit="1" customWidth="1"/>
    <col min="17" max="17" width="10" style="1" bestFit="1" customWidth="1"/>
    <col min="18" max="18" width="13.28515625" style="1" bestFit="1" customWidth="1"/>
    <col min="19" max="19" width="15.85546875" style="1" bestFit="1" customWidth="1"/>
    <col min="20" max="20" width="12.7109375" style="1" bestFit="1" customWidth="1"/>
    <col min="21" max="16384" width="11.42578125" style="1"/>
  </cols>
  <sheetData>
    <row r="1" spans="2:7" ht="15.75" customHeight="1"/>
    <row r="2" spans="2:7" ht="15">
      <c r="B2" s="46" t="s">
        <v>1</v>
      </c>
      <c r="C2" s="46"/>
      <c r="D2" s="46"/>
      <c r="E2" s="34" t="s">
        <v>2</v>
      </c>
      <c r="F2" s="35">
        <v>500000</v>
      </c>
    </row>
    <row r="4" spans="2:7">
      <c r="D4" s="5" t="s">
        <v>3</v>
      </c>
      <c r="E4" s="6">
        <v>5.0000000000000001E-3</v>
      </c>
      <c r="F4" s="26">
        <f>+F2*E4</f>
        <v>2500</v>
      </c>
    </row>
    <row r="6" spans="2:7">
      <c r="E6" s="10" t="s">
        <v>5</v>
      </c>
      <c r="F6" s="23">
        <f>IF(F4&lt;34,34,ROUNDUP(F4,0))</f>
        <v>2500</v>
      </c>
    </row>
    <row r="7" spans="2:7">
      <c r="E7" s="10" t="s">
        <v>8</v>
      </c>
      <c r="F7" s="23">
        <f>ROUNDUP(F6*8%,0)</f>
        <v>200</v>
      </c>
    </row>
    <row r="8" spans="2:7">
      <c r="E8" s="10" t="s">
        <v>9</v>
      </c>
      <c r="F8" s="23">
        <f>+F6+F7</f>
        <v>2700</v>
      </c>
    </row>
    <row r="9" spans="2:7">
      <c r="E9" s="10" t="s">
        <v>10</v>
      </c>
      <c r="F9" s="23">
        <f>+F8*0.12</f>
        <v>324</v>
      </c>
    </row>
    <row r="10" spans="2:7" ht="15">
      <c r="E10" s="12" t="s">
        <v>11</v>
      </c>
      <c r="F10" s="24">
        <f>+F8+F9</f>
        <v>3024</v>
      </c>
      <c r="G10" s="2"/>
    </row>
    <row r="11" spans="2:7">
      <c r="E11" s="10" t="s">
        <v>12</v>
      </c>
      <c r="F11" s="25">
        <v>56</v>
      </c>
    </row>
    <row r="12" spans="2:7" ht="15">
      <c r="E12" s="12"/>
      <c r="F12" s="24"/>
    </row>
    <row r="14" spans="2:7" ht="15">
      <c r="B14" s="46" t="s">
        <v>14</v>
      </c>
      <c r="C14" s="46"/>
      <c r="D14" s="46"/>
      <c r="E14" s="34" t="s">
        <v>2</v>
      </c>
      <c r="F14" s="36">
        <v>149596.18</v>
      </c>
    </row>
    <row r="15" spans="2:7">
      <c r="E15" s="4"/>
      <c r="F15" s="4"/>
    </row>
    <row r="16" spans="2:7">
      <c r="B16" s="26">
        <v>25000</v>
      </c>
      <c r="C16" s="6">
        <v>1.7500000000000002E-2</v>
      </c>
      <c r="D16" s="26">
        <f>IF(F14&gt;B16,25000,F14)</f>
        <v>25000</v>
      </c>
      <c r="E16" s="26">
        <f>C16*D16</f>
        <v>437.50000000000006</v>
      </c>
      <c r="F16" s="26">
        <f>IF(E16&gt;0,E16,0)</f>
        <v>437.50000000000006</v>
      </c>
    </row>
    <row r="17" spans="2:7">
      <c r="B17" s="26">
        <v>50000</v>
      </c>
      <c r="C17" s="6">
        <v>1.4999999999999999E-2</v>
      </c>
      <c r="D17" s="26">
        <f>IF(F14&gt;B17,25000,F14-25000)</f>
        <v>25000</v>
      </c>
      <c r="E17" s="26">
        <f t="shared" ref="E17:E22" si="0">C17*D17</f>
        <v>375</v>
      </c>
      <c r="F17" s="26">
        <f t="shared" ref="F17:F22" si="1">IF(E17&gt;0,E17,0)</f>
        <v>375</v>
      </c>
    </row>
    <row r="18" spans="2:7">
      <c r="B18" s="26">
        <v>75000</v>
      </c>
      <c r="C18" s="6">
        <v>1.2500000000000001E-2</v>
      </c>
      <c r="D18" s="26">
        <f>IF(F14&gt;B18,25000,F14-50000)</f>
        <v>25000</v>
      </c>
      <c r="E18" s="26">
        <f t="shared" si="0"/>
        <v>312.5</v>
      </c>
      <c r="F18" s="26">
        <f t="shared" si="1"/>
        <v>312.5</v>
      </c>
    </row>
    <row r="19" spans="2:7">
      <c r="B19" s="26">
        <v>100000</v>
      </c>
      <c r="C19" s="14">
        <v>0.01</v>
      </c>
      <c r="D19" s="26">
        <f>IF(F14&gt;B19,25000,F14-75000)</f>
        <v>25000</v>
      </c>
      <c r="E19" s="26">
        <f t="shared" si="0"/>
        <v>250</v>
      </c>
      <c r="F19" s="26">
        <f t="shared" si="1"/>
        <v>250</v>
      </c>
    </row>
    <row r="20" spans="2:7">
      <c r="B20" s="26">
        <v>500000</v>
      </c>
      <c r="C20" s="6">
        <v>9.4999999999999998E-3</v>
      </c>
      <c r="D20" s="26">
        <f>IF(F14&gt;B20,400000,F14-100000)</f>
        <v>49596.179999999993</v>
      </c>
      <c r="E20" s="26">
        <f t="shared" si="0"/>
        <v>471.16370999999992</v>
      </c>
      <c r="F20" s="26">
        <f t="shared" si="1"/>
        <v>471.16370999999992</v>
      </c>
    </row>
    <row r="21" spans="2:7">
      <c r="B21" s="26">
        <v>1500000</v>
      </c>
      <c r="C21" s="6">
        <v>7.0000000000000001E-3</v>
      </c>
      <c r="D21" s="26">
        <f>IF(F14&gt;B21,1000000,F14-500000)</f>
        <v>-350403.82</v>
      </c>
      <c r="E21" s="26">
        <f t="shared" si="0"/>
        <v>-2452.82674</v>
      </c>
      <c r="F21" s="26">
        <f t="shared" si="1"/>
        <v>0</v>
      </c>
    </row>
    <row r="22" spans="2:7">
      <c r="B22" s="15" t="s">
        <v>25</v>
      </c>
      <c r="C22" s="8">
        <v>6.0000000000000001E-3</v>
      </c>
      <c r="D22" s="27">
        <f>IF(F14&gt;B21,F14-B21,0)</f>
        <v>0</v>
      </c>
      <c r="E22" s="27">
        <f t="shared" si="0"/>
        <v>0</v>
      </c>
      <c r="F22" s="27">
        <f t="shared" si="1"/>
        <v>0</v>
      </c>
    </row>
    <row r="23" spans="2:7" ht="15">
      <c r="C23" s="18" t="s">
        <v>6</v>
      </c>
      <c r="D23" s="28">
        <f>SUM(D16:D22)</f>
        <v>-200807.64</v>
      </c>
      <c r="E23" s="29" t="s">
        <v>7</v>
      </c>
      <c r="F23" s="29">
        <f>SUM(F16:F22)</f>
        <v>1846.1637099999998</v>
      </c>
      <c r="G23" s="16"/>
    </row>
    <row r="25" spans="2:7">
      <c r="E25" s="10" t="s">
        <v>5</v>
      </c>
      <c r="F25" s="30">
        <f>IF(F23&lt;34,34,ROUNDUP(F23,0))</f>
        <v>1847</v>
      </c>
    </row>
    <row r="26" spans="2:7">
      <c r="E26" s="10" t="s">
        <v>8</v>
      </c>
      <c r="F26" s="30">
        <f>ROUNDUP(F25*8%,0)</f>
        <v>148</v>
      </c>
    </row>
    <row r="27" spans="2:7">
      <c r="E27" s="10" t="s">
        <v>9</v>
      </c>
      <c r="F27" s="30">
        <f>+F25+F26</f>
        <v>1995</v>
      </c>
    </row>
    <row r="28" spans="2:7">
      <c r="E28" s="10" t="s">
        <v>10</v>
      </c>
      <c r="F28" s="30">
        <f>+F27*0.12</f>
        <v>239.39999999999998</v>
      </c>
    </row>
    <row r="29" spans="2:7" ht="15">
      <c r="E29" s="12" t="s">
        <v>11</v>
      </c>
      <c r="F29" s="31">
        <f>+F27+F28</f>
        <v>2234.4</v>
      </c>
    </row>
    <row r="30" spans="2:7">
      <c r="E30" s="10" t="s">
        <v>12</v>
      </c>
      <c r="F30" s="25">
        <v>56</v>
      </c>
    </row>
    <row r="31" spans="2:7" ht="15">
      <c r="E31" s="12"/>
      <c r="F31" s="31"/>
    </row>
    <row r="32" spans="2:7">
      <c r="E32" s="17"/>
      <c r="F32" s="17"/>
    </row>
    <row r="35" spans="2:6" ht="15">
      <c r="B35" s="46" t="s">
        <v>16</v>
      </c>
      <c r="C35" s="46"/>
      <c r="D35" s="46"/>
      <c r="E35" s="34" t="s">
        <v>2</v>
      </c>
      <c r="F35" s="36">
        <v>89757.71</v>
      </c>
    </row>
    <row r="36" spans="2:6">
      <c r="F36" s="32"/>
    </row>
    <row r="37" spans="2:6">
      <c r="D37" s="5" t="s">
        <v>3</v>
      </c>
      <c r="E37" s="6">
        <v>0.01</v>
      </c>
      <c r="F37" s="26">
        <f>+F35*E37</f>
        <v>897.57710000000009</v>
      </c>
    </row>
    <row r="38" spans="2:6">
      <c r="F38" s="32"/>
    </row>
    <row r="39" spans="2:6">
      <c r="E39" s="10" t="s">
        <v>5</v>
      </c>
      <c r="F39" s="30">
        <f>IF(F37&lt;34,34,ROUNDUP(F37,0))</f>
        <v>898</v>
      </c>
    </row>
    <row r="40" spans="2:6">
      <c r="E40" s="10" t="s">
        <v>8</v>
      </c>
      <c r="F40" s="30">
        <f>ROUNDUP(F39*8%,0)</f>
        <v>72</v>
      </c>
    </row>
    <row r="41" spans="2:6">
      <c r="E41" s="10" t="s">
        <v>9</v>
      </c>
      <c r="F41" s="30">
        <f>+F39+F40</f>
        <v>970</v>
      </c>
    </row>
    <row r="42" spans="2:6">
      <c r="E42" s="10" t="s">
        <v>10</v>
      </c>
      <c r="F42" s="30">
        <f>+F41*0.12</f>
        <v>116.39999999999999</v>
      </c>
    </row>
    <row r="43" spans="2:6" ht="15">
      <c r="E43" s="12" t="s">
        <v>11</v>
      </c>
      <c r="F43" s="31">
        <f>+F41+F42</f>
        <v>1086.4000000000001</v>
      </c>
    </row>
    <row r="44" spans="2:6">
      <c r="E44" s="10" t="s">
        <v>12</v>
      </c>
      <c r="F44" s="25">
        <v>56</v>
      </c>
    </row>
    <row r="45" spans="2:6" ht="15">
      <c r="E45" s="12"/>
      <c r="F45" s="31"/>
    </row>
    <row r="48" spans="2:6" ht="15">
      <c r="B48" s="21" t="s">
        <v>17</v>
      </c>
      <c r="E48" s="34" t="s">
        <v>2</v>
      </c>
      <c r="F48" s="36">
        <v>31095.33</v>
      </c>
    </row>
    <row r="49" spans="2:7">
      <c r="D49" s="4"/>
      <c r="E49" s="4"/>
      <c r="F49" s="1" t="s">
        <v>18</v>
      </c>
    </row>
    <row r="50" spans="2:7">
      <c r="B50" s="26">
        <v>50000</v>
      </c>
      <c r="C50" s="6">
        <v>0.01</v>
      </c>
      <c r="D50" s="26">
        <f>IF(F48&gt;B50,50000,F48)</f>
        <v>31095.33</v>
      </c>
      <c r="E50" s="26">
        <f>C50*D50</f>
        <v>310.95330000000001</v>
      </c>
      <c r="F50" s="26">
        <f>IF(E50&gt;0,E50,0)</f>
        <v>310.95330000000001</v>
      </c>
    </row>
    <row r="51" spans="2:7">
      <c r="B51" s="26">
        <v>100000</v>
      </c>
      <c r="C51" s="6">
        <v>7.4999999999999997E-3</v>
      </c>
      <c r="D51" s="26">
        <f>IF(F48&gt;B51,50000,F48-50000)</f>
        <v>-18904.669999999998</v>
      </c>
      <c r="E51" s="26">
        <f>C51*D51</f>
        <v>-141.78502499999999</v>
      </c>
      <c r="F51" s="26">
        <f>IF(E51&gt;0,E51,0)</f>
        <v>0</v>
      </c>
    </row>
    <row r="52" spans="2:7">
      <c r="B52" s="26">
        <v>500000</v>
      </c>
      <c r="C52" s="6">
        <v>6.0000000000000001E-3</v>
      </c>
      <c r="D52" s="26">
        <f>IF(F48&gt;B52,400000,F48-100000)</f>
        <v>-68904.67</v>
      </c>
      <c r="E52" s="26">
        <f>C52*D52</f>
        <v>-413.42802</v>
      </c>
      <c r="F52" s="26">
        <f>IF(E52&gt;0,E52,0)</f>
        <v>0</v>
      </c>
    </row>
    <row r="53" spans="2:7">
      <c r="B53" s="15" t="s">
        <v>26</v>
      </c>
      <c r="C53" s="8">
        <v>4.0000000000000001E-3</v>
      </c>
      <c r="D53" s="27">
        <f>IF(F48&gt;B52,F48-B52,0)</f>
        <v>0</v>
      </c>
      <c r="E53" s="27">
        <f>C53*D53</f>
        <v>0</v>
      </c>
      <c r="F53" s="27">
        <f>IF(E53&gt;0,E53,0)</f>
        <v>0</v>
      </c>
    </row>
    <row r="54" spans="2:7" ht="15">
      <c r="C54" s="18" t="s">
        <v>6</v>
      </c>
      <c r="D54" s="28">
        <f>SUM(D50:D53)</f>
        <v>-56714.009999999995</v>
      </c>
      <c r="E54" s="29" t="s">
        <v>7</v>
      </c>
      <c r="F54" s="33">
        <f>SUM(F50:F53)</f>
        <v>310.95330000000001</v>
      </c>
    </row>
    <row r="55" spans="2:7">
      <c r="F55" s="1" t="s">
        <v>20</v>
      </c>
      <c r="G55" s="1" t="s">
        <v>21</v>
      </c>
    </row>
    <row r="56" spans="2:7">
      <c r="E56" s="10" t="s">
        <v>5</v>
      </c>
      <c r="F56" s="30">
        <f>IF(F54&lt;34,34,ROUNDUP(F54,0))</f>
        <v>311</v>
      </c>
      <c r="G56" s="30">
        <f>IF(F54&lt;34,34,ROUNDUP(F54,0))</f>
        <v>311</v>
      </c>
    </row>
    <row r="57" spans="2:7">
      <c r="E57" s="10" t="s">
        <v>22</v>
      </c>
      <c r="F57" s="30">
        <v>0</v>
      </c>
      <c r="G57" s="30">
        <f>ROUNDUP(G56*0.5,0)</f>
        <v>156</v>
      </c>
    </row>
    <row r="58" spans="2:7">
      <c r="E58" s="10" t="s">
        <v>8</v>
      </c>
      <c r="F58" s="30">
        <f>ROUNDUP((F56+F57)*8%,0)</f>
        <v>25</v>
      </c>
      <c r="G58" s="30">
        <f>ROUNDUP((G56+G57)*8%,0)</f>
        <v>38</v>
      </c>
    </row>
    <row r="59" spans="2:7">
      <c r="E59" s="10" t="s">
        <v>9</v>
      </c>
      <c r="F59" s="30">
        <f>+F56+F58</f>
        <v>336</v>
      </c>
      <c r="G59" s="30">
        <f>(G56+G57+G58)</f>
        <v>505</v>
      </c>
    </row>
    <row r="60" spans="2:7">
      <c r="E60" s="10" t="s">
        <v>10</v>
      </c>
      <c r="F60" s="30">
        <f>+F59*0.12</f>
        <v>40.32</v>
      </c>
      <c r="G60" s="30">
        <f>+G59*0.12</f>
        <v>60.599999999999994</v>
      </c>
    </row>
    <row r="61" spans="2:7" ht="15">
      <c r="E61" s="12" t="s">
        <v>11</v>
      </c>
      <c r="F61" s="31">
        <f>+F59+F60</f>
        <v>376.32</v>
      </c>
      <c r="G61" s="31">
        <f>+G59+G60</f>
        <v>565.6</v>
      </c>
    </row>
    <row r="62" spans="2:7">
      <c r="E62" s="10" t="s">
        <v>12</v>
      </c>
      <c r="F62" s="25">
        <v>56</v>
      </c>
      <c r="G62" s="25">
        <v>56</v>
      </c>
    </row>
    <row r="63" spans="2:7" ht="15">
      <c r="E63" s="12"/>
      <c r="F63" s="31"/>
      <c r="G63" s="31"/>
    </row>
    <row r="64" spans="2:7">
      <c r="E64" s="17"/>
      <c r="F64" s="17"/>
    </row>
    <row r="66" spans="2:6" ht="15">
      <c r="B66" s="46" t="s">
        <v>23</v>
      </c>
      <c r="C66" s="46"/>
      <c r="D66" s="46"/>
      <c r="E66" s="34" t="s">
        <v>2</v>
      </c>
      <c r="F66" s="36">
        <v>5000</v>
      </c>
    </row>
    <row r="67" spans="2:6">
      <c r="F67" s="32"/>
    </row>
    <row r="68" spans="2:6">
      <c r="D68" s="5" t="s">
        <v>3</v>
      </c>
      <c r="E68" s="6">
        <v>0.01</v>
      </c>
      <c r="F68" s="26">
        <f>+F66*E68</f>
        <v>50</v>
      </c>
    </row>
    <row r="69" spans="2:6">
      <c r="F69" s="32"/>
    </row>
    <row r="70" spans="2:6">
      <c r="E70" s="10" t="s">
        <v>5</v>
      </c>
      <c r="F70" s="30">
        <f>IF(F68&lt;34,34,ROUNDUP(F68,0))</f>
        <v>50</v>
      </c>
    </row>
    <row r="71" spans="2:6">
      <c r="E71" s="10" t="s">
        <v>8</v>
      </c>
      <c r="F71" s="30">
        <f>ROUNDUP(F70*8%,0)</f>
        <v>4</v>
      </c>
    </row>
    <row r="72" spans="2:6">
      <c r="E72" s="10" t="s">
        <v>9</v>
      </c>
      <c r="F72" s="30">
        <f>+F70+F71</f>
        <v>54</v>
      </c>
    </row>
    <row r="73" spans="2:6">
      <c r="E73" s="10" t="s">
        <v>10</v>
      </c>
      <c r="F73" s="30">
        <f>+F72*0.12</f>
        <v>6.4799999999999995</v>
      </c>
    </row>
    <row r="74" spans="2:6" ht="15">
      <c r="E74" s="12" t="s">
        <v>11</v>
      </c>
      <c r="F74" s="31">
        <f>+F72+F73</f>
        <v>60.48</v>
      </c>
    </row>
    <row r="75" spans="2:6">
      <c r="E75" s="10" t="s">
        <v>12</v>
      </c>
      <c r="F75" s="25">
        <v>56</v>
      </c>
    </row>
    <row r="76" spans="2:6" ht="15">
      <c r="E76" s="12"/>
      <c r="F76" s="31"/>
    </row>
    <row r="80" spans="2:6" ht="15">
      <c r="E80" s="45" t="s">
        <v>24</v>
      </c>
      <c r="F80" s="45"/>
    </row>
    <row r="81" spans="5:6">
      <c r="E81" s="37" t="s">
        <v>5</v>
      </c>
      <c r="F81" s="41">
        <v>34</v>
      </c>
    </row>
    <row r="82" spans="5:6">
      <c r="E82" s="37" t="s">
        <v>8</v>
      </c>
      <c r="F82" s="41">
        <f>ROUNDUP(F81*8%,0)</f>
        <v>3</v>
      </c>
    </row>
    <row r="83" spans="5:6">
      <c r="E83" s="37" t="s">
        <v>9</v>
      </c>
      <c r="F83" s="41">
        <f>+F81+F82</f>
        <v>37</v>
      </c>
    </row>
    <row r="84" spans="5:6">
      <c r="E84" s="37" t="s">
        <v>10</v>
      </c>
      <c r="F84" s="41">
        <f>+F83*0.12</f>
        <v>4.4399999999999995</v>
      </c>
    </row>
    <row r="85" spans="5:6" ht="15">
      <c r="E85" s="39" t="s">
        <v>11</v>
      </c>
      <c r="F85" s="42">
        <f>+F83+F84</f>
        <v>41.44</v>
      </c>
    </row>
    <row r="86" spans="5:6">
      <c r="E86" s="37" t="s">
        <v>12</v>
      </c>
      <c r="F86" s="43">
        <v>56</v>
      </c>
    </row>
    <row r="87" spans="5:6" ht="15">
      <c r="E87" s="39"/>
      <c r="F87" s="42"/>
    </row>
  </sheetData>
  <mergeCells count="5">
    <mergeCell ref="B2:D2"/>
    <mergeCell ref="B14:D14"/>
    <mergeCell ref="B35:D35"/>
    <mergeCell ref="B66:D66"/>
    <mergeCell ref="E80:F8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A2E3D0F8C69364791621063129395E4" ma:contentTypeVersion="2" ma:contentTypeDescription="Crear nuevo documento." ma:contentTypeScope="" ma:versionID="99b0a130a84fc7232d3dbbebb5401821">
  <xsd:schema xmlns:xsd="http://www.w3.org/2001/XMLSchema" xmlns:xs="http://www.w3.org/2001/XMLSchema" xmlns:p="http://schemas.microsoft.com/office/2006/metadata/properties" xmlns:ns2="897d4679-18d4-4192-a0cc-f43d4ea36378" targetNamespace="http://schemas.microsoft.com/office/2006/metadata/properties" ma:root="true" ma:fieldsID="ca0a6024c11df7681216cf85007c1909" ns2:_="">
    <xsd:import namespace="897d4679-18d4-4192-a0cc-f43d4ea3637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7d4679-18d4-4192-a0cc-f43d4ea363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E0EDC4-6491-4D6A-8D91-091B634590A0}"/>
</file>

<file path=customXml/itemProps2.xml><?xml version="1.0" encoding="utf-8"?>
<ds:datastoreItem xmlns:ds="http://schemas.openxmlformats.org/officeDocument/2006/customXml" ds:itemID="{5E1E2C69-25AB-4CCE-A22E-BEF88E78E4D6}"/>
</file>

<file path=customXml/itemProps3.xml><?xml version="1.0" encoding="utf-8"?>
<ds:datastoreItem xmlns:ds="http://schemas.openxmlformats.org/officeDocument/2006/customXml" ds:itemID="{A82776C1-AA84-47D7-AE74-D081E55CEB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Miranda Galvan, Edgar Fernando</dc:creator>
  <cp:keywords/>
  <dc:description/>
  <cp:lastModifiedBy>Cesar Roldan</cp:lastModifiedBy>
  <cp:revision/>
  <dcterms:created xsi:type="dcterms:W3CDTF">2012-07-19T19:13:04Z</dcterms:created>
  <dcterms:modified xsi:type="dcterms:W3CDTF">2017-03-30T19:50:08Z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0x0101008A2E3D0F8C69364791621063129395E4</vt:lpwstr>
  </property>
</Properties>
</file>