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macbookpro/Desktop/SCHOOL SPRING 2020/ManagerialFin/Project 5/"/>
    </mc:Choice>
  </mc:AlternateContent>
  <xr:revisionPtr revIDLastSave="0" documentId="13_ncr:1_{B52559EE-AABD-964D-A44F-57E69945FADB}" xr6:coauthVersionLast="45" xr6:coauthVersionMax="45" xr10:uidLastSave="{00000000-0000-0000-0000-000000000000}"/>
  <bookViews>
    <workbookView xWindow="0" yWindow="0" windowWidth="28800" windowHeight="18000" activeTab="2" xr2:uid="{F5104FA5-0FDB-40B5-BFB1-03DFFD0C0097}"/>
  </bookViews>
  <sheets>
    <sheet name="StudentData" sheetId="2" state="veryHidden" r:id="rId1"/>
    <sheet name="Fsales" sheetId="3" r:id="rId2"/>
    <sheet name="CapXBase" sheetId="4" r:id="rId3"/>
    <sheet name="CapBal" sheetId="8" r:id="rId4"/>
    <sheet name="DmndEst" sheetId="6" r:id="rId5"/>
    <sheet name="plot 3" sheetId="11" r:id="rId6"/>
    <sheet name="DmndBal" sheetId="10" r:id="rId7"/>
    <sheet name="plot 1" sheetId="7" r:id="rId8"/>
    <sheet name="plot 2" sheetId="9" r:id="rId9"/>
  </sheets>
  <definedNames>
    <definedName name="solver_adj" localSheetId="3" hidden="1">CapBal!$E$4</definedName>
    <definedName name="solver_adj" localSheetId="2" hidden="1">CapXBase!$E$4</definedName>
    <definedName name="solver_adj" localSheetId="6" hidden="1">DmndBal!$B$4</definedName>
    <definedName name="solver_cvg" localSheetId="3" hidden="1">0.0001</definedName>
    <definedName name="solver_cvg" localSheetId="2" hidden="1">0.0001</definedName>
    <definedName name="solver_cvg" localSheetId="6" hidden="1">0.0001</definedName>
    <definedName name="solver_drv" localSheetId="3" hidden="1">1</definedName>
    <definedName name="solver_drv" localSheetId="2" hidden="1">1</definedName>
    <definedName name="solver_drv" localSheetId="6" hidden="1">1</definedName>
    <definedName name="solver_eng" localSheetId="3" hidden="1">1</definedName>
    <definedName name="solver_eng" localSheetId="2" hidden="1">1</definedName>
    <definedName name="solver_eng" localSheetId="6" hidden="1">1</definedName>
    <definedName name="solver_itr" localSheetId="3" hidden="1">2147483647</definedName>
    <definedName name="solver_itr" localSheetId="2" hidden="1">2147483647</definedName>
    <definedName name="solver_itr" localSheetId="6" hidden="1">2147483647</definedName>
    <definedName name="solver_lin" localSheetId="3" hidden="1">2</definedName>
    <definedName name="solver_lin" localSheetId="2" hidden="1">2</definedName>
    <definedName name="solver_lin" localSheetId="6" hidden="1">2</definedName>
    <definedName name="solver_mip" localSheetId="3" hidden="1">2147483647</definedName>
    <definedName name="solver_mip" localSheetId="2" hidden="1">2147483647</definedName>
    <definedName name="solver_mip" localSheetId="6" hidden="1">2147483647</definedName>
    <definedName name="solver_mni" localSheetId="3" hidden="1">30</definedName>
    <definedName name="solver_mni" localSheetId="2" hidden="1">30</definedName>
    <definedName name="solver_mni" localSheetId="6" hidden="1">30</definedName>
    <definedName name="solver_mrt" localSheetId="3" hidden="1">0.075</definedName>
    <definedName name="solver_mrt" localSheetId="2" hidden="1">0.075</definedName>
    <definedName name="solver_mrt" localSheetId="6" hidden="1">0.075</definedName>
    <definedName name="solver_msl" localSheetId="3" hidden="1">2</definedName>
    <definedName name="solver_msl" localSheetId="2" hidden="1">2</definedName>
    <definedName name="solver_msl" localSheetId="6" hidden="1">2</definedName>
    <definedName name="solver_neg" localSheetId="3" hidden="1">1</definedName>
    <definedName name="solver_neg" localSheetId="2" hidden="1">1</definedName>
    <definedName name="solver_neg" localSheetId="6" hidden="1">1</definedName>
    <definedName name="solver_nod" localSheetId="3" hidden="1">2147483647</definedName>
    <definedName name="solver_nod" localSheetId="2" hidden="1">2147483647</definedName>
    <definedName name="solver_nod" localSheetId="6" hidden="1">2147483647</definedName>
    <definedName name="solver_num" localSheetId="3" hidden="1">0</definedName>
    <definedName name="solver_num" localSheetId="2" hidden="1">0</definedName>
    <definedName name="solver_num" localSheetId="6" hidden="1">0</definedName>
    <definedName name="solver_opt" localSheetId="3" hidden="1">CapBal!$G$23</definedName>
    <definedName name="solver_opt" localSheetId="2" hidden="1">CapXBase!$G$20</definedName>
    <definedName name="solver_opt" localSheetId="6" hidden="1">DmndBal!$G$23</definedName>
    <definedName name="solver_pre" localSheetId="3" hidden="1">0.000001</definedName>
    <definedName name="solver_pre" localSheetId="2" hidden="1">0.000001</definedName>
    <definedName name="solver_pre" localSheetId="6" hidden="1">0.000001</definedName>
    <definedName name="solver_rbv" localSheetId="3" hidden="1">1</definedName>
    <definedName name="solver_rbv" localSheetId="2" hidden="1">1</definedName>
    <definedName name="solver_rbv" localSheetId="6" hidden="1">1</definedName>
    <definedName name="solver_rlx" localSheetId="3" hidden="1">2</definedName>
    <definedName name="solver_rlx" localSheetId="2" hidden="1">2</definedName>
    <definedName name="solver_rlx" localSheetId="6" hidden="1">2</definedName>
    <definedName name="solver_rsd" localSheetId="3" hidden="1">0</definedName>
    <definedName name="solver_rsd" localSheetId="2" hidden="1">0</definedName>
    <definedName name="solver_rsd" localSheetId="6" hidden="1">0</definedName>
    <definedName name="solver_scl" localSheetId="3" hidden="1">1</definedName>
    <definedName name="solver_scl" localSheetId="2" hidden="1">1</definedName>
    <definedName name="solver_scl" localSheetId="6" hidden="1">1</definedName>
    <definedName name="solver_sho" localSheetId="3" hidden="1">2</definedName>
    <definedName name="solver_sho" localSheetId="2" hidden="1">2</definedName>
    <definedName name="solver_sho" localSheetId="6" hidden="1">2</definedName>
    <definedName name="solver_ssz" localSheetId="3" hidden="1">100</definedName>
    <definedName name="solver_ssz" localSheetId="2" hidden="1">100</definedName>
    <definedName name="solver_ssz" localSheetId="6" hidden="1">100</definedName>
    <definedName name="solver_tim" localSheetId="3" hidden="1">2147483647</definedName>
    <definedName name="solver_tim" localSheetId="2" hidden="1">2147483647</definedName>
    <definedName name="solver_tim" localSheetId="6" hidden="1">2147483647</definedName>
    <definedName name="solver_tol" localSheetId="3" hidden="1">0.01</definedName>
    <definedName name="solver_tol" localSheetId="2" hidden="1">0.01</definedName>
    <definedName name="solver_tol" localSheetId="6" hidden="1">0.01</definedName>
    <definedName name="solver_typ" localSheetId="3" hidden="1">3</definedName>
    <definedName name="solver_typ" localSheetId="2" hidden="1">3</definedName>
    <definedName name="solver_typ" localSheetId="6" hidden="1">3</definedName>
    <definedName name="solver_val" localSheetId="3" hidden="1">0</definedName>
    <definedName name="solver_val" localSheetId="2" hidden="1">0</definedName>
    <definedName name="solver_val" localSheetId="6" hidden="1">0</definedName>
    <definedName name="solver_ver" localSheetId="3" hidden="1">2</definedName>
    <definedName name="solver_ver" localSheetId="2" hidden="1">2</definedName>
    <definedName name="solver_ver" localSheetId="6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8" l="1"/>
  <c r="D23" i="8"/>
  <c r="C23" i="8"/>
  <c r="C10" i="10" l="1"/>
  <c r="H4" i="10" l="1"/>
  <c r="C6" i="6" l="1"/>
  <c r="C7" i="6"/>
  <c r="C8" i="6"/>
  <c r="C9" i="6"/>
  <c r="C10" i="6"/>
  <c r="C5" i="6"/>
  <c r="C10" i="8"/>
  <c r="C11" i="8" s="1"/>
  <c r="B19" i="4"/>
  <c r="D15" i="4"/>
  <c r="E15" i="4"/>
  <c r="F15" i="4"/>
  <c r="G15" i="4"/>
  <c r="H15" i="4"/>
  <c r="I15" i="4"/>
  <c r="J15" i="4"/>
  <c r="K15" i="4"/>
  <c r="L15" i="4"/>
  <c r="C15" i="4"/>
  <c r="C10" i="4"/>
  <c r="C12" i="4" s="1"/>
  <c r="F9" i="4"/>
  <c r="J9" i="4"/>
  <c r="G5" i="3"/>
  <c r="E9" i="4" s="1"/>
  <c r="H5" i="3"/>
  <c r="G6" i="3"/>
  <c r="F9" i="10" s="1"/>
  <c r="H6" i="3"/>
  <c r="G7" i="3"/>
  <c r="G9" i="10" s="1"/>
  <c r="H7" i="3"/>
  <c r="G8" i="3"/>
  <c r="H9" i="4" s="1"/>
  <c r="H8" i="3"/>
  <c r="G9" i="3"/>
  <c r="I9" i="10" s="1"/>
  <c r="H9" i="3"/>
  <c r="G10" i="3"/>
  <c r="J9" i="10" s="1"/>
  <c r="H10" i="3"/>
  <c r="G11" i="3"/>
  <c r="K9" i="10" s="1"/>
  <c r="H11" i="3"/>
  <c r="G12" i="3"/>
  <c r="L9" i="10" s="1"/>
  <c r="H12" i="3"/>
  <c r="H4" i="3"/>
  <c r="G4" i="3"/>
  <c r="D9" i="10" s="1"/>
  <c r="K9" i="4" l="1"/>
  <c r="J9" i="8"/>
  <c r="F9" i="8"/>
  <c r="G9" i="4"/>
  <c r="G9" i="8"/>
  <c r="E9" i="8"/>
  <c r="E9" i="10"/>
  <c r="D9" i="4"/>
  <c r="L9" i="4"/>
  <c r="H9" i="8"/>
  <c r="H9" i="10"/>
  <c r="I9" i="8"/>
  <c r="I9" i="4"/>
  <c r="K9" i="8"/>
  <c r="D9" i="8"/>
  <c r="D10" i="8" s="1"/>
  <c r="D11" i="8" s="1"/>
  <c r="L9" i="8"/>
  <c r="G5" i="6" a="1"/>
  <c r="G5" i="6" s="1"/>
  <c r="C11" i="4"/>
  <c r="D10" i="4"/>
  <c r="C12" i="8"/>
  <c r="C13" i="8"/>
  <c r="D12" i="8" l="1"/>
  <c r="E10" i="8"/>
  <c r="E12" i="8" s="1"/>
  <c r="H5" i="6"/>
  <c r="H6" i="6"/>
  <c r="G8" i="6"/>
  <c r="G9" i="6"/>
  <c r="G7" i="6"/>
  <c r="I6" i="6"/>
  <c r="I5" i="6"/>
  <c r="E8" i="6" s="1"/>
  <c r="H9" i="6"/>
  <c r="H8" i="6"/>
  <c r="H7" i="6"/>
  <c r="G6" i="6"/>
  <c r="I8" i="6"/>
  <c r="I7" i="6"/>
  <c r="I9" i="6"/>
  <c r="E7" i="6"/>
  <c r="E6" i="6"/>
  <c r="D12" i="4"/>
  <c r="D11" i="4"/>
  <c r="E10" i="4"/>
  <c r="C13" i="4"/>
  <c r="C14" i="4" s="1"/>
  <c r="C16" i="4" s="1"/>
  <c r="C14" i="8"/>
  <c r="D13" i="8"/>
  <c r="D14" i="8" l="1"/>
  <c r="F10" i="8"/>
  <c r="F12" i="8" s="1"/>
  <c r="E11" i="8"/>
  <c r="E13" i="8" s="1"/>
  <c r="E14" i="8" s="1"/>
  <c r="D10" i="10"/>
  <c r="E5" i="6"/>
  <c r="E10" i="6"/>
  <c r="E9" i="6"/>
  <c r="C17" i="4"/>
  <c r="C18" i="4" s="1"/>
  <c r="C19" i="4" s="1"/>
  <c r="E12" i="4"/>
  <c r="F10" i="4"/>
  <c r="E11" i="4"/>
  <c r="D13" i="4"/>
  <c r="D14" i="4" s="1"/>
  <c r="D16" i="4" s="1"/>
  <c r="F11" i="8" l="1"/>
  <c r="G10" i="8"/>
  <c r="G11" i="8" s="1"/>
  <c r="C11" i="10"/>
  <c r="C13" i="10" s="1"/>
  <c r="C12" i="10"/>
  <c r="D11" i="10"/>
  <c r="D13" i="10" s="1"/>
  <c r="E10" i="10"/>
  <c r="D12" i="10"/>
  <c r="D17" i="4"/>
  <c r="D18" i="4" s="1"/>
  <c r="D19" i="4" s="1"/>
  <c r="D20" i="4" s="1"/>
  <c r="C21" i="4"/>
  <c r="C20" i="4"/>
  <c r="C23" i="4" s="1"/>
  <c r="C22" i="4"/>
  <c r="E13" i="4"/>
  <c r="E14" i="4" s="1"/>
  <c r="E16" i="4" s="1"/>
  <c r="G10" i="4"/>
  <c r="F12" i="4"/>
  <c r="F11" i="4"/>
  <c r="G12" i="8"/>
  <c r="F13" i="8"/>
  <c r="F14" i="8" s="1"/>
  <c r="H10" i="8" l="1"/>
  <c r="D22" i="4"/>
  <c r="D21" i="4"/>
  <c r="C14" i="10"/>
  <c r="D14" i="10"/>
  <c r="E12" i="10"/>
  <c r="F10" i="10"/>
  <c r="E11" i="10"/>
  <c r="E13" i="10" s="1"/>
  <c r="F13" i="4"/>
  <c r="F14" i="4" s="1"/>
  <c r="F16" i="4" s="1"/>
  <c r="H10" i="4"/>
  <c r="G12" i="4"/>
  <c r="G11" i="4"/>
  <c r="D23" i="4"/>
  <c r="E17" i="4"/>
  <c r="E18" i="4" s="1"/>
  <c r="E19" i="4" s="1"/>
  <c r="G13" i="8"/>
  <c r="G14" i="8" s="1"/>
  <c r="H12" i="8"/>
  <c r="H11" i="8"/>
  <c r="I10" i="8"/>
  <c r="E14" i="10" l="1"/>
  <c r="F11" i="10"/>
  <c r="F13" i="10" s="1"/>
  <c r="G10" i="10"/>
  <c r="F12" i="10"/>
  <c r="E20" i="4"/>
  <c r="E23" i="4" s="1"/>
  <c r="E21" i="4"/>
  <c r="E22" i="4"/>
  <c r="I10" i="4"/>
  <c r="H12" i="4"/>
  <c r="H11" i="4"/>
  <c r="G13" i="4"/>
  <c r="G14" i="4" s="1"/>
  <c r="G16" i="4" s="1"/>
  <c r="F17" i="4"/>
  <c r="F18" i="4" s="1"/>
  <c r="F19" i="4" s="1"/>
  <c r="F21" i="4" s="1"/>
  <c r="J10" i="8"/>
  <c r="I12" i="8"/>
  <c r="I11" i="8"/>
  <c r="H13" i="8"/>
  <c r="H14" i="8" s="1"/>
  <c r="G11" i="10" l="1"/>
  <c r="G13" i="10" s="1"/>
  <c r="H10" i="10"/>
  <c r="G12" i="10"/>
  <c r="F14" i="10"/>
  <c r="F20" i="4"/>
  <c r="F23" i="4" s="1"/>
  <c r="F22" i="4"/>
  <c r="G17" i="4"/>
  <c r="G18" i="4" s="1"/>
  <c r="G19" i="4" s="1"/>
  <c r="H13" i="4"/>
  <c r="H14" i="4" s="1"/>
  <c r="H16" i="4" s="1"/>
  <c r="J10" i="4"/>
  <c r="I11" i="4"/>
  <c r="I12" i="4"/>
  <c r="J12" i="8"/>
  <c r="J11" i="8"/>
  <c r="K10" i="8"/>
  <c r="I13" i="8"/>
  <c r="I14" i="8" s="1"/>
  <c r="H12" i="10" l="1"/>
  <c r="H11" i="10"/>
  <c r="H13" i="10" s="1"/>
  <c r="I10" i="10"/>
  <c r="G14" i="10"/>
  <c r="G22" i="4"/>
  <c r="G21" i="4"/>
  <c r="G20" i="4"/>
  <c r="G23" i="4" s="1"/>
  <c r="H17" i="4"/>
  <c r="H18" i="4" s="1"/>
  <c r="H19" i="4" s="1"/>
  <c r="H22" i="4" s="1"/>
  <c r="I13" i="4"/>
  <c r="I14" i="4" s="1"/>
  <c r="I16" i="4" s="1"/>
  <c r="K10" i="4"/>
  <c r="J11" i="4"/>
  <c r="J12" i="4"/>
  <c r="L10" i="8"/>
  <c r="K12" i="8"/>
  <c r="K11" i="8"/>
  <c r="J13" i="8"/>
  <c r="J14" i="8" s="1"/>
  <c r="H14" i="10" l="1"/>
  <c r="I12" i="10"/>
  <c r="I11" i="10"/>
  <c r="I13" i="10" s="1"/>
  <c r="J10" i="10"/>
  <c r="H1" i="8"/>
  <c r="B22" i="8" s="1"/>
  <c r="H20" i="4"/>
  <c r="H23" i="4" s="1"/>
  <c r="H21" i="4"/>
  <c r="I17" i="4"/>
  <c r="I18" i="4" s="1"/>
  <c r="I19" i="4" s="1"/>
  <c r="I20" i="4" s="1"/>
  <c r="J13" i="4"/>
  <c r="J14" i="4" s="1"/>
  <c r="J16" i="4" s="1"/>
  <c r="L10" i="4"/>
  <c r="K11" i="4"/>
  <c r="K12" i="4"/>
  <c r="L11" i="8"/>
  <c r="L12" i="8"/>
  <c r="K13" i="8"/>
  <c r="K14" i="8" s="1"/>
  <c r="E15" i="8" l="1"/>
  <c r="K15" i="8"/>
  <c r="L15" i="8"/>
  <c r="H2" i="8"/>
  <c r="G21" i="8" s="1"/>
  <c r="I15" i="8"/>
  <c r="D15" i="8"/>
  <c r="D17" i="8" s="1"/>
  <c r="D18" i="8" s="1"/>
  <c r="D19" i="8" s="1"/>
  <c r="D20" i="8" s="1"/>
  <c r="D22" i="8" s="1"/>
  <c r="H15" i="8"/>
  <c r="J15" i="8"/>
  <c r="G15" i="8"/>
  <c r="G17" i="8" s="1"/>
  <c r="G18" i="8" s="1"/>
  <c r="G19" i="8" s="1"/>
  <c r="G20" i="8" s="1"/>
  <c r="J11" i="10"/>
  <c r="J13" i="10" s="1"/>
  <c r="K10" i="10"/>
  <c r="J12" i="10"/>
  <c r="I14" i="10"/>
  <c r="F15" i="8"/>
  <c r="F17" i="8" s="1"/>
  <c r="F18" i="8" s="1"/>
  <c r="F19" i="8" s="1"/>
  <c r="F20" i="8" s="1"/>
  <c r="F22" i="8" s="1"/>
  <c r="C15" i="8"/>
  <c r="C17" i="8" s="1"/>
  <c r="C18" i="8" s="1"/>
  <c r="C19" i="8" s="1"/>
  <c r="C20" i="8" s="1"/>
  <c r="C22" i="8" s="1"/>
  <c r="I22" i="4"/>
  <c r="I23" i="4"/>
  <c r="I21" i="4"/>
  <c r="J17" i="4"/>
  <c r="J18" i="4" s="1"/>
  <c r="J19" i="4" s="1"/>
  <c r="J22" i="4" s="1"/>
  <c r="K13" i="4"/>
  <c r="K14" i="4" s="1"/>
  <c r="K16" i="4" s="1"/>
  <c r="L12" i="4"/>
  <c r="L11" i="4"/>
  <c r="E17" i="8"/>
  <c r="E18" i="8" s="1"/>
  <c r="E19" i="8" s="1"/>
  <c r="E20" i="8" s="1"/>
  <c r="E22" i="8" s="1"/>
  <c r="L13" i="8"/>
  <c r="L14" i="8" s="1"/>
  <c r="I16" i="8" l="1"/>
  <c r="G22" i="8"/>
  <c r="G23" i="8" s="1"/>
  <c r="H16" i="8"/>
  <c r="H17" i="8" s="1"/>
  <c r="H18" i="8" s="1"/>
  <c r="H19" i="8" s="1"/>
  <c r="H20" i="8" s="1"/>
  <c r="H22" i="8" s="1"/>
  <c r="L16" i="8"/>
  <c r="L17" i="8" s="1"/>
  <c r="L18" i="8" s="1"/>
  <c r="L19" i="8" s="1"/>
  <c r="L20" i="8" s="1"/>
  <c r="K16" i="8"/>
  <c r="K17" i="8" s="1"/>
  <c r="K18" i="8" s="1"/>
  <c r="K19" i="8" s="1"/>
  <c r="K20" i="8" s="1"/>
  <c r="K22" i="8" s="1"/>
  <c r="J16" i="8"/>
  <c r="J17" i="8" s="1"/>
  <c r="J18" i="8" s="1"/>
  <c r="J19" i="8" s="1"/>
  <c r="J20" i="8" s="1"/>
  <c r="J22" i="8" s="1"/>
  <c r="I17" i="8"/>
  <c r="I18" i="8" s="1"/>
  <c r="I19" i="8" s="1"/>
  <c r="I20" i="8" s="1"/>
  <c r="I22" i="8" s="1"/>
  <c r="K12" i="10"/>
  <c r="L10" i="10"/>
  <c r="B1" i="10" s="1"/>
  <c r="K11" i="10"/>
  <c r="K13" i="10" s="1"/>
  <c r="J14" i="10"/>
  <c r="J20" i="4"/>
  <c r="J23" i="4" s="1"/>
  <c r="J21" i="4"/>
  <c r="L13" i="4"/>
  <c r="L14" i="4" s="1"/>
  <c r="L16" i="4" s="1"/>
  <c r="K17" i="4"/>
  <c r="K18" i="4" s="1"/>
  <c r="K19" i="4" s="1"/>
  <c r="K22" i="4" s="1"/>
  <c r="C24" i="8"/>
  <c r="C26" i="8"/>
  <c r="D24" i="8"/>
  <c r="D25" i="8"/>
  <c r="E24" i="8"/>
  <c r="E25" i="8"/>
  <c r="E23" i="8"/>
  <c r="F24" i="8"/>
  <c r="F23" i="8"/>
  <c r="F25" i="8"/>
  <c r="G24" i="8" l="1"/>
  <c r="G25" i="8"/>
  <c r="H24" i="8"/>
  <c r="I24" i="8"/>
  <c r="H23" i="8"/>
  <c r="H25" i="8"/>
  <c r="I25" i="8"/>
  <c r="N15" i="8"/>
  <c r="L22" i="8" s="1"/>
  <c r="L23" i="8" s="1"/>
  <c r="I23" i="8"/>
  <c r="K25" i="8"/>
  <c r="K24" i="8"/>
  <c r="J23" i="8"/>
  <c r="J24" i="8"/>
  <c r="J25" i="8"/>
  <c r="K23" i="8"/>
  <c r="K14" i="10"/>
  <c r="L12" i="10"/>
  <c r="L11" i="10"/>
  <c r="L13" i="10" s="1"/>
  <c r="K21" i="4"/>
  <c r="K20" i="4"/>
  <c r="K23" i="4" s="1"/>
  <c r="L17" i="4"/>
  <c r="L18" i="4" s="1"/>
  <c r="L19" i="4" s="1"/>
  <c r="D26" i="8"/>
  <c r="E26" i="8" s="1"/>
  <c r="F26" i="8" s="1"/>
  <c r="G26" i="8" s="1"/>
  <c r="H26" i="8" l="1"/>
  <c r="I26" i="8" s="1"/>
  <c r="J26" i="8" s="1"/>
  <c r="K26" i="8" s="1"/>
  <c r="L26" i="8" s="1"/>
  <c r="L24" i="8"/>
  <c r="L14" i="10"/>
  <c r="H1" i="10"/>
  <c r="L25" i="8"/>
  <c r="L21" i="4"/>
  <c r="L22" i="4"/>
  <c r="L20" i="4"/>
  <c r="L23" i="4" s="1"/>
  <c r="B25" i="4" s="1"/>
  <c r="B28" i="8" l="1"/>
  <c r="H2" i="10"/>
  <c r="H16" i="10" s="1"/>
  <c r="C15" i="10"/>
  <c r="C17" i="10" s="1"/>
  <c r="C18" i="10" s="1"/>
  <c r="C19" i="10" s="1"/>
  <c r="C20" i="10" s="1"/>
  <c r="C22" i="10" s="1"/>
  <c r="H15" i="10"/>
  <c r="B22" i="10"/>
  <c r="G15" i="10"/>
  <c r="G17" i="10" s="1"/>
  <c r="G18" i="10" s="1"/>
  <c r="G19" i="10" s="1"/>
  <c r="G20" i="10" s="1"/>
  <c r="D15" i="10"/>
  <c r="D17" i="10" s="1"/>
  <c r="D18" i="10" s="1"/>
  <c r="D19" i="10" s="1"/>
  <c r="D20" i="10" s="1"/>
  <c r="D22" i="10" s="1"/>
  <c r="I15" i="10"/>
  <c r="E15" i="10"/>
  <c r="E17" i="10" s="1"/>
  <c r="E18" i="10" s="1"/>
  <c r="E19" i="10" s="1"/>
  <c r="E20" i="10" s="1"/>
  <c r="E22" i="10" s="1"/>
  <c r="K15" i="10"/>
  <c r="F15" i="10"/>
  <c r="F17" i="10" s="1"/>
  <c r="F18" i="10" s="1"/>
  <c r="F19" i="10" s="1"/>
  <c r="F20" i="10" s="1"/>
  <c r="F22" i="10" s="1"/>
  <c r="L15" i="10"/>
  <c r="J15" i="10"/>
  <c r="G21" i="10" l="1"/>
  <c r="G22" i="10" s="1"/>
  <c r="G24" i="10" s="1"/>
  <c r="J16" i="10"/>
  <c r="J17" i="10" s="1"/>
  <c r="J18" i="10" s="1"/>
  <c r="J19" i="10" s="1"/>
  <c r="J20" i="10" s="1"/>
  <c r="J22" i="10" s="1"/>
  <c r="K16" i="10"/>
  <c r="K17" i="10" s="1"/>
  <c r="K18" i="10" s="1"/>
  <c r="K19" i="10" s="1"/>
  <c r="K20" i="10" s="1"/>
  <c r="K22" i="10" s="1"/>
  <c r="I16" i="10"/>
  <c r="I17" i="10" s="1"/>
  <c r="I18" i="10" s="1"/>
  <c r="I19" i="10" s="1"/>
  <c r="I20" i="10" s="1"/>
  <c r="I22" i="10" s="1"/>
  <c r="L16" i="10"/>
  <c r="C24" i="10"/>
  <c r="E23" i="10"/>
  <c r="D23" i="10"/>
  <c r="F23" i="10"/>
  <c r="C23" i="10"/>
  <c r="C26" i="10" s="1"/>
  <c r="E24" i="10"/>
  <c r="C25" i="10"/>
  <c r="D24" i="10"/>
  <c r="F25" i="10"/>
  <c r="D25" i="10"/>
  <c r="F24" i="10"/>
  <c r="E25" i="10"/>
  <c r="H17" i="10"/>
  <c r="H18" i="10" s="1"/>
  <c r="H19" i="10" s="1"/>
  <c r="H20" i="10" s="1"/>
  <c r="H22" i="10" s="1"/>
  <c r="N15" i="10" l="1"/>
  <c r="L17" i="10"/>
  <c r="L18" i="10" s="1"/>
  <c r="L19" i="10" s="1"/>
  <c r="L20" i="10" s="1"/>
  <c r="G23" i="10"/>
  <c r="K25" i="10"/>
  <c r="D26" i="10"/>
  <c r="E26" i="10" s="1"/>
  <c r="F26" i="10" s="1"/>
  <c r="I23" i="10"/>
  <c r="J24" i="10"/>
  <c r="H23" i="10"/>
  <c r="K23" i="10"/>
  <c r="J25" i="10"/>
  <c r="H25" i="10"/>
  <c r="I24" i="10"/>
  <c r="G25" i="10"/>
  <c r="J23" i="10"/>
  <c r="K24" i="10"/>
  <c r="I25" i="10"/>
  <c r="H24" i="10"/>
  <c r="L22" i="10" l="1"/>
  <c r="L23" i="10" s="1"/>
  <c r="G26" i="10"/>
  <c r="H26" i="10" s="1"/>
  <c r="I26" i="10" s="1"/>
  <c r="J26" i="10" s="1"/>
  <c r="K26" i="10" s="1"/>
  <c r="L25" i="10" l="1"/>
  <c r="L24" i="10"/>
  <c r="L26" i="10"/>
  <c r="B28" i="10"/>
</calcChain>
</file>

<file path=xl/sharedStrings.xml><?xml version="1.0" encoding="utf-8"?>
<sst xmlns="http://schemas.openxmlformats.org/spreadsheetml/2006/main" count="210" uniqueCount="67">
  <si>
    <t>Jorge</t>
  </si>
  <si>
    <t>Ruiz</t>
  </si>
  <si>
    <t>80572714</t>
  </si>
  <si>
    <t>CapX</t>
  </si>
  <si>
    <t>Salvage Value</t>
  </si>
  <si>
    <t>Years</t>
  </si>
  <si>
    <t>Tax Rate</t>
  </si>
  <si>
    <t>Discount Rate</t>
  </si>
  <si>
    <t>Reinvestment Rate</t>
  </si>
  <si>
    <t>VC</t>
  </si>
  <si>
    <t>Price</t>
  </si>
  <si>
    <t>Units</t>
  </si>
  <si>
    <t>SGA</t>
  </si>
  <si>
    <t>Year</t>
  </si>
  <si>
    <t>Sales Growth</t>
  </si>
  <si>
    <t>Sales</t>
  </si>
  <si>
    <t>Cogs</t>
  </si>
  <si>
    <t>Net Benefit</t>
  </si>
  <si>
    <t>Annual Depreciation</t>
  </si>
  <si>
    <t>Taxable Income</t>
  </si>
  <si>
    <t>Tax</t>
  </si>
  <si>
    <t>Net Income</t>
  </si>
  <si>
    <t>Cash Flow</t>
  </si>
  <si>
    <t>NPV</t>
  </si>
  <si>
    <t>IRR</t>
  </si>
  <si>
    <t>MIRR</t>
  </si>
  <si>
    <t>Break Even</t>
  </si>
  <si>
    <t>BEY</t>
  </si>
  <si>
    <t>Cnt</t>
  </si>
  <si>
    <t>Price Squared</t>
  </si>
  <si>
    <t>Demand</t>
  </si>
  <si>
    <t>Forecast Demand</t>
  </si>
  <si>
    <t>X^2</t>
  </si>
  <si>
    <t>X</t>
  </si>
  <si>
    <t>Int</t>
  </si>
  <si>
    <t>Forecast</t>
  </si>
  <si>
    <t>StdErr</t>
  </si>
  <si>
    <t>Low Limit</t>
  </si>
  <si>
    <t>High Limit</t>
  </si>
  <si>
    <t>Change of slope regression</t>
  </si>
  <si>
    <t>% Sales Change</t>
  </si>
  <si>
    <t>% Error</t>
  </si>
  <si>
    <t>Cap1</t>
  </si>
  <si>
    <t>Cap2</t>
  </si>
  <si>
    <t>Dep1</t>
  </si>
  <si>
    <t>Dep2</t>
  </si>
  <si>
    <t>Salvage</t>
  </si>
  <si>
    <t>Total Dep</t>
  </si>
  <si>
    <t>Base Cap</t>
  </si>
  <si>
    <t>Capital</t>
  </si>
  <si>
    <t>Balancing</t>
  </si>
  <si>
    <t>SG&amp;A</t>
  </si>
  <si>
    <t>Capacity</t>
  </si>
  <si>
    <t>Target</t>
  </si>
  <si>
    <t>NPV of 0 for year 5 - demand balancing</t>
  </si>
  <si>
    <t>NPV of 0 for year 5 - capital balancing</t>
  </si>
  <si>
    <t>NPV of 0 for year 5 - capacity balancing</t>
  </si>
  <si>
    <t>NA</t>
  </si>
  <si>
    <t>balancing</t>
  </si>
  <si>
    <t>capital</t>
  </si>
  <si>
    <t>capacity</t>
  </si>
  <si>
    <t>demand</t>
  </si>
  <si>
    <t>Optimal values for a NPV of 0 in year 5</t>
  </si>
  <si>
    <t xml:space="preserve"> </t>
  </si>
  <si>
    <t>Table 1 - Table parameters</t>
  </si>
  <si>
    <t>Table 2 - sales growth</t>
  </si>
  <si>
    <t>Table 5 - Demand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</si>
</sst>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32F03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22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wrapText="1"/>
    </xf>
    <xf numFmtId="8" fontId="2" fillId="0" borderId="0" xfId="0" applyNumberFormat="1" applyFont="1"/>
    <xf numFmtId="0" fontId="2" fillId="0" borderId="0" xfId="0" applyFont="1" applyAlignment="1"/>
    <xf numFmtId="10" fontId="0" fillId="0" borderId="0" xfId="3" applyNumberFormat="1" applyFont="1"/>
    <xf numFmtId="8" fontId="3" fillId="0" borderId="0" xfId="0" applyNumberFormat="1" applyFont="1" applyAlignment="1">
      <alignment horizontal="center" vertical="center"/>
    </xf>
    <xf numFmtId="10" fontId="0" fillId="0" borderId="0" xfId="0" applyNumberFormat="1"/>
    <xf numFmtId="10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6" fontId="0" fillId="0" borderId="0" xfId="0" applyNumberFormat="1"/>
    <xf numFmtId="6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/>
    <xf numFmtId="3" fontId="0" fillId="0" borderId="0" xfId="0" applyNumberFormat="1" applyFill="1"/>
    <xf numFmtId="164" fontId="0" fillId="0" borderId="0" xfId="1" applyNumberFormat="1" applyFont="1" applyFill="1"/>
    <xf numFmtId="6" fontId="0" fillId="0" borderId="0" xfId="0" applyNumberFormat="1" applyFill="1"/>
    <xf numFmtId="0" fontId="0" fillId="0" borderId="2" xfId="0" applyBorder="1"/>
    <xf numFmtId="0" fontId="4" fillId="0" borderId="0" xfId="0" applyFont="1"/>
    <xf numFmtId="6" fontId="0" fillId="0" borderId="2" xfId="0" applyNumberFormat="1" applyFill="1" applyBorder="1"/>
    <xf numFmtId="6" fontId="4" fillId="0" borderId="0" xfId="0" applyNumberFormat="1" applyFont="1" applyFill="1"/>
    <xf numFmtId="0" fontId="4" fillId="0" borderId="2" xfId="0" applyFont="1" applyBorder="1"/>
    <xf numFmtId="6" fontId="4" fillId="0" borderId="2" xfId="0" applyNumberFormat="1" applyFont="1" applyFill="1" applyBorder="1"/>
    <xf numFmtId="9" fontId="0" fillId="0" borderId="0" xfId="0" applyNumberFormat="1" applyFill="1"/>
    <xf numFmtId="164" fontId="0" fillId="0" borderId="0" xfId="0" applyNumberFormat="1"/>
    <xf numFmtId="6" fontId="0" fillId="0" borderId="2" xfId="0" applyNumberFormat="1" applyBorder="1"/>
    <xf numFmtId="164" fontId="4" fillId="0" borderId="2" xfId="0" applyNumberFormat="1" applyFont="1" applyFill="1" applyBorder="1"/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44" fontId="3" fillId="0" borderId="0" xfId="2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164" fontId="0" fillId="0" borderId="0" xfId="1" applyNumberFormat="1" applyFont="1" applyAlignment="1">
      <alignment horizontal="center" vertical="center"/>
    </xf>
    <xf numFmtId="0" fontId="0" fillId="0" borderId="1" xfId="0" applyFill="1" applyBorder="1" applyAlignment="1">
      <alignment horizontal="center"/>
    </xf>
    <xf numFmtId="10" fontId="0" fillId="0" borderId="0" xfId="0" applyNumberFormat="1" applyFill="1"/>
    <xf numFmtId="0" fontId="0" fillId="0" borderId="2" xfId="0" applyFill="1" applyBorder="1"/>
    <xf numFmtId="0" fontId="0" fillId="0" borderId="1" xfId="0" applyFill="1" applyBorder="1"/>
    <xf numFmtId="9" fontId="0" fillId="0" borderId="0" xfId="0" applyNumberFormat="1"/>
    <xf numFmtId="0" fontId="0" fillId="0" borderId="1" xfId="0" applyBorder="1" applyAlignment="1">
      <alignment horizontal="right"/>
    </xf>
    <xf numFmtId="0" fontId="5" fillId="0" borderId="0" xfId="0" applyFont="1"/>
    <xf numFmtId="44" fontId="0" fillId="0" borderId="0" xfId="2" applyFont="1"/>
    <xf numFmtId="165" fontId="0" fillId="0" borderId="0" xfId="2" applyNumberFormat="1" applyFont="1"/>
    <xf numFmtId="0" fontId="0" fillId="0" borderId="4" xfId="0" applyBorder="1"/>
    <xf numFmtId="0" fontId="0" fillId="0" borderId="3" xfId="0" applyBorder="1"/>
    <xf numFmtId="0" fontId="0" fillId="0" borderId="0" xfId="0" applyAlignment="1"/>
    <xf numFmtId="8" fontId="0" fillId="0" borderId="0" xfId="0" applyNumberFormat="1"/>
    <xf numFmtId="0" fontId="0" fillId="0" borderId="0" xfId="0" applyAlignment="1">
      <alignment horizontal="center" wrapText="1"/>
    </xf>
    <xf numFmtId="10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NPV and IRR/MIRR plot for </a:t>
            </a:r>
            <a:r>
              <a:rPr lang="en-US"/>
              <a:t>demand balancing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DmndBal!$C$23:$L$23</c:f>
              <c:numCache>
                <c:formatCode>"$"#,##0_);[Red]\("$"#,##0\)</c:formatCode>
                <c:ptCount val="10"/>
                <c:pt idx="0">
                  <c:v>-1148111.8330940844</c:v>
                </c:pt>
                <c:pt idx="1">
                  <c:v>-890583.21344196971</c:v>
                </c:pt>
                <c:pt idx="2">
                  <c:v>-643643.80857550318</c:v>
                </c:pt>
                <c:pt idx="3">
                  <c:v>-407186.25446777756</c:v>
                </c:pt>
                <c:pt idx="4">
                  <c:v>-345564.14539058064</c:v>
                </c:pt>
                <c:pt idx="5">
                  <c:v>-129572.16167087038</c:v>
                </c:pt>
                <c:pt idx="6">
                  <c:v>76506.081162330694</c:v>
                </c:pt>
                <c:pt idx="7">
                  <c:v>272919.07812212617</c:v>
                </c:pt>
                <c:pt idx="8">
                  <c:v>459935.94029633328</c:v>
                </c:pt>
                <c:pt idx="9">
                  <c:v>692999.56060984172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C1-7748-B6EB-743334A2E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14559"/>
        <c:axId val="112426671"/>
      </c:lineChart>
      <c:lineChart>
        <c:grouping val="standard"/>
        <c:varyColors val="0"/>
        <c:ser>
          <c:idx val="1"/>
          <c:order val="1"/>
          <c:tx>
            <c:v>IRR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DmndBal!$C$24:$L$24</c:f>
              <c:numCache>
                <c:formatCode>0%</c:formatCode>
                <c:ptCount val="10"/>
                <c:pt idx="0">
                  <c:v>-0.7948978639561125</c:v>
                </c:pt>
                <c:pt idx="1">
                  <c:v>-0.42430325098533173</c:v>
                </c:pt>
                <c:pt idx="2">
                  <c:v>-0.19173495013797515</c:v>
                </c:pt>
                <c:pt idx="3">
                  <c:v>-5.2569336832769209E-2</c:v>
                </c:pt>
                <c:pt idx="4">
                  <c:v>-2.4342706800027147E-2</c:v>
                </c:pt>
                <c:pt idx="5">
                  <c:v>5.1298918948771144E-2</c:v>
                </c:pt>
                <c:pt idx="6">
                  <c:v>9.8861004737895497E-2</c:v>
                </c:pt>
                <c:pt idx="7">
                  <c:v>0.1310731215367491</c:v>
                </c:pt>
                <c:pt idx="8">
                  <c:v>0.15383993309435096</c:v>
                </c:pt>
                <c:pt idx="9">
                  <c:v>0.17499302769947755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C1-7748-B6EB-743334A2EC0C}"/>
            </c:ext>
          </c:extLst>
        </c:ser>
        <c:ser>
          <c:idx val="2"/>
          <c:order val="2"/>
          <c:tx>
            <c:v>MIRR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DmndBal!$C$25:$L$25</c:f>
              <c:numCache>
                <c:formatCode>0%</c:formatCode>
                <c:ptCount val="10"/>
                <c:pt idx="0">
                  <c:v>-0.7948978639561125</c:v>
                </c:pt>
                <c:pt idx="1">
                  <c:v>-0.34006307297411631</c:v>
                </c:pt>
                <c:pt idx="2">
                  <c:v>-0.11491662711324913</c:v>
                </c:pt>
                <c:pt idx="3">
                  <c:v>-4.8138342145370716E-3</c:v>
                </c:pt>
                <c:pt idx="4">
                  <c:v>2.4268284283638142E-2</c:v>
                </c:pt>
                <c:pt idx="5">
                  <c:v>6.6016194008771789E-2</c:v>
                </c:pt>
                <c:pt idx="6">
                  <c:v>9.1371756261962478E-2</c:v>
                </c:pt>
                <c:pt idx="7">
                  <c:v>0.10732498539756907</c:v>
                </c:pt>
                <c:pt idx="8">
                  <c:v>0.11758107925152217</c:v>
                </c:pt>
                <c:pt idx="9">
                  <c:v>0.12721595476695313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7748-B6EB-743334A2E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60815"/>
        <c:axId val="175800815"/>
      </c:lineChart>
      <c:catAx>
        <c:axId val="106714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26671"/>
        <c:crosses val="autoZero"/>
        <c:auto val="1"/>
        <c:lblAlgn val="ctr"/>
        <c:lblOffset val="100"/>
        <c:noMultiLvlLbl val="0"/>
      </c:catAx>
      <c:valAx>
        <c:axId val="11242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</a:t>
                </a:r>
                <a:r>
                  <a:rPr lang="en-US" baseline="0"/>
                  <a:t> in Dollars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4559"/>
        <c:crosses val="autoZero"/>
        <c:crossBetween val="between"/>
      </c:valAx>
      <c:valAx>
        <c:axId val="1758008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Percent Return (IRR &amp; MIRR) 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60815"/>
        <c:crosses val="max"/>
        <c:crossBetween val="between"/>
      </c:valAx>
      <c:catAx>
        <c:axId val="175260815"/>
        <c:scaling>
          <c:orientation val="minMax"/>
        </c:scaling>
        <c:delete val="1"/>
        <c:axPos val="b"/>
        <c:majorTickMark val="out"/>
        <c:minorTickMark val="none"/>
        <c:tickLblPos val="nextTo"/>
        <c:crossAx val="1758008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and IRR/MIRR plot for capX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CapXBase!$C$20:$L$20</c:f>
              <c:numCache>
                <c:formatCode>"$"#,##0_);[Red]\("$"#,##0\)</c:formatCode>
                <c:ptCount val="10"/>
                <c:pt idx="0">
                  <c:v>-1434457.8344741506</c:v>
                </c:pt>
                <c:pt idx="1">
                  <c:v>-1221919.5455426704</c:v>
                </c:pt>
                <c:pt idx="2">
                  <c:v>-1020087.5651470113</c:v>
                </c:pt>
                <c:pt idx="3">
                  <c:v>-828571.11234571133</c:v>
                </c:pt>
                <c:pt idx="4">
                  <c:v>-646976.39544740005</c:v>
                </c:pt>
                <c:pt idx="5">
                  <c:v>-474909.02386404737</c:v>
                </c:pt>
                <c:pt idx="6">
                  <c:v>-311976.77014671941</c:v>
                </c:pt>
                <c:pt idx="7">
                  <c:v>-157791.5478547893</c:v>
                </c:pt>
                <c:pt idx="8">
                  <c:v>-11970.809221098199</c:v>
                </c:pt>
                <c:pt idx="9">
                  <c:v>125860.74324661773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F7-E048-ACCC-8597318DF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524271"/>
        <c:axId val="492477775"/>
      </c:lineChart>
      <c:lineChart>
        <c:grouping val="standard"/>
        <c:varyColors val="0"/>
        <c:ser>
          <c:idx val="1"/>
          <c:order val="1"/>
          <c:tx>
            <c:v>IRR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CapXBase!$C$21:$L$21</c:f>
              <c:numCache>
                <c:formatCode>0%</c:formatCode>
                <c:ptCount val="10"/>
                <c:pt idx="0">
                  <c:v>-0.85390687455024983</c:v>
                </c:pt>
                <c:pt idx="1">
                  <c:v>-0.53231997568316625</c:v>
                </c:pt>
                <c:pt idx="2">
                  <c:v>-0.31043860890137231</c:v>
                </c:pt>
                <c:pt idx="3">
                  <c:v>-0.17001200168372987</c:v>
                </c:pt>
                <c:pt idx="4">
                  <c:v>-7.8593885995801083E-2</c:v>
                </c:pt>
                <c:pt idx="5">
                  <c:v>-1.6683276161324812E-2</c:v>
                </c:pt>
                <c:pt idx="6">
                  <c:v>2.6770386248843758E-2</c:v>
                </c:pt>
                <c:pt idx="7">
                  <c:v>5.8202010800985304E-2</c:v>
                </c:pt>
                <c:pt idx="8">
                  <c:v>8.1513651589913305E-2</c:v>
                </c:pt>
                <c:pt idx="9">
                  <c:v>9.9166803997011499E-2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F7-E048-ACCC-8597318DFED9}"/>
            </c:ext>
          </c:extLst>
        </c:ser>
        <c:ser>
          <c:idx val="2"/>
          <c:order val="2"/>
          <c:tx>
            <c:v>MIRR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CapXBase!$C$22:$L$22</c:f>
              <c:numCache>
                <c:formatCode>0%</c:formatCode>
                <c:ptCount val="10"/>
                <c:pt idx="0">
                  <c:v>-0.85390687455024983</c:v>
                </c:pt>
                <c:pt idx="1">
                  <c:v>-0.44443916429494223</c:v>
                </c:pt>
                <c:pt idx="2">
                  <c:v>-0.21214497150337253</c:v>
                </c:pt>
                <c:pt idx="3">
                  <c:v>-8.901127921428087E-2</c:v>
                </c:pt>
                <c:pt idx="4">
                  <c:v>-1.8823988895292909E-2</c:v>
                </c:pt>
                <c:pt idx="5">
                  <c:v>2.3958711374724384E-2</c:v>
                </c:pt>
                <c:pt idx="6">
                  <c:v>5.1420080501237919E-2</c:v>
                </c:pt>
                <c:pt idx="7">
                  <c:v>6.9743943026143729E-2</c:v>
                </c:pt>
                <c:pt idx="8">
                  <c:v>8.2328274021081338E-2</c:v>
                </c:pt>
                <c:pt idx="9">
                  <c:v>9.1154210315299133E-2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F7-E048-ACCC-8597318DF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755103"/>
        <c:axId val="531285151"/>
      </c:lineChart>
      <c:catAx>
        <c:axId val="492524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77775"/>
        <c:crosses val="autoZero"/>
        <c:auto val="1"/>
        <c:lblAlgn val="ctr"/>
        <c:lblOffset val="100"/>
        <c:noMultiLvlLbl val="0"/>
      </c:catAx>
      <c:valAx>
        <c:axId val="49247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 in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524271"/>
        <c:crosses val="autoZero"/>
        <c:crossBetween val="between"/>
      </c:valAx>
      <c:valAx>
        <c:axId val="5312851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Return (IRR &amp; MIRR)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55103"/>
        <c:crosses val="max"/>
        <c:crossBetween val="between"/>
      </c:valAx>
      <c:catAx>
        <c:axId val="475755103"/>
        <c:scaling>
          <c:orientation val="minMax"/>
        </c:scaling>
        <c:delete val="1"/>
        <c:axPos val="b"/>
        <c:majorTickMark val="out"/>
        <c:minorTickMark val="none"/>
        <c:tickLblPos val="nextTo"/>
        <c:crossAx val="5312851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NPV and IRR/MIRR plot for capBal Project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NPV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CapBal!$C$23:$L$23</c:f>
              <c:numCache>
                <c:formatCode>"$"#,##0_);[Red]\("$"#,##0\)</c:formatCode>
                <c:ptCount val="10"/>
                <c:pt idx="0">
                  <c:v>-1198473.5824972517</c:v>
                </c:pt>
                <c:pt idx="1">
                  <c:v>-994072.12443307182</c:v>
                </c:pt>
                <c:pt idx="2">
                  <c:v>-799751.98937280814</c:v>
                </c:pt>
                <c:pt idx="3">
                  <c:v>-615170.40117213165</c:v>
                </c:pt>
                <c:pt idx="4">
                  <c:v>-604136.89701593039</c:v>
                </c:pt>
                <c:pt idx="5">
                  <c:v>-432069.52543257782</c:v>
                </c:pt>
                <c:pt idx="6">
                  <c:v>-269137.27171524963</c:v>
                </c:pt>
                <c:pt idx="7">
                  <c:v>-114952.04942331952</c:v>
                </c:pt>
                <c:pt idx="8">
                  <c:v>30868.68921037158</c:v>
                </c:pt>
                <c:pt idx="9">
                  <c:v>223741.89560680347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B-CB41-A393-27613D967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575743"/>
        <c:axId val="558095839"/>
      </c:lineChart>
      <c:lineChart>
        <c:grouping val="standard"/>
        <c:varyColors val="0"/>
        <c:ser>
          <c:idx val="1"/>
          <c:order val="1"/>
          <c:tx>
            <c:v>IRR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CapBal!$C$24:$L$24</c:f>
              <c:numCache>
                <c:formatCode>0%</c:formatCode>
                <c:ptCount val="10"/>
                <c:pt idx="0">
                  <c:v>-0.79402803390133037</c:v>
                </c:pt>
                <c:pt idx="1">
                  <c:v>-0.49759245882699188</c:v>
                </c:pt>
                <c:pt idx="2">
                  <c:v>-0.27224040287593709</c:v>
                </c:pt>
                <c:pt idx="3">
                  <c:v>-0.1323614061943631</c:v>
                </c:pt>
                <c:pt idx="4">
                  <c:v>-0.12497283658545721</c:v>
                </c:pt>
                <c:pt idx="5">
                  <c:v>-3.1615626293443833E-2</c:v>
                </c:pt>
                <c:pt idx="6">
                  <c:v>2.4175790030540156E-2</c:v>
                </c:pt>
                <c:pt idx="7">
                  <c:v>6.1655438582817634E-2</c:v>
                </c:pt>
                <c:pt idx="8">
                  <c:v>8.8260884027299369E-2</c:v>
                </c:pt>
                <c:pt idx="9">
                  <c:v>0.11456811120221189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B-CB41-A393-27613D967D78}"/>
            </c:ext>
          </c:extLst>
        </c:ser>
        <c:ser>
          <c:idx val="2"/>
          <c:order val="2"/>
          <c:tx>
            <c:v>MIRR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CapBal!$C$25:$L$25</c:f>
              <c:numCache>
                <c:formatCode>0%</c:formatCode>
                <c:ptCount val="10"/>
                <c:pt idx="0">
                  <c:v>-0.8353571006798115</c:v>
                </c:pt>
                <c:pt idx="1">
                  <c:v>-0.4100536534971293</c:v>
                </c:pt>
                <c:pt idx="2">
                  <c:v>-0.17981484443140083</c:v>
                </c:pt>
                <c:pt idx="3">
                  <c:v>-6.0995311909826766E-2</c:v>
                </c:pt>
                <c:pt idx="4">
                  <c:v>-3.1123357926557293E-2</c:v>
                </c:pt>
                <c:pt idx="5">
                  <c:v>1.9290195013664801E-2</c:v>
                </c:pt>
                <c:pt idx="6">
                  <c:v>5.0997989500567886E-2</c:v>
                </c:pt>
                <c:pt idx="7">
                  <c:v>7.1773971804196757E-2</c:v>
                </c:pt>
                <c:pt idx="8">
                  <c:v>8.5803601556232234E-2</c:v>
                </c:pt>
                <c:pt idx="9">
                  <c:v>9.923675486782213E-2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7B-CB41-A393-27613D967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505455"/>
        <c:axId val="487892415"/>
      </c:lineChart>
      <c:catAx>
        <c:axId val="558575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095839"/>
        <c:crosses val="autoZero"/>
        <c:auto val="1"/>
        <c:lblAlgn val="ctr"/>
        <c:lblOffset val="100"/>
        <c:noMultiLvlLbl val="0"/>
      </c:catAx>
      <c:valAx>
        <c:axId val="55809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</a:t>
                </a:r>
                <a:r>
                  <a:rPr lang="en-US" baseline="0"/>
                  <a:t> in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75743"/>
        <c:crosses val="autoZero"/>
        <c:crossBetween val="between"/>
      </c:valAx>
      <c:valAx>
        <c:axId val="4878924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Percent Return (IRR &amp; MIRR)</a:t>
                </a:r>
                <a:r>
                  <a:rPr lang="en-US" sz="100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05455"/>
        <c:crosses val="max"/>
        <c:crossBetween val="between"/>
      </c:valAx>
      <c:catAx>
        <c:axId val="571505455"/>
        <c:scaling>
          <c:orientation val="minMax"/>
        </c:scaling>
        <c:delete val="1"/>
        <c:axPos val="b"/>
        <c:majorTickMark val="out"/>
        <c:minorTickMark val="none"/>
        <c:tickLblPos val="nextTo"/>
        <c:crossAx val="4878924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6EDB08-66BD-2D42-B661-36EE66AB378F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69168B-1CA8-9549-A4E9-33B4B6F3C726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A25A62-797B-6E44-9D5E-D0D72E3BC94C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EE4F5-112F-7D4C-83E5-5BCE06B973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27C50F-1F88-7B48-9FE7-56C1EB863F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F57BB6-2200-7240-8E48-532E3637D9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E877-A987-4408-A05B-FB922935C113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>
        <v>43915.712511574071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33B1-E8AE-47F9-82AF-6609BCEFAB44}">
  <dimension ref="A1:T103"/>
  <sheetViews>
    <sheetView workbookViewId="0">
      <selection activeCell="P16" sqref="P16"/>
    </sheetView>
  </sheetViews>
  <sheetFormatPr baseColWidth="10" defaultColWidth="8.83203125" defaultRowHeight="15" x14ac:dyDescent="0.2"/>
  <cols>
    <col min="2" max="2" width="10.6640625" bestFit="1" customWidth="1"/>
    <col min="3" max="3" width="12.1640625" bestFit="1" customWidth="1"/>
    <col min="4" max="5" width="10.6640625" bestFit="1" customWidth="1"/>
    <col min="14" max="14" width="10.6640625" bestFit="1" customWidth="1"/>
    <col min="16" max="17" width="10.6640625" bestFit="1" customWidth="1"/>
  </cols>
  <sheetData>
    <row r="1" spans="1:9" x14ac:dyDescent="0.2">
      <c r="A1" s="50" t="s">
        <v>39</v>
      </c>
      <c r="B1" s="50"/>
      <c r="C1" s="50"/>
      <c r="D1" s="50"/>
      <c r="E1" s="50"/>
      <c r="F1" s="50"/>
      <c r="G1" s="50"/>
      <c r="H1" s="50"/>
      <c r="I1" s="50"/>
    </row>
    <row r="2" spans="1:9" ht="41" customHeight="1" x14ac:dyDescent="0.2">
      <c r="A2" s="5" t="s">
        <v>13</v>
      </c>
      <c r="B2" s="5" t="s">
        <v>35</v>
      </c>
      <c r="C2" s="5" t="s">
        <v>36</v>
      </c>
      <c r="D2" s="5" t="s">
        <v>37</v>
      </c>
      <c r="E2" s="5" t="s">
        <v>38</v>
      </c>
      <c r="F2" s="7"/>
      <c r="G2" s="5" t="s">
        <v>40</v>
      </c>
      <c r="H2" s="5" t="s">
        <v>41</v>
      </c>
    </row>
    <row r="3" spans="1:9" x14ac:dyDescent="0.2">
      <c r="A3" s="3">
        <v>2019</v>
      </c>
      <c r="B3" s="6">
        <v>9773.7099999999991</v>
      </c>
      <c r="C3" s="3">
        <v>862.97979190000001</v>
      </c>
      <c r="D3" s="6">
        <v>8754.0499999999993</v>
      </c>
      <c r="E3" s="6">
        <v>10793.36</v>
      </c>
      <c r="F3" s="7"/>
      <c r="I3">
        <v>1</v>
      </c>
    </row>
    <row r="4" spans="1:9" x14ac:dyDescent="0.2">
      <c r="A4" s="3">
        <v>2020</v>
      </c>
      <c r="B4" s="6">
        <v>10166.75</v>
      </c>
      <c r="C4" s="3">
        <v>874.37339059999999</v>
      </c>
      <c r="D4" s="6">
        <v>9133.64</v>
      </c>
      <c r="E4" s="6">
        <v>11199.87</v>
      </c>
      <c r="F4" s="3"/>
      <c r="G4" s="8">
        <f>(B4-B3)/B3</f>
        <v>4.0214002666336623E-2</v>
      </c>
      <c r="H4" s="8">
        <f>C4/B4</f>
        <v>8.6003235114466281E-2</v>
      </c>
      <c r="I4">
        <v>2</v>
      </c>
    </row>
    <row r="5" spans="1:9" x14ac:dyDescent="0.2">
      <c r="A5" s="3">
        <v>2021</v>
      </c>
      <c r="B5" s="6">
        <v>10559.8</v>
      </c>
      <c r="C5" s="3">
        <v>886.44785839999997</v>
      </c>
      <c r="D5" s="6">
        <v>9512.42</v>
      </c>
      <c r="E5" s="6">
        <v>11607.18</v>
      </c>
      <c r="F5" s="3"/>
      <c r="G5" s="8">
        <f t="shared" ref="G5:G12" si="0">(B5-B4)/B4</f>
        <v>3.8660338849681487E-2</v>
      </c>
      <c r="H5" s="8">
        <f t="shared" ref="H5:H12" si="1">C5/B5</f>
        <v>8.3945515862042838E-2</v>
      </c>
      <c r="I5">
        <v>3</v>
      </c>
    </row>
    <row r="6" spans="1:9" x14ac:dyDescent="0.2">
      <c r="A6" s="3">
        <v>2022</v>
      </c>
      <c r="B6" s="6">
        <v>10952.85</v>
      </c>
      <c r="C6" s="3">
        <v>899.17576680000002</v>
      </c>
      <c r="D6" s="6">
        <v>9890.43</v>
      </c>
      <c r="E6" s="6">
        <v>12015.27</v>
      </c>
      <c r="F6" s="3"/>
      <c r="G6" s="8">
        <f t="shared" si="0"/>
        <v>3.722134888918361E-2</v>
      </c>
      <c r="H6" s="8">
        <f t="shared" si="1"/>
        <v>8.2095141155041837E-2</v>
      </c>
      <c r="I6">
        <v>4</v>
      </c>
    </row>
    <row r="7" spans="1:9" x14ac:dyDescent="0.2">
      <c r="A7" s="3">
        <v>2023</v>
      </c>
      <c r="B7" s="6">
        <v>11345.89</v>
      </c>
      <c r="C7" s="3">
        <v>912.52977369999996</v>
      </c>
      <c r="D7" s="6">
        <v>10267.69</v>
      </c>
      <c r="E7" s="6">
        <v>12424.09</v>
      </c>
      <c r="F7" s="3"/>
      <c r="G7" s="8">
        <f t="shared" si="0"/>
        <v>3.5884724067251815E-2</v>
      </c>
      <c r="H7" s="8">
        <f t="shared" si="1"/>
        <v>8.0428223233258919E-2</v>
      </c>
      <c r="I7">
        <v>5</v>
      </c>
    </row>
    <row r="8" spans="1:9" x14ac:dyDescent="0.2">
      <c r="A8" s="3">
        <v>2024</v>
      </c>
      <c r="B8" s="6">
        <v>11738.94</v>
      </c>
      <c r="C8" s="3">
        <v>926.48280650000004</v>
      </c>
      <c r="D8" s="6">
        <v>10644.26</v>
      </c>
      <c r="E8" s="6">
        <v>12833.62</v>
      </c>
      <c r="F8" s="3"/>
      <c r="G8" s="8">
        <f t="shared" si="0"/>
        <v>3.4642500500181223E-2</v>
      </c>
      <c r="H8" s="8">
        <f t="shared" si="1"/>
        <v>7.8923889763470978E-2</v>
      </c>
      <c r="I8">
        <v>6</v>
      </c>
    </row>
    <row r="9" spans="1:9" x14ac:dyDescent="0.2">
      <c r="A9" s="3">
        <v>2025</v>
      </c>
      <c r="B9" s="6">
        <v>12131.99</v>
      </c>
      <c r="C9" s="3">
        <v>941.00821889999997</v>
      </c>
      <c r="D9" s="6">
        <v>11020.14</v>
      </c>
      <c r="E9" s="6">
        <v>13243.83</v>
      </c>
      <c r="F9" s="3"/>
      <c r="G9" s="8">
        <f t="shared" si="0"/>
        <v>3.3482580198893531E-2</v>
      </c>
      <c r="H9" s="8">
        <f t="shared" si="1"/>
        <v>7.7564209902909576E-2</v>
      </c>
      <c r="I9">
        <v>7</v>
      </c>
    </row>
    <row r="10" spans="1:9" x14ac:dyDescent="0.2">
      <c r="A10" s="3">
        <v>2026</v>
      </c>
      <c r="B10" s="6">
        <v>12525.03</v>
      </c>
      <c r="C10" s="3">
        <v>956.07992330000002</v>
      </c>
      <c r="D10" s="6">
        <v>11395.38</v>
      </c>
      <c r="E10" s="6">
        <v>13654.69</v>
      </c>
      <c r="F10" s="3"/>
      <c r="G10" s="8">
        <f t="shared" si="0"/>
        <v>3.2396993403390612E-2</v>
      </c>
      <c r="H10" s="8">
        <f t="shared" si="1"/>
        <v>7.6333543576342727E-2</v>
      </c>
      <c r="I10">
        <v>8</v>
      </c>
    </row>
    <row r="11" spans="1:9" x14ac:dyDescent="0.2">
      <c r="A11" s="3">
        <v>2027</v>
      </c>
      <c r="B11" s="6">
        <v>12918.08</v>
      </c>
      <c r="C11" s="3">
        <v>971.67249930000003</v>
      </c>
      <c r="D11" s="6">
        <v>11770</v>
      </c>
      <c r="E11" s="6">
        <v>14066.16</v>
      </c>
      <c r="F11" s="3"/>
      <c r="G11" s="8">
        <f t="shared" si="0"/>
        <v>3.1381162360489295E-2</v>
      </c>
      <c r="H11" s="8">
        <f t="shared" si="1"/>
        <v>7.521802770225916E-2</v>
      </c>
      <c r="I11">
        <v>9</v>
      </c>
    </row>
    <row r="12" spans="1:9" x14ac:dyDescent="0.2">
      <c r="A12" s="3">
        <v>2028</v>
      </c>
      <c r="B12" s="6">
        <v>13311.13</v>
      </c>
      <c r="C12" s="3">
        <v>987.76128010000002</v>
      </c>
      <c r="D12" s="6">
        <v>12144.04</v>
      </c>
      <c r="E12" s="6">
        <v>14478.21</v>
      </c>
      <c r="F12" s="3"/>
      <c r="G12" s="8">
        <f t="shared" si="0"/>
        <v>3.0426348187965958E-2</v>
      </c>
      <c r="H12" s="8">
        <f t="shared" si="1"/>
        <v>7.420566699446253E-2</v>
      </c>
      <c r="I12">
        <v>10</v>
      </c>
    </row>
    <row r="13" spans="1:9" x14ac:dyDescent="0.2">
      <c r="A13" s="3">
        <v>2029</v>
      </c>
      <c r="B13" s="6">
        <v>13704.17</v>
      </c>
      <c r="C13" s="3">
        <v>1004.322419</v>
      </c>
      <c r="D13" s="6">
        <v>12517.52</v>
      </c>
      <c r="E13" s="6">
        <v>14890.83</v>
      </c>
      <c r="F13" s="3"/>
    </row>
    <row r="14" spans="1:9" x14ac:dyDescent="0.2">
      <c r="A14" s="3">
        <v>2030</v>
      </c>
      <c r="B14" s="6">
        <v>14097.22</v>
      </c>
      <c r="C14" s="3">
        <v>1021.332938</v>
      </c>
      <c r="D14" s="6">
        <v>12890.47</v>
      </c>
      <c r="E14" s="6">
        <v>15303.97</v>
      </c>
      <c r="F14" s="3"/>
    </row>
    <row r="15" spans="1:9" x14ac:dyDescent="0.2">
      <c r="A15" s="3">
        <v>2031</v>
      </c>
      <c r="B15" s="6">
        <v>14490.27</v>
      </c>
      <c r="C15" s="3">
        <v>1038.7707620000001</v>
      </c>
      <c r="D15" s="6">
        <v>13262.91</v>
      </c>
      <c r="E15" s="6">
        <v>15717.62</v>
      </c>
      <c r="F15" s="3"/>
    </row>
    <row r="16" spans="1:9" x14ac:dyDescent="0.2">
      <c r="A16" s="3">
        <v>2032</v>
      </c>
      <c r="B16" s="6">
        <v>14883.31</v>
      </c>
      <c r="C16" s="3">
        <v>1056.6147329999999</v>
      </c>
      <c r="D16" s="6">
        <v>13634.87</v>
      </c>
      <c r="E16" s="6">
        <v>16131.75</v>
      </c>
      <c r="F16" s="3"/>
    </row>
    <row r="17" spans="1:20" x14ac:dyDescent="0.2">
      <c r="A17" s="3">
        <v>2033</v>
      </c>
      <c r="B17" s="6">
        <v>15276.36</v>
      </c>
      <c r="C17" s="3">
        <v>1074.8446240000001</v>
      </c>
      <c r="D17" s="6">
        <v>14006.38</v>
      </c>
      <c r="E17" s="6">
        <v>16546.34</v>
      </c>
      <c r="F17" s="3"/>
      <c r="R17" s="51" t="s">
        <v>65</v>
      </c>
      <c r="S17" s="51"/>
      <c r="T17" s="51"/>
    </row>
    <row r="18" spans="1:20" ht="15" customHeight="1" x14ac:dyDescent="0.2">
      <c r="A18" s="3">
        <v>2034</v>
      </c>
      <c r="B18" s="6">
        <v>15669.41</v>
      </c>
      <c r="C18" s="3">
        <v>1093.4411339999999</v>
      </c>
      <c r="D18" s="6">
        <v>14377.45</v>
      </c>
      <c r="E18" s="6">
        <v>16961.36</v>
      </c>
      <c r="F18" s="3"/>
      <c r="R18" s="48" t="s">
        <v>13</v>
      </c>
      <c r="S18" s="48" t="s">
        <v>40</v>
      </c>
      <c r="T18" s="48" t="s">
        <v>41</v>
      </c>
    </row>
    <row r="19" spans="1:20" x14ac:dyDescent="0.2">
      <c r="A19" s="3">
        <v>2035</v>
      </c>
      <c r="B19" s="6">
        <v>16062.45</v>
      </c>
      <c r="C19" s="3">
        <v>1112.3858749999999</v>
      </c>
      <c r="D19" s="6">
        <v>14748.12</v>
      </c>
      <c r="E19" s="6">
        <v>17376.79</v>
      </c>
      <c r="F19" s="3"/>
      <c r="N19" s="47"/>
      <c r="P19" s="47"/>
      <c r="Q19" s="47"/>
      <c r="R19" s="48">
        <v>2019</v>
      </c>
      <c r="S19" s="48"/>
      <c r="T19" s="48"/>
    </row>
    <row r="20" spans="1:20" x14ac:dyDescent="0.2">
      <c r="A20" s="3">
        <v>2036</v>
      </c>
      <c r="B20" s="6">
        <v>16455.5</v>
      </c>
      <c r="C20" s="3">
        <v>1131.6613589999999</v>
      </c>
      <c r="D20" s="6">
        <v>15118.39</v>
      </c>
      <c r="E20" s="6">
        <v>17792.61</v>
      </c>
      <c r="F20" s="3"/>
      <c r="N20" s="47"/>
      <c r="P20" s="47"/>
      <c r="Q20" s="47"/>
      <c r="R20" s="48">
        <v>2020</v>
      </c>
      <c r="S20" s="49">
        <v>4.0214002666336623E-2</v>
      </c>
      <c r="T20" s="49">
        <v>8.6003235114466281E-2</v>
      </c>
    </row>
    <row r="21" spans="1:20" x14ac:dyDescent="0.2">
      <c r="A21" s="3">
        <v>2037</v>
      </c>
      <c r="B21" s="6">
        <v>16848.55</v>
      </c>
      <c r="C21" s="3">
        <v>1151.2509729999999</v>
      </c>
      <c r="D21" s="6">
        <v>15488.29</v>
      </c>
      <c r="E21" s="6">
        <v>18208.810000000001</v>
      </c>
      <c r="F21" s="3"/>
      <c r="N21" s="47"/>
      <c r="P21" s="47"/>
      <c r="Q21" s="47"/>
      <c r="R21" s="48">
        <v>2021</v>
      </c>
      <c r="S21" s="49">
        <v>3.8660338849681487E-2</v>
      </c>
      <c r="T21" s="49">
        <v>8.3945515862042838E-2</v>
      </c>
    </row>
    <row r="22" spans="1:20" x14ac:dyDescent="0.2">
      <c r="A22" s="3">
        <v>2038</v>
      </c>
      <c r="B22" s="6">
        <v>17241.59</v>
      </c>
      <c r="C22" s="3">
        <v>1171.1389529999999</v>
      </c>
      <c r="D22" s="6">
        <v>15857.84</v>
      </c>
      <c r="E22" s="6">
        <v>18625.349999999999</v>
      </c>
      <c r="F22" s="3"/>
      <c r="N22" s="47"/>
      <c r="P22" s="47"/>
      <c r="Q22" s="47"/>
      <c r="R22" s="48">
        <v>2022</v>
      </c>
      <c r="S22" s="49">
        <v>3.722134888918361E-2</v>
      </c>
      <c r="T22" s="49">
        <v>8.2095141155041837E-2</v>
      </c>
    </row>
    <row r="23" spans="1:20" x14ac:dyDescent="0.2">
      <c r="A23" s="3">
        <v>2039</v>
      </c>
      <c r="B23" s="6">
        <v>17634.64</v>
      </c>
      <c r="C23" s="3">
        <v>1191.3103570000001</v>
      </c>
      <c r="D23" s="6">
        <v>16227.05</v>
      </c>
      <c r="E23" s="6">
        <v>19042.23</v>
      </c>
      <c r="F23" s="3"/>
      <c r="N23" s="47"/>
      <c r="P23" s="47"/>
      <c r="Q23" s="47"/>
      <c r="R23" s="48">
        <v>2023</v>
      </c>
      <c r="S23" s="49">
        <v>3.5884724067251815E-2</v>
      </c>
      <c r="T23" s="49">
        <v>8.0428223233258919E-2</v>
      </c>
    </row>
    <row r="24" spans="1:20" x14ac:dyDescent="0.2">
      <c r="A24" s="3">
        <v>2040</v>
      </c>
      <c r="B24" s="6">
        <v>18027.689999999999</v>
      </c>
      <c r="C24" s="3">
        <v>1211.751031</v>
      </c>
      <c r="D24" s="6">
        <v>16595.939999999999</v>
      </c>
      <c r="E24" s="6">
        <v>19459.43</v>
      </c>
      <c r="F24" s="3"/>
      <c r="N24" s="47"/>
      <c r="P24" s="47"/>
      <c r="Q24" s="47"/>
      <c r="R24" s="48">
        <v>2024</v>
      </c>
      <c r="S24" s="49">
        <v>3.4642500500181223E-2</v>
      </c>
      <c r="T24" s="49">
        <v>7.8923889763470978E-2</v>
      </c>
    </row>
    <row r="25" spans="1:20" x14ac:dyDescent="0.2">
      <c r="A25" s="3">
        <v>2041</v>
      </c>
      <c r="B25" s="6">
        <v>18420.73</v>
      </c>
      <c r="C25" s="3">
        <v>1232.4475769999999</v>
      </c>
      <c r="D25" s="6">
        <v>16964.54</v>
      </c>
      <c r="E25" s="6">
        <v>19876.93</v>
      </c>
      <c r="F25" s="3"/>
      <c r="N25" s="47"/>
      <c r="P25" s="47"/>
      <c r="Q25" s="47"/>
      <c r="R25" s="48">
        <v>2025</v>
      </c>
      <c r="S25" s="49">
        <v>3.3482580198893531E-2</v>
      </c>
      <c r="T25" s="49">
        <v>7.7564209902909576E-2</v>
      </c>
    </row>
    <row r="26" spans="1:20" x14ac:dyDescent="0.2">
      <c r="A26" s="3">
        <v>2042</v>
      </c>
      <c r="B26" s="6">
        <v>18813.78</v>
      </c>
      <c r="C26" s="3">
        <v>1253.3873189999999</v>
      </c>
      <c r="D26" s="6">
        <v>17332.84</v>
      </c>
      <c r="E26" s="6">
        <v>20294.72</v>
      </c>
      <c r="F26" s="3"/>
      <c r="N26" s="47"/>
      <c r="P26" s="47"/>
      <c r="Q26" s="47"/>
      <c r="R26" s="48">
        <v>2026</v>
      </c>
      <c r="S26" s="49">
        <v>3.2396993403390612E-2</v>
      </c>
      <c r="T26" s="49">
        <v>7.6333543576342727E-2</v>
      </c>
    </row>
    <row r="27" spans="1:20" x14ac:dyDescent="0.2">
      <c r="A27" s="3">
        <v>2043</v>
      </c>
      <c r="B27" s="6">
        <v>19206.830000000002</v>
      </c>
      <c r="C27" s="3">
        <v>1274.558272</v>
      </c>
      <c r="D27" s="6">
        <v>17700.87</v>
      </c>
      <c r="E27" s="6">
        <v>20712.78</v>
      </c>
      <c r="F27" s="3"/>
      <c r="N27" s="47"/>
      <c r="P27" s="47"/>
      <c r="Q27" s="47"/>
      <c r="R27" s="48">
        <v>2027</v>
      </c>
      <c r="S27" s="49">
        <v>3.1381162360489295E-2</v>
      </c>
      <c r="T27" s="49">
        <v>7.521802770225916E-2</v>
      </c>
    </row>
    <row r="28" spans="1:20" x14ac:dyDescent="0.2">
      <c r="A28" s="3">
        <v>2044</v>
      </c>
      <c r="B28" s="6">
        <v>19599.87</v>
      </c>
      <c r="C28" s="3">
        <v>1295.949104</v>
      </c>
      <c r="D28" s="6">
        <v>18068.650000000001</v>
      </c>
      <c r="E28" s="6">
        <v>21131.1</v>
      </c>
      <c r="F28" s="3"/>
      <c r="N28" s="47"/>
      <c r="P28" s="47"/>
      <c r="Q28" s="47"/>
      <c r="R28" s="48">
        <v>2028</v>
      </c>
      <c r="S28" s="49">
        <v>3.0426348187965958E-2</v>
      </c>
      <c r="T28" s="49">
        <v>7.420566699446253E-2</v>
      </c>
    </row>
    <row r="29" spans="1:20" x14ac:dyDescent="0.2">
      <c r="A29" s="3">
        <v>2045</v>
      </c>
      <c r="B29" s="6">
        <v>19992.919999999998</v>
      </c>
      <c r="C29" s="3">
        <v>1317.5491059999999</v>
      </c>
      <c r="D29" s="6">
        <v>18436.169999999998</v>
      </c>
      <c r="E29" s="6">
        <v>21549.67</v>
      </c>
      <c r="F29" s="3"/>
    </row>
    <row r="30" spans="1:20" x14ac:dyDescent="0.2">
      <c r="A30" s="3">
        <v>2046</v>
      </c>
      <c r="B30" s="6">
        <v>20385.97</v>
      </c>
      <c r="C30" s="3">
        <v>1339.348158</v>
      </c>
      <c r="D30" s="6">
        <v>18803.46</v>
      </c>
      <c r="E30" s="6">
        <v>21968.47</v>
      </c>
      <c r="F30" s="3"/>
    </row>
    <row r="31" spans="1:20" x14ac:dyDescent="0.2">
      <c r="A31" s="3">
        <v>2047</v>
      </c>
      <c r="B31" s="6">
        <v>20779.009999999998</v>
      </c>
      <c r="C31" s="3">
        <v>1361.336697</v>
      </c>
      <c r="D31" s="6">
        <v>19170.53</v>
      </c>
      <c r="E31" s="6">
        <v>22387.5</v>
      </c>
      <c r="F31" s="3"/>
    </row>
    <row r="32" spans="1:20" x14ac:dyDescent="0.2">
      <c r="A32" s="3">
        <v>2048</v>
      </c>
      <c r="B32" s="6">
        <v>21172.06</v>
      </c>
      <c r="C32" s="3">
        <v>1383.5056890000001</v>
      </c>
      <c r="D32" s="6">
        <v>19537.38</v>
      </c>
      <c r="E32" s="6">
        <v>22806.74</v>
      </c>
      <c r="F32" s="3"/>
    </row>
    <row r="33" spans="1:6" x14ac:dyDescent="0.2">
      <c r="A33" s="3">
        <v>2049</v>
      </c>
      <c r="B33" s="6">
        <v>21565.11</v>
      </c>
      <c r="C33" s="3">
        <v>1405.8465980000001</v>
      </c>
      <c r="D33" s="6">
        <v>19904.03</v>
      </c>
      <c r="E33" s="6">
        <v>23226.18</v>
      </c>
      <c r="F33" s="3"/>
    </row>
    <row r="34" spans="1:6" x14ac:dyDescent="0.2">
      <c r="A34" s="3">
        <v>2050</v>
      </c>
      <c r="B34" s="6">
        <v>21958.15</v>
      </c>
      <c r="C34" s="3">
        <v>1428.351355</v>
      </c>
      <c r="D34" s="6">
        <v>20270.490000000002</v>
      </c>
      <c r="E34" s="6">
        <v>23645.82</v>
      </c>
      <c r="F34" s="3"/>
    </row>
    <row r="35" spans="1:6" x14ac:dyDescent="0.2">
      <c r="A35" s="3">
        <v>2051</v>
      </c>
      <c r="B35" s="6">
        <v>22351.200000000001</v>
      </c>
      <c r="C35" s="3">
        <v>1451.0123390000001</v>
      </c>
      <c r="D35" s="6">
        <v>20636.759999999998</v>
      </c>
      <c r="E35" s="6">
        <v>24065.64</v>
      </c>
      <c r="F35" s="3"/>
    </row>
    <row r="36" spans="1:6" x14ac:dyDescent="0.2">
      <c r="A36" s="3">
        <v>2052</v>
      </c>
      <c r="B36" s="6">
        <v>22744.25</v>
      </c>
      <c r="C36" s="3">
        <v>1473.8223419999999</v>
      </c>
      <c r="D36" s="6">
        <v>21002.85</v>
      </c>
      <c r="E36" s="6">
        <v>24485.64</v>
      </c>
      <c r="F36" s="3"/>
    </row>
    <row r="37" spans="1:6" x14ac:dyDescent="0.2">
      <c r="A37" s="3">
        <v>2053</v>
      </c>
      <c r="B37" s="6">
        <v>23137.29</v>
      </c>
      <c r="C37" s="3">
        <v>1496.774551</v>
      </c>
      <c r="D37" s="6">
        <v>21368.78</v>
      </c>
      <c r="E37" s="6">
        <v>24905.8</v>
      </c>
      <c r="F37" s="3"/>
    </row>
    <row r="38" spans="1:6" x14ac:dyDescent="0.2">
      <c r="A38" s="3">
        <v>2054</v>
      </c>
      <c r="B38" s="6">
        <v>23530.34</v>
      </c>
      <c r="C38" s="3">
        <v>1519.8625239999999</v>
      </c>
      <c r="D38" s="6">
        <v>21734.55</v>
      </c>
      <c r="E38" s="6">
        <v>25326.13</v>
      </c>
      <c r="F38" s="3"/>
    </row>
    <row r="39" spans="1:6" x14ac:dyDescent="0.2">
      <c r="A39" s="3">
        <v>2055</v>
      </c>
      <c r="B39" s="6">
        <v>23923.39</v>
      </c>
      <c r="C39" s="3">
        <v>1543.080168</v>
      </c>
      <c r="D39" s="6">
        <v>22100.16</v>
      </c>
      <c r="E39" s="6">
        <v>25746.61</v>
      </c>
      <c r="F39" s="3"/>
    </row>
    <row r="40" spans="1:6" x14ac:dyDescent="0.2">
      <c r="A40" s="3">
        <v>2056</v>
      </c>
      <c r="B40" s="6">
        <v>24316.43</v>
      </c>
      <c r="C40" s="3">
        <v>1566.4217149999999</v>
      </c>
      <c r="D40" s="6">
        <v>22465.63</v>
      </c>
      <c r="E40" s="6">
        <v>26167.24</v>
      </c>
      <c r="F40" s="3"/>
    </row>
    <row r="41" spans="1:6" x14ac:dyDescent="0.2">
      <c r="A41" s="3">
        <v>2057</v>
      </c>
      <c r="B41" s="6">
        <v>24709.48</v>
      </c>
      <c r="C41" s="3">
        <v>1589.881709</v>
      </c>
      <c r="D41" s="6">
        <v>22830.959999999999</v>
      </c>
      <c r="E41" s="6">
        <v>26588</v>
      </c>
      <c r="F41" s="3"/>
    </row>
    <row r="42" spans="1:6" x14ac:dyDescent="0.2">
      <c r="A42" s="3">
        <v>2058</v>
      </c>
      <c r="B42" s="6">
        <v>25102.53</v>
      </c>
      <c r="C42" s="3">
        <v>1613.4549830000001</v>
      </c>
      <c r="D42" s="6">
        <v>23196.15</v>
      </c>
      <c r="E42" s="6">
        <v>27008.9</v>
      </c>
      <c r="F42" s="3"/>
    </row>
    <row r="43" spans="1:6" x14ac:dyDescent="0.2">
      <c r="A43" s="3">
        <v>2059</v>
      </c>
      <c r="B43" s="6">
        <v>25495.57</v>
      </c>
      <c r="C43" s="3">
        <v>1637.1366439999999</v>
      </c>
      <c r="D43" s="6">
        <v>23561.22</v>
      </c>
      <c r="E43" s="6">
        <v>27429.93</v>
      </c>
      <c r="F43" s="3"/>
    </row>
    <row r="44" spans="1:6" x14ac:dyDescent="0.2">
      <c r="A44" s="3">
        <v>2060</v>
      </c>
      <c r="B44" s="6">
        <v>25888.62</v>
      </c>
      <c r="C44" s="3">
        <v>1660.922055</v>
      </c>
      <c r="D44" s="6">
        <v>23926.16</v>
      </c>
      <c r="E44" s="6">
        <v>27851.08</v>
      </c>
      <c r="F44" s="3"/>
    </row>
    <row r="45" spans="1:6" x14ac:dyDescent="0.2">
      <c r="A45" s="3">
        <v>2061</v>
      </c>
      <c r="B45" s="6">
        <v>26281.67</v>
      </c>
      <c r="C45" s="3">
        <v>1684.8068229999999</v>
      </c>
      <c r="D45" s="6">
        <v>24290.98</v>
      </c>
      <c r="E45" s="6">
        <v>28272.35</v>
      </c>
      <c r="F45" s="3"/>
    </row>
    <row r="46" spans="1:6" x14ac:dyDescent="0.2">
      <c r="A46" s="3">
        <v>2062</v>
      </c>
      <c r="B46" s="6">
        <v>26674.71</v>
      </c>
      <c r="C46" s="3">
        <v>1708.786781</v>
      </c>
      <c r="D46" s="6">
        <v>24655.7</v>
      </c>
      <c r="E46" s="6">
        <v>28693.73</v>
      </c>
      <c r="F46" s="3"/>
    </row>
    <row r="47" spans="1:6" x14ac:dyDescent="0.2">
      <c r="A47" s="3">
        <v>2063</v>
      </c>
      <c r="B47" s="6">
        <v>27067.759999999998</v>
      </c>
      <c r="C47" s="3">
        <v>1732.8579769999999</v>
      </c>
      <c r="D47" s="6">
        <v>25020.3</v>
      </c>
      <c r="E47" s="6">
        <v>29115.22</v>
      </c>
      <c r="F47" s="3"/>
    </row>
    <row r="48" spans="1:6" x14ac:dyDescent="0.2">
      <c r="A48" s="3">
        <v>2064</v>
      </c>
      <c r="B48" s="6">
        <v>27460.81</v>
      </c>
      <c r="C48" s="3">
        <v>1757.016662</v>
      </c>
      <c r="D48" s="6">
        <v>25384.81</v>
      </c>
      <c r="E48" s="6">
        <v>29536.81</v>
      </c>
      <c r="F48" s="3"/>
    </row>
    <row r="49" spans="1:6" x14ac:dyDescent="0.2">
      <c r="A49" s="3">
        <v>2065</v>
      </c>
      <c r="B49" s="6">
        <v>27853.85</v>
      </c>
      <c r="C49" s="3">
        <v>1781.2592749999999</v>
      </c>
      <c r="D49" s="6">
        <v>25749.21</v>
      </c>
      <c r="E49" s="6">
        <v>29958.5</v>
      </c>
      <c r="F49" s="3"/>
    </row>
    <row r="50" spans="1:6" x14ac:dyDescent="0.2">
      <c r="A50" s="3">
        <v>2066</v>
      </c>
      <c r="B50" s="6">
        <v>28246.9</v>
      </c>
      <c r="C50" s="3">
        <v>1805.5824359999999</v>
      </c>
      <c r="D50" s="6">
        <v>26113.52</v>
      </c>
      <c r="E50" s="6">
        <v>30380.28</v>
      </c>
      <c r="F50" s="3"/>
    </row>
    <row r="51" spans="1:6" x14ac:dyDescent="0.2">
      <c r="A51" s="3">
        <v>2067</v>
      </c>
      <c r="B51" s="6">
        <v>28639.95</v>
      </c>
      <c r="C51" s="3">
        <v>1829.9829339999999</v>
      </c>
      <c r="D51" s="6">
        <v>26477.73</v>
      </c>
      <c r="E51" s="6">
        <v>30802.16</v>
      </c>
      <c r="F51" s="3"/>
    </row>
    <row r="52" spans="1:6" x14ac:dyDescent="0.2">
      <c r="A52" s="3">
        <v>2068</v>
      </c>
      <c r="B52" s="6">
        <v>29032.99</v>
      </c>
      <c r="C52" s="3">
        <v>1854.457715</v>
      </c>
      <c r="D52" s="6">
        <v>26841.86</v>
      </c>
      <c r="E52" s="6">
        <v>31224.12</v>
      </c>
      <c r="F52" s="3"/>
    </row>
    <row r="53" spans="1:6" x14ac:dyDescent="0.2">
      <c r="A53" s="3">
        <v>2069</v>
      </c>
      <c r="B53" s="6">
        <v>29426.04</v>
      </c>
      <c r="C53" s="3">
        <v>1879.0038770000001</v>
      </c>
      <c r="D53" s="6">
        <v>27205.9</v>
      </c>
      <c r="E53" s="6">
        <v>31646.17</v>
      </c>
      <c r="F53" s="3"/>
    </row>
    <row r="54" spans="1:6" x14ac:dyDescent="0.2">
      <c r="A54" s="3">
        <v>2070</v>
      </c>
      <c r="B54" s="6">
        <v>29819.09</v>
      </c>
      <c r="C54" s="3">
        <v>1903.618659</v>
      </c>
      <c r="D54" s="6">
        <v>27569.87</v>
      </c>
      <c r="E54" s="6">
        <v>32068.3</v>
      </c>
      <c r="F54" s="3"/>
    </row>
    <row r="55" spans="1:6" x14ac:dyDescent="0.2">
      <c r="A55" s="3">
        <v>2071</v>
      </c>
      <c r="B55" s="6">
        <v>30212.13</v>
      </c>
      <c r="C55" s="3">
        <v>1928.299432</v>
      </c>
      <c r="D55" s="6">
        <v>27933.75</v>
      </c>
      <c r="E55" s="6">
        <v>32490.51</v>
      </c>
      <c r="F55" s="3"/>
    </row>
    <row r="56" spans="1:6" x14ac:dyDescent="0.2">
      <c r="A56" s="3">
        <v>2072</v>
      </c>
      <c r="B56" s="6">
        <v>30605.18</v>
      </c>
      <c r="C56" s="3">
        <v>1953.0436950000001</v>
      </c>
      <c r="D56" s="6">
        <v>28297.56</v>
      </c>
      <c r="E56" s="6">
        <v>32912.800000000003</v>
      </c>
      <c r="F56" s="3"/>
    </row>
    <row r="57" spans="1:6" x14ac:dyDescent="0.2">
      <c r="A57" s="3">
        <v>2073</v>
      </c>
      <c r="B57" s="6">
        <v>30998.23</v>
      </c>
      <c r="C57" s="3">
        <v>1977.8490650000001</v>
      </c>
      <c r="D57" s="6">
        <v>28661.3</v>
      </c>
      <c r="E57" s="6">
        <v>33335.15</v>
      </c>
      <c r="F57" s="3"/>
    </row>
    <row r="58" spans="1:6" x14ac:dyDescent="0.2">
      <c r="A58" s="3">
        <v>2074</v>
      </c>
      <c r="B58" s="6">
        <v>31391.27</v>
      </c>
      <c r="C58" s="3">
        <v>2002.713272</v>
      </c>
      <c r="D58" s="6">
        <v>29024.97</v>
      </c>
      <c r="E58" s="6">
        <v>33757.58</v>
      </c>
      <c r="F58" s="3"/>
    </row>
    <row r="59" spans="1:6" x14ac:dyDescent="0.2">
      <c r="A59" s="3">
        <v>2075</v>
      </c>
      <c r="B59" s="6">
        <v>31784.32</v>
      </c>
      <c r="C59" s="3">
        <v>2027.634151</v>
      </c>
      <c r="D59" s="6">
        <v>29388.57</v>
      </c>
      <c r="E59" s="6">
        <v>34180.07</v>
      </c>
      <c r="F59" s="3"/>
    </row>
    <row r="60" spans="1:6" x14ac:dyDescent="0.2">
      <c r="A60" s="3">
        <v>2076</v>
      </c>
      <c r="B60" s="6">
        <v>32177.37</v>
      </c>
      <c r="C60" s="3">
        <v>2052.6096379999999</v>
      </c>
      <c r="D60" s="6">
        <v>29752.11</v>
      </c>
      <c r="E60" s="6">
        <v>34602.620000000003</v>
      </c>
      <c r="F60" s="3"/>
    </row>
    <row r="61" spans="1:6" x14ac:dyDescent="0.2">
      <c r="A61" s="3">
        <v>2077</v>
      </c>
      <c r="B61" s="6">
        <v>32570.41</v>
      </c>
      <c r="C61" s="3">
        <v>2077.6377630000002</v>
      </c>
      <c r="D61" s="6">
        <v>30115.58</v>
      </c>
      <c r="E61" s="6">
        <v>35025.24</v>
      </c>
      <c r="F61" s="3"/>
    </row>
    <row r="62" spans="1:6" x14ac:dyDescent="0.2">
      <c r="A62" s="3">
        <v>2078</v>
      </c>
      <c r="B62" s="6">
        <v>32963.46</v>
      </c>
      <c r="C62" s="3">
        <v>2102.7166470000002</v>
      </c>
      <c r="D62" s="6">
        <v>30479</v>
      </c>
      <c r="E62" s="6">
        <v>35447.919999999998</v>
      </c>
      <c r="F62" s="3"/>
    </row>
    <row r="63" spans="1:6" x14ac:dyDescent="0.2">
      <c r="A63" s="3">
        <v>2079</v>
      </c>
      <c r="B63" s="6">
        <v>33356.51</v>
      </c>
      <c r="C63" s="3">
        <v>2127.8444949999998</v>
      </c>
      <c r="D63" s="6">
        <v>30842.35</v>
      </c>
      <c r="E63" s="6">
        <v>35870.660000000003</v>
      </c>
      <c r="F63" s="3"/>
    </row>
    <row r="64" spans="1:6" x14ac:dyDescent="0.2">
      <c r="A64" s="3">
        <v>2080</v>
      </c>
      <c r="B64" s="6">
        <v>33749.550000000003</v>
      </c>
      <c r="C64" s="3">
        <v>2153.0195920000001</v>
      </c>
      <c r="D64" s="6">
        <v>31205.65</v>
      </c>
      <c r="E64" s="6">
        <v>36293.449999999997</v>
      </c>
      <c r="F64" s="3"/>
    </row>
    <row r="65" spans="1:6" x14ac:dyDescent="0.2">
      <c r="A65" s="3">
        <v>2081</v>
      </c>
      <c r="B65" s="6">
        <v>34142.6</v>
      </c>
      <c r="C65" s="3">
        <v>2178.2403020000002</v>
      </c>
      <c r="D65" s="6">
        <v>31568.9</v>
      </c>
      <c r="E65" s="6">
        <v>36716.300000000003</v>
      </c>
      <c r="F65" s="3"/>
    </row>
    <row r="66" spans="1:6" x14ac:dyDescent="0.2">
      <c r="A66" s="3">
        <v>2082</v>
      </c>
      <c r="B66" s="6">
        <v>34535.65</v>
      </c>
      <c r="C66" s="3">
        <v>2203.505056</v>
      </c>
      <c r="D66" s="6">
        <v>31932.1</v>
      </c>
      <c r="E66" s="6">
        <v>37139.19</v>
      </c>
      <c r="F66" s="3"/>
    </row>
    <row r="67" spans="1:6" x14ac:dyDescent="0.2">
      <c r="A67" s="3">
        <v>2083</v>
      </c>
      <c r="B67" s="6">
        <v>34928.69</v>
      </c>
      <c r="C67" s="3">
        <v>2228.8123580000001</v>
      </c>
      <c r="D67" s="6">
        <v>32295.24</v>
      </c>
      <c r="E67" s="6">
        <v>37562.14</v>
      </c>
      <c r="F67" s="3"/>
    </row>
    <row r="68" spans="1:6" x14ac:dyDescent="0.2">
      <c r="A68" s="3">
        <v>2084</v>
      </c>
      <c r="B68" s="6">
        <v>35321.74</v>
      </c>
      <c r="C68" s="3">
        <v>2254.1607739999999</v>
      </c>
      <c r="D68" s="6">
        <v>32658.34</v>
      </c>
      <c r="E68" s="6">
        <v>37985.14</v>
      </c>
      <c r="F68" s="3"/>
    </row>
    <row r="69" spans="1:6" x14ac:dyDescent="0.2">
      <c r="A69" s="3">
        <v>2085</v>
      </c>
      <c r="B69" s="6">
        <v>35714.79</v>
      </c>
      <c r="C69" s="3">
        <v>2279.5489339999999</v>
      </c>
      <c r="D69" s="6">
        <v>33021.39</v>
      </c>
      <c r="E69" s="6">
        <v>38408.18</v>
      </c>
      <c r="F69" s="3"/>
    </row>
    <row r="70" spans="1:6" x14ac:dyDescent="0.2">
      <c r="A70" s="3">
        <v>2086</v>
      </c>
      <c r="B70" s="6">
        <v>36107.83</v>
      </c>
      <c r="C70" s="3">
        <v>2304.9755230000001</v>
      </c>
      <c r="D70" s="6">
        <v>33384.39</v>
      </c>
      <c r="E70" s="6">
        <v>38831.269999999997</v>
      </c>
      <c r="F70" s="3"/>
    </row>
    <row r="71" spans="1:6" x14ac:dyDescent="0.2">
      <c r="A71" s="3">
        <v>2087</v>
      </c>
      <c r="B71" s="6">
        <v>36500.879999999997</v>
      </c>
      <c r="C71" s="3">
        <v>2330.4392830000002</v>
      </c>
      <c r="D71" s="6">
        <v>33747.35</v>
      </c>
      <c r="E71" s="6">
        <v>39254.410000000003</v>
      </c>
      <c r="F71" s="3"/>
    </row>
    <row r="72" spans="1:6" x14ac:dyDescent="0.2">
      <c r="A72" s="3">
        <v>2088</v>
      </c>
      <c r="B72" s="6">
        <v>36893.93</v>
      </c>
      <c r="C72" s="3">
        <v>2355.9390100000001</v>
      </c>
      <c r="D72" s="6">
        <v>34110.269999999997</v>
      </c>
      <c r="E72" s="6">
        <v>39677.58</v>
      </c>
      <c r="F72" s="3"/>
    </row>
    <row r="73" spans="1:6" x14ac:dyDescent="0.2">
      <c r="A73" s="3">
        <v>2089</v>
      </c>
      <c r="B73" s="6">
        <v>37286.97</v>
      </c>
      <c r="C73" s="3">
        <v>2381.4735479999999</v>
      </c>
      <c r="D73" s="6">
        <v>34473.15</v>
      </c>
      <c r="E73" s="6">
        <v>40100.800000000003</v>
      </c>
      <c r="F73" s="3"/>
    </row>
    <row r="74" spans="1:6" x14ac:dyDescent="0.2">
      <c r="A74" s="3">
        <v>2090</v>
      </c>
      <c r="B74" s="6">
        <v>37680.019999999997</v>
      </c>
      <c r="C74" s="3">
        <v>2407.0417900000002</v>
      </c>
      <c r="D74" s="6">
        <v>34835.980000000003</v>
      </c>
      <c r="E74" s="6">
        <v>40524.06</v>
      </c>
      <c r="F74" s="3"/>
    </row>
    <row r="75" spans="1:6" x14ac:dyDescent="0.2">
      <c r="A75" s="3">
        <v>2091</v>
      </c>
      <c r="B75" s="6">
        <v>38073.07</v>
      </c>
      <c r="C75" s="3">
        <v>2432.6426719999999</v>
      </c>
      <c r="D75" s="6">
        <v>35198.78</v>
      </c>
      <c r="E75" s="6">
        <v>40947.35</v>
      </c>
      <c r="F75" s="3"/>
    </row>
    <row r="76" spans="1:6" x14ac:dyDescent="0.2">
      <c r="A76" s="3">
        <v>2092</v>
      </c>
      <c r="B76" s="6">
        <v>38466.11</v>
      </c>
      <c r="C76" s="3">
        <v>2458.2751750000002</v>
      </c>
      <c r="D76" s="6">
        <v>35561.54</v>
      </c>
      <c r="E76" s="6">
        <v>41370.68</v>
      </c>
      <c r="F76" s="3"/>
    </row>
    <row r="77" spans="1:6" x14ac:dyDescent="0.2">
      <c r="A77" s="3">
        <v>2093</v>
      </c>
      <c r="B77" s="6">
        <v>38859.160000000003</v>
      </c>
      <c r="C77" s="3">
        <v>2483.9383189999999</v>
      </c>
      <c r="D77" s="6">
        <v>35924.26</v>
      </c>
      <c r="E77" s="6">
        <v>41794.050000000003</v>
      </c>
      <c r="F77" s="3"/>
    </row>
    <row r="78" spans="1:6" x14ac:dyDescent="0.2">
      <c r="A78" s="3">
        <v>2094</v>
      </c>
      <c r="B78" s="6">
        <v>39252.21</v>
      </c>
      <c r="C78" s="3">
        <v>2509.6311660000001</v>
      </c>
      <c r="D78" s="6">
        <v>36286.949999999997</v>
      </c>
      <c r="E78" s="6">
        <v>42217.46</v>
      </c>
      <c r="F78" s="3"/>
    </row>
    <row r="79" spans="1:6" x14ac:dyDescent="0.2">
      <c r="A79" s="3">
        <v>2095</v>
      </c>
      <c r="B79" s="6">
        <v>39645.25</v>
      </c>
      <c r="C79" s="3">
        <v>2535.3528110000002</v>
      </c>
      <c r="D79" s="6">
        <v>36649.61</v>
      </c>
      <c r="E79" s="6">
        <v>42640.89</v>
      </c>
      <c r="F79" s="3"/>
    </row>
    <row r="80" spans="1:6" x14ac:dyDescent="0.2">
      <c r="A80" s="3">
        <v>2096</v>
      </c>
      <c r="B80" s="6">
        <v>40038.300000000003</v>
      </c>
      <c r="C80" s="3">
        <v>2561.1023869999999</v>
      </c>
      <c r="D80" s="6">
        <v>37012.230000000003</v>
      </c>
      <c r="E80" s="6">
        <v>43064.37</v>
      </c>
      <c r="F80" s="3"/>
    </row>
    <row r="81" spans="1:6" x14ac:dyDescent="0.2">
      <c r="A81" s="3">
        <v>2097</v>
      </c>
      <c r="B81" s="6">
        <v>40431.35</v>
      </c>
      <c r="C81" s="3">
        <v>2586.8790610000001</v>
      </c>
      <c r="D81" s="6">
        <v>37374.82</v>
      </c>
      <c r="E81" s="6">
        <v>43487.87</v>
      </c>
      <c r="F81" s="3"/>
    </row>
    <row r="82" spans="1:6" x14ac:dyDescent="0.2">
      <c r="A82" s="3">
        <v>2098</v>
      </c>
      <c r="B82" s="6">
        <v>40824.39</v>
      </c>
      <c r="C82" s="3">
        <v>2612.6820299999999</v>
      </c>
      <c r="D82" s="6">
        <v>37737.379999999997</v>
      </c>
      <c r="E82" s="6">
        <v>43911.4</v>
      </c>
      <c r="F82" s="3"/>
    </row>
    <row r="83" spans="1:6" x14ac:dyDescent="0.2">
      <c r="A83" s="3">
        <v>2099</v>
      </c>
      <c r="B83" s="6">
        <v>41217.440000000002</v>
      </c>
      <c r="C83" s="3">
        <v>2638.510522</v>
      </c>
      <c r="D83" s="6">
        <v>38099.910000000003</v>
      </c>
      <c r="E83" s="6">
        <v>44334.97</v>
      </c>
      <c r="F83" s="3"/>
    </row>
    <row r="84" spans="1:6" x14ac:dyDescent="0.2">
      <c r="A84" s="3">
        <v>2100</v>
      </c>
      <c r="B84" s="6">
        <v>41610.49</v>
      </c>
      <c r="C84" s="3">
        <v>2664.3637960000001</v>
      </c>
      <c r="D84" s="6">
        <v>38462.410000000003</v>
      </c>
      <c r="E84" s="6">
        <v>44758.559999999998</v>
      </c>
      <c r="F84" s="3"/>
    </row>
    <row r="85" spans="1:6" x14ac:dyDescent="0.2">
      <c r="A85" s="3">
        <v>2101</v>
      </c>
      <c r="B85" s="6">
        <v>42003.53</v>
      </c>
      <c r="C85" s="3">
        <v>2690.2411360000001</v>
      </c>
      <c r="D85" s="6">
        <v>38824.879999999997</v>
      </c>
      <c r="E85" s="6">
        <v>45182.18</v>
      </c>
      <c r="F85" s="3"/>
    </row>
    <row r="86" spans="1:6" x14ac:dyDescent="0.2">
      <c r="A86" s="3">
        <v>2102</v>
      </c>
      <c r="B86" s="6">
        <v>42396.58</v>
      </c>
      <c r="C86" s="3">
        <v>2716.1418560000002</v>
      </c>
      <c r="D86" s="6">
        <v>39187.32</v>
      </c>
      <c r="E86" s="6">
        <v>45605.83</v>
      </c>
      <c r="F86" s="3"/>
    </row>
    <row r="87" spans="1:6" x14ac:dyDescent="0.2">
      <c r="A87" s="3">
        <v>2103</v>
      </c>
      <c r="B87" s="6">
        <v>42789.63</v>
      </c>
      <c r="C87" s="3">
        <v>2742.0652920000002</v>
      </c>
      <c r="D87" s="6">
        <v>39549.74</v>
      </c>
      <c r="E87" s="6">
        <v>46029.51</v>
      </c>
      <c r="F87" s="3"/>
    </row>
    <row r="88" spans="1:6" x14ac:dyDescent="0.2">
      <c r="A88" s="3">
        <v>2104</v>
      </c>
      <c r="B88" s="6">
        <v>43182.67</v>
      </c>
      <c r="C88" s="3">
        <v>2768.0108059999998</v>
      </c>
      <c r="D88" s="6">
        <v>39912.129999999997</v>
      </c>
      <c r="E88" s="6">
        <v>46453.21</v>
      </c>
      <c r="F88" s="3"/>
    </row>
    <row r="89" spans="1:6" x14ac:dyDescent="0.2">
      <c r="A89" s="3">
        <v>2105</v>
      </c>
      <c r="B89" s="6">
        <v>43575.72</v>
      </c>
      <c r="C89" s="3">
        <v>2793.9777840000002</v>
      </c>
      <c r="D89" s="6">
        <v>40274.5</v>
      </c>
      <c r="E89" s="6">
        <v>46876.94</v>
      </c>
      <c r="F89" s="3"/>
    </row>
    <row r="90" spans="1:6" x14ac:dyDescent="0.2">
      <c r="A90" s="3">
        <v>2106</v>
      </c>
      <c r="B90" s="6">
        <v>43968.77</v>
      </c>
      <c r="C90" s="3">
        <v>2819.9656319999999</v>
      </c>
      <c r="D90" s="6">
        <v>40636.839999999997</v>
      </c>
      <c r="E90" s="6">
        <v>47300.69</v>
      </c>
      <c r="F90" s="3"/>
    </row>
    <row r="91" spans="1:6" x14ac:dyDescent="0.2">
      <c r="A91" s="3">
        <v>2107</v>
      </c>
      <c r="B91" s="6">
        <v>44361.81</v>
      </c>
      <c r="C91" s="3">
        <v>2845.973778</v>
      </c>
      <c r="D91" s="6">
        <v>40999.160000000003</v>
      </c>
      <c r="E91" s="6">
        <v>47724.47</v>
      </c>
      <c r="F91" s="3"/>
    </row>
    <row r="92" spans="1:6" x14ac:dyDescent="0.2">
      <c r="A92" s="3">
        <v>2108</v>
      </c>
      <c r="B92" s="6">
        <v>44754.86</v>
      </c>
      <c r="C92" s="3">
        <v>2872.0016719999999</v>
      </c>
      <c r="D92" s="6">
        <v>41361.449999999997</v>
      </c>
      <c r="E92" s="6">
        <v>48148.27</v>
      </c>
      <c r="F92" s="3"/>
    </row>
    <row r="93" spans="1:6" x14ac:dyDescent="0.2">
      <c r="A93" s="3">
        <v>2109</v>
      </c>
      <c r="B93" s="6">
        <v>45147.91</v>
      </c>
      <c r="C93" s="3">
        <v>2898.0487800000001</v>
      </c>
      <c r="D93" s="6">
        <v>41723.72</v>
      </c>
      <c r="E93" s="6">
        <v>48572.09</v>
      </c>
      <c r="F93" s="3"/>
    </row>
    <row r="94" spans="1:6" x14ac:dyDescent="0.2">
      <c r="A94" s="3">
        <v>2110</v>
      </c>
      <c r="B94" s="6">
        <v>45540.95</v>
      </c>
      <c r="C94" s="3">
        <v>2924.1145900000001</v>
      </c>
      <c r="D94" s="6">
        <v>42085.97</v>
      </c>
      <c r="E94" s="6">
        <v>48995.94</v>
      </c>
      <c r="F94" s="3"/>
    </row>
    <row r="95" spans="1:6" x14ac:dyDescent="0.2">
      <c r="A95" s="3">
        <v>2111</v>
      </c>
      <c r="B95" s="6">
        <v>45934</v>
      </c>
      <c r="C95" s="3">
        <v>2950.1986059999999</v>
      </c>
      <c r="D95" s="6">
        <v>42448.2</v>
      </c>
      <c r="E95" s="6">
        <v>49419.8</v>
      </c>
      <c r="F95" s="3"/>
    </row>
    <row r="96" spans="1:6" x14ac:dyDescent="0.2">
      <c r="A96" s="3">
        <v>2112</v>
      </c>
      <c r="B96" s="6">
        <v>46327.05</v>
      </c>
      <c r="C96" s="3">
        <v>2976.30035</v>
      </c>
      <c r="D96" s="6">
        <v>42810.400000000001</v>
      </c>
      <c r="E96" s="6">
        <v>49843.69</v>
      </c>
      <c r="F96" s="3"/>
    </row>
    <row r="97" spans="1:6" x14ac:dyDescent="0.2">
      <c r="A97" s="3">
        <v>2113</v>
      </c>
      <c r="B97" s="6">
        <v>46720.09</v>
      </c>
      <c r="C97" s="3">
        <v>3002.4193580000001</v>
      </c>
      <c r="D97" s="6">
        <v>43172.59</v>
      </c>
      <c r="E97" s="6">
        <v>50267.6</v>
      </c>
      <c r="F97" s="3"/>
    </row>
    <row r="98" spans="1:6" x14ac:dyDescent="0.2">
      <c r="A98" s="3">
        <v>2114</v>
      </c>
      <c r="B98" s="6">
        <v>47113.14</v>
      </c>
      <c r="C98" s="3">
        <v>3028.5551839999998</v>
      </c>
      <c r="D98" s="6">
        <v>43534.75</v>
      </c>
      <c r="E98" s="6">
        <v>50691.519999999997</v>
      </c>
      <c r="F98" s="3"/>
    </row>
    <row r="99" spans="1:6" x14ac:dyDescent="0.2">
      <c r="A99" s="3">
        <v>2115</v>
      </c>
      <c r="B99" s="6">
        <v>47506.18</v>
      </c>
      <c r="C99" s="3">
        <v>3054.7073970000001</v>
      </c>
      <c r="D99" s="6">
        <v>43896.9</v>
      </c>
      <c r="E99" s="6">
        <v>51115.47</v>
      </c>
      <c r="F99" s="3"/>
    </row>
    <row r="100" spans="1:6" x14ac:dyDescent="0.2">
      <c r="A100" s="3">
        <v>2116</v>
      </c>
      <c r="B100" s="6">
        <v>47899.23</v>
      </c>
      <c r="C100" s="3">
        <v>3080.875579</v>
      </c>
      <c r="D100" s="6">
        <v>44259.03</v>
      </c>
      <c r="E100" s="6">
        <v>51539.44</v>
      </c>
      <c r="F100" s="3"/>
    </row>
    <row r="101" spans="1:6" x14ac:dyDescent="0.2">
      <c r="A101" s="3">
        <v>2117</v>
      </c>
      <c r="B101" s="6">
        <v>48292.28</v>
      </c>
      <c r="C101" s="3">
        <v>3107.0593269999999</v>
      </c>
      <c r="D101" s="6">
        <v>44621.14</v>
      </c>
      <c r="E101" s="6">
        <v>51963.42</v>
      </c>
      <c r="F101" s="3"/>
    </row>
    <row r="102" spans="1:6" x14ac:dyDescent="0.2">
      <c r="A102" s="3">
        <v>2118</v>
      </c>
      <c r="B102" s="6">
        <v>48685.32</v>
      </c>
      <c r="C102" s="3">
        <v>3133.2582499999999</v>
      </c>
      <c r="D102" s="6">
        <v>44983.23</v>
      </c>
      <c r="E102" s="6">
        <v>52387.42</v>
      </c>
      <c r="F102" s="3"/>
    </row>
    <row r="103" spans="1:6" x14ac:dyDescent="0.2">
      <c r="F103" s="3"/>
    </row>
  </sheetData>
  <mergeCells count="2">
    <mergeCell ref="A1:I1"/>
    <mergeCell ref="R17:T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2A9B-0FC5-492B-9CF1-8C344BF273C7}">
  <dimension ref="A1:V46"/>
  <sheetViews>
    <sheetView tabSelected="1" workbookViewId="0">
      <selection activeCell="H30" sqref="H30"/>
    </sheetView>
  </sheetViews>
  <sheetFormatPr baseColWidth="10" defaultColWidth="8.83203125" defaultRowHeight="15" x14ac:dyDescent="0.2"/>
  <cols>
    <col min="1" max="1" width="16.83203125" bestFit="1" customWidth="1"/>
    <col min="2" max="2" width="11.1640625" bestFit="1" customWidth="1"/>
    <col min="3" max="3" width="13.6640625" bestFit="1" customWidth="1"/>
    <col min="4" max="4" width="11.6640625" bestFit="1" customWidth="1"/>
    <col min="5" max="12" width="13.1640625" bestFit="1" customWidth="1"/>
    <col min="13" max="13" width="13.1640625" customWidth="1"/>
    <col min="15" max="15" width="9.6640625" bestFit="1" customWidth="1"/>
    <col min="16" max="16" width="12.1640625" bestFit="1" customWidth="1"/>
    <col min="17" max="17" width="15.1640625" bestFit="1" customWidth="1"/>
    <col min="18" max="18" width="10.6640625" bestFit="1" customWidth="1"/>
  </cols>
  <sheetData>
    <row r="1" spans="1:18" x14ac:dyDescent="0.2">
      <c r="A1" t="s">
        <v>3</v>
      </c>
      <c r="B1" s="14">
        <v>1658087</v>
      </c>
      <c r="D1" t="s">
        <v>9</v>
      </c>
      <c r="E1" s="9">
        <v>2.56</v>
      </c>
      <c r="F1" s="9">
        <v>2.56</v>
      </c>
    </row>
    <row r="2" spans="1:18" x14ac:dyDescent="0.2">
      <c r="A2" t="s">
        <v>4</v>
      </c>
      <c r="B2">
        <v>0</v>
      </c>
      <c r="D2" t="s">
        <v>10</v>
      </c>
      <c r="E2" s="9">
        <v>4.28</v>
      </c>
      <c r="F2" s="9">
        <v>4.28</v>
      </c>
    </row>
    <row r="3" spans="1:18" x14ac:dyDescent="0.2">
      <c r="A3" t="s">
        <v>5</v>
      </c>
      <c r="B3">
        <v>10</v>
      </c>
      <c r="D3" t="s">
        <v>11</v>
      </c>
      <c r="E3" s="34">
        <v>386728</v>
      </c>
      <c r="F3" s="34">
        <v>386728</v>
      </c>
    </row>
    <row r="4" spans="1:18" x14ac:dyDescent="0.2">
      <c r="A4" t="s">
        <v>6</v>
      </c>
      <c r="B4" s="12">
        <v>0.39</v>
      </c>
      <c r="D4" t="s">
        <v>12</v>
      </c>
      <c r="E4" s="11">
        <v>0.22600000000000001</v>
      </c>
      <c r="F4" s="11">
        <v>0.22600000000000001</v>
      </c>
    </row>
    <row r="5" spans="1:18" x14ac:dyDescent="0.2">
      <c r="A5" t="s">
        <v>7</v>
      </c>
      <c r="B5" s="8">
        <v>8.3199999999999996E-2</v>
      </c>
      <c r="J5" s="34"/>
    </row>
    <row r="6" spans="1:18" x14ac:dyDescent="0.2">
      <c r="A6" t="s">
        <v>8</v>
      </c>
      <c r="B6" s="8">
        <v>8.3199999999999996E-2</v>
      </c>
    </row>
    <row r="8" spans="1:18" x14ac:dyDescent="0.2">
      <c r="A8" s="4" t="s">
        <v>13</v>
      </c>
      <c r="B8" s="4"/>
      <c r="C8" s="15">
        <v>1</v>
      </c>
      <c r="D8" s="15">
        <v>2</v>
      </c>
      <c r="E8" s="15">
        <v>3</v>
      </c>
      <c r="F8" s="15">
        <v>4</v>
      </c>
      <c r="G8" s="15">
        <v>5</v>
      </c>
      <c r="H8" s="15">
        <v>6</v>
      </c>
      <c r="I8" s="15">
        <v>7</v>
      </c>
      <c r="J8" s="15">
        <v>8</v>
      </c>
      <c r="K8" s="15">
        <v>9</v>
      </c>
      <c r="L8" s="15">
        <v>10</v>
      </c>
      <c r="N8" s="51" t="s">
        <v>55</v>
      </c>
      <c r="O8" s="51"/>
      <c r="P8" s="51"/>
      <c r="Q8" s="51"/>
      <c r="R8" s="51"/>
    </row>
    <row r="9" spans="1:18" x14ac:dyDescent="0.2">
      <c r="A9" t="s">
        <v>14</v>
      </c>
      <c r="C9" s="16"/>
      <c r="D9" s="10">
        <f>Fsales!G4</f>
        <v>4.0214002666336623E-2</v>
      </c>
      <c r="E9" s="10">
        <f>Fsales!G5</f>
        <v>3.8660338849681487E-2</v>
      </c>
      <c r="F9" s="10">
        <f>Fsales!G6</f>
        <v>3.722134888918361E-2</v>
      </c>
      <c r="G9" s="10">
        <f>Fsales!G7</f>
        <v>3.5884724067251815E-2</v>
      </c>
      <c r="H9" s="10">
        <f>Fsales!G8</f>
        <v>3.4642500500181223E-2</v>
      </c>
      <c r="I9" s="10">
        <f>Fsales!G9</f>
        <v>3.3482580198893531E-2</v>
      </c>
      <c r="J9" s="10">
        <f>Fsales!G10</f>
        <v>3.2396993403390612E-2</v>
      </c>
      <c r="K9" s="10">
        <f>Fsales!G11</f>
        <v>3.1381162360489295E-2</v>
      </c>
      <c r="L9" s="10">
        <f>Fsales!G12</f>
        <v>3.0426348187965958E-2</v>
      </c>
      <c r="O9" t="s">
        <v>53</v>
      </c>
      <c r="P9" t="s">
        <v>23</v>
      </c>
      <c r="Q9" t="s">
        <v>24</v>
      </c>
      <c r="R9" t="s">
        <v>25</v>
      </c>
    </row>
    <row r="10" spans="1:18" x14ac:dyDescent="0.2">
      <c r="A10" t="s">
        <v>11</v>
      </c>
      <c r="C10" s="17">
        <f>E3</f>
        <v>386728</v>
      </c>
      <c r="D10" s="18">
        <f>C10*(1+D9)</f>
        <v>402279.88082314708</v>
      </c>
      <c r="E10" s="18">
        <f t="shared" ref="E10:L10" si="0">D10*(1+E9)</f>
        <v>417832.15732817946</v>
      </c>
      <c r="F10" s="18">
        <f t="shared" si="0"/>
        <v>433384.43383321195</v>
      </c>
      <c r="G10" s="18">
        <f t="shared" si="0"/>
        <v>448936.31465635885</v>
      </c>
      <c r="H10" s="18">
        <f t="shared" si="0"/>
        <v>464488.59116139123</v>
      </c>
      <c r="I10" s="18">
        <f t="shared" si="0"/>
        <v>480040.86766642361</v>
      </c>
      <c r="J10" s="18">
        <f t="shared" si="0"/>
        <v>495592.74848957063</v>
      </c>
      <c r="K10" s="18">
        <f t="shared" si="0"/>
        <v>511145.02499460301</v>
      </c>
      <c r="L10" s="18">
        <f t="shared" si="0"/>
        <v>526697.30149963533</v>
      </c>
      <c r="N10" t="s">
        <v>10</v>
      </c>
      <c r="O10" s="42">
        <v>5.1100000000000003</v>
      </c>
      <c r="P10" s="13">
        <v>1287917</v>
      </c>
      <c r="Q10" s="39">
        <v>0.23</v>
      </c>
      <c r="R10" s="39">
        <v>0.15</v>
      </c>
    </row>
    <row r="11" spans="1:18" x14ac:dyDescent="0.2">
      <c r="A11" t="s">
        <v>15</v>
      </c>
      <c r="C11" s="19">
        <f>C10*$E$2</f>
        <v>1655195.84</v>
      </c>
      <c r="D11" s="19">
        <f t="shared" ref="D11:L11" si="1">D10*$E$2</f>
        <v>1721757.8899230696</v>
      </c>
      <c r="E11" s="19">
        <f t="shared" si="1"/>
        <v>1788321.6333646083</v>
      </c>
      <c r="F11" s="19">
        <f t="shared" si="1"/>
        <v>1854885.3768061472</v>
      </c>
      <c r="G11" s="19">
        <f t="shared" si="1"/>
        <v>1921447.426729216</v>
      </c>
      <c r="H11" s="19">
        <f t="shared" si="1"/>
        <v>1988011.1701707547</v>
      </c>
      <c r="I11" s="19">
        <f t="shared" si="1"/>
        <v>2054574.9136122931</v>
      </c>
      <c r="J11" s="19">
        <f t="shared" si="1"/>
        <v>2121136.9635353624</v>
      </c>
      <c r="K11" s="19">
        <f t="shared" si="1"/>
        <v>2187700.7069769008</v>
      </c>
      <c r="L11" s="19">
        <f t="shared" si="1"/>
        <v>2254264.4504184392</v>
      </c>
      <c r="N11" t="s">
        <v>11</v>
      </c>
      <c r="O11" s="27">
        <v>718087</v>
      </c>
      <c r="P11" s="13">
        <v>1287917</v>
      </c>
      <c r="Q11" s="39">
        <v>0.23</v>
      </c>
      <c r="R11" s="39">
        <v>0.15</v>
      </c>
    </row>
    <row r="12" spans="1:18" x14ac:dyDescent="0.2">
      <c r="A12" t="s">
        <v>16</v>
      </c>
      <c r="C12" s="19">
        <f>C10*$E$1</f>
        <v>990023.68000000005</v>
      </c>
      <c r="D12" s="19">
        <f t="shared" ref="D12:L12" si="2">D10*$E$1</f>
        <v>1029836.4949072566</v>
      </c>
      <c r="E12" s="19">
        <f t="shared" si="2"/>
        <v>1069650.3227601394</v>
      </c>
      <c r="F12" s="19">
        <f t="shared" si="2"/>
        <v>1109464.1506130225</v>
      </c>
      <c r="G12" s="19">
        <f t="shared" si="2"/>
        <v>1149276.9655202788</v>
      </c>
      <c r="H12" s="19">
        <f t="shared" si="2"/>
        <v>1189090.7933731617</v>
      </c>
      <c r="I12" s="19">
        <f t="shared" si="2"/>
        <v>1228904.6212260444</v>
      </c>
      <c r="J12" s="19">
        <f t="shared" si="2"/>
        <v>1268717.4361333009</v>
      </c>
      <c r="K12" s="19">
        <f t="shared" si="2"/>
        <v>1308531.2639861838</v>
      </c>
      <c r="L12" s="19">
        <f t="shared" si="2"/>
        <v>1348345.0918390665</v>
      </c>
      <c r="N12" t="s">
        <v>49</v>
      </c>
      <c r="O12" s="43">
        <v>892968</v>
      </c>
      <c r="P12" s="43">
        <v>693612</v>
      </c>
      <c r="Q12" s="39">
        <v>0.23</v>
      </c>
      <c r="R12" s="39">
        <v>0.15</v>
      </c>
    </row>
    <row r="13" spans="1:18" ht="16" thickBot="1" x14ac:dyDescent="0.25">
      <c r="A13" s="20" t="s">
        <v>12</v>
      </c>
      <c r="B13" s="20"/>
      <c r="C13" s="22">
        <f>C11*$E$4</f>
        <v>374074.25984000001</v>
      </c>
      <c r="D13" s="22">
        <f t="shared" ref="D13:L13" si="3">D11*$E$4</f>
        <v>389117.28312261374</v>
      </c>
      <c r="E13" s="22">
        <f t="shared" si="3"/>
        <v>404160.68914040149</v>
      </c>
      <c r="F13" s="22">
        <f t="shared" si="3"/>
        <v>419204.09515818924</v>
      </c>
      <c r="G13" s="22">
        <f t="shared" si="3"/>
        <v>434247.11844080285</v>
      </c>
      <c r="H13" s="22">
        <f t="shared" si="3"/>
        <v>449290.52445859055</v>
      </c>
      <c r="I13" s="22">
        <f t="shared" si="3"/>
        <v>464333.93047637824</v>
      </c>
      <c r="J13" s="22">
        <f t="shared" si="3"/>
        <v>479376.95375899191</v>
      </c>
      <c r="K13" s="22">
        <f t="shared" si="3"/>
        <v>494420.3597767796</v>
      </c>
      <c r="L13" s="22">
        <f t="shared" si="3"/>
        <v>509463.7657945673</v>
      </c>
      <c r="N13" t="s">
        <v>51</v>
      </c>
      <c r="O13" s="10">
        <v>7.5300000000000006E-2</v>
      </c>
      <c r="P13" s="13">
        <v>1287917</v>
      </c>
      <c r="Q13" s="39">
        <v>0.23</v>
      </c>
      <c r="R13" s="39">
        <v>0.15</v>
      </c>
    </row>
    <row r="14" spans="1:18" ht="16" thickTop="1" x14ac:dyDescent="0.2">
      <c r="A14" s="21" t="s">
        <v>17</v>
      </c>
      <c r="B14" s="21"/>
      <c r="C14" s="23">
        <f>C11-C12-C13</f>
        <v>291097.90016000002</v>
      </c>
      <c r="D14" s="23">
        <f t="shared" ref="D14:L14" si="4">D11-D12-D13</f>
        <v>302804.11189319933</v>
      </c>
      <c r="E14" s="23">
        <f t="shared" si="4"/>
        <v>314510.62146406743</v>
      </c>
      <c r="F14" s="23">
        <f t="shared" si="4"/>
        <v>326217.13103493542</v>
      </c>
      <c r="G14" s="23">
        <f t="shared" si="4"/>
        <v>337923.34276813437</v>
      </c>
      <c r="H14" s="23">
        <f t="shared" si="4"/>
        <v>349629.85233900242</v>
      </c>
      <c r="I14" s="23">
        <f t="shared" si="4"/>
        <v>361336.36190987047</v>
      </c>
      <c r="J14" s="23">
        <f t="shared" si="4"/>
        <v>373042.5736430696</v>
      </c>
      <c r="K14" s="23">
        <f t="shared" si="4"/>
        <v>384749.08321393741</v>
      </c>
      <c r="L14" s="23">
        <f t="shared" si="4"/>
        <v>396455.59278480546</v>
      </c>
      <c r="N14" t="s">
        <v>6</v>
      </c>
      <c r="O14" s="39">
        <v>0</v>
      </c>
      <c r="P14" s="13">
        <v>565243.25289000105</v>
      </c>
      <c r="Q14" s="39">
        <v>0.15</v>
      </c>
      <c r="R14" s="39">
        <v>0.12</v>
      </c>
    </row>
    <row r="15" spans="1:18" x14ac:dyDescent="0.2">
      <c r="A15" t="s">
        <v>18</v>
      </c>
      <c r="C15" s="19">
        <f>SLN($B$1, $B$2, $B$3)</f>
        <v>165808.70000000001</v>
      </c>
      <c r="D15" s="19">
        <f t="shared" ref="D15:L15" si="5">SLN($B$1, $B$2, $B$3)</f>
        <v>165808.70000000001</v>
      </c>
      <c r="E15" s="19">
        <f t="shared" si="5"/>
        <v>165808.70000000001</v>
      </c>
      <c r="F15" s="19">
        <f t="shared" si="5"/>
        <v>165808.70000000001</v>
      </c>
      <c r="G15" s="19">
        <f t="shared" si="5"/>
        <v>165808.70000000001</v>
      </c>
      <c r="H15" s="19">
        <f t="shared" si="5"/>
        <v>165808.70000000001</v>
      </c>
      <c r="I15" s="19">
        <f t="shared" si="5"/>
        <v>165808.70000000001</v>
      </c>
      <c r="J15" s="19">
        <f t="shared" si="5"/>
        <v>165808.70000000001</v>
      </c>
      <c r="K15" s="19">
        <f t="shared" si="5"/>
        <v>165808.70000000001</v>
      </c>
      <c r="L15" s="19">
        <f t="shared" si="5"/>
        <v>165808.70000000001</v>
      </c>
      <c r="P15" s="39"/>
    </row>
    <row r="16" spans="1:18" x14ac:dyDescent="0.2">
      <c r="A16" t="s">
        <v>19</v>
      </c>
      <c r="C16" s="19">
        <f>C14-C15</f>
        <v>125289.20016000001</v>
      </c>
      <c r="D16" s="19">
        <f t="shared" ref="D16:L16" si="6">D14-D15</f>
        <v>136995.41189319931</v>
      </c>
      <c r="E16" s="19">
        <f t="shared" si="6"/>
        <v>148701.92146406742</v>
      </c>
      <c r="F16" s="19">
        <f t="shared" si="6"/>
        <v>160408.43103493541</v>
      </c>
      <c r="G16" s="19">
        <f t="shared" si="6"/>
        <v>172114.64276813436</v>
      </c>
      <c r="H16" s="19">
        <f t="shared" si="6"/>
        <v>183821.15233900241</v>
      </c>
      <c r="I16" s="19">
        <f t="shared" si="6"/>
        <v>195527.66190987045</v>
      </c>
      <c r="J16" s="19">
        <f t="shared" si="6"/>
        <v>207233.87364306959</v>
      </c>
      <c r="K16" s="19">
        <f t="shared" si="6"/>
        <v>218940.3832139374</v>
      </c>
      <c r="L16" s="19">
        <f t="shared" si="6"/>
        <v>230646.89278480544</v>
      </c>
      <c r="P16" s="39"/>
    </row>
    <row r="17" spans="1:22" ht="16" thickBot="1" x14ac:dyDescent="0.25">
      <c r="A17" s="20" t="s">
        <v>20</v>
      </c>
      <c r="B17" s="20"/>
      <c r="C17" s="22">
        <f>C16*$B$4</f>
        <v>48862.788062400003</v>
      </c>
      <c r="D17" s="22">
        <f t="shared" ref="D17:L17" si="7">D16*$B$4</f>
        <v>53428.210638347737</v>
      </c>
      <c r="E17" s="22">
        <f t="shared" si="7"/>
        <v>57993.749370986297</v>
      </c>
      <c r="F17" s="22">
        <f t="shared" si="7"/>
        <v>62559.288103624807</v>
      </c>
      <c r="G17" s="22">
        <f t="shared" si="7"/>
        <v>67124.71067957241</v>
      </c>
      <c r="H17" s="22">
        <f t="shared" si="7"/>
        <v>71690.249412210935</v>
      </c>
      <c r="I17" s="22">
        <f t="shared" si="7"/>
        <v>76255.788144849474</v>
      </c>
      <c r="J17" s="22">
        <f t="shared" si="7"/>
        <v>80821.210720797142</v>
      </c>
      <c r="K17" s="22">
        <f t="shared" si="7"/>
        <v>85386.749453435594</v>
      </c>
      <c r="L17" s="22">
        <f t="shared" si="7"/>
        <v>89952.288186074133</v>
      </c>
    </row>
    <row r="18" spans="1:22" ht="16" thickTop="1" x14ac:dyDescent="0.2">
      <c r="A18" s="21" t="s">
        <v>21</v>
      </c>
      <c r="B18" s="21"/>
      <c r="C18" s="23">
        <f>C16-C17</f>
        <v>76426.412097599998</v>
      </c>
      <c r="D18" s="23">
        <f t="shared" ref="D18:L18" si="8">D16-D17</f>
        <v>83567.201254851578</v>
      </c>
      <c r="E18" s="23">
        <f t="shared" si="8"/>
        <v>90708.172093081113</v>
      </c>
      <c r="F18" s="23">
        <f t="shared" si="8"/>
        <v>97849.142931310605</v>
      </c>
      <c r="G18" s="23">
        <f t="shared" si="8"/>
        <v>104989.93208856195</v>
      </c>
      <c r="H18" s="23">
        <f t="shared" si="8"/>
        <v>112130.90292679147</v>
      </c>
      <c r="I18" s="23">
        <f t="shared" si="8"/>
        <v>119271.87376502098</v>
      </c>
      <c r="J18" s="23">
        <f t="shared" si="8"/>
        <v>126412.66292227244</v>
      </c>
      <c r="K18" s="23">
        <f t="shared" si="8"/>
        <v>133553.63376050181</v>
      </c>
      <c r="L18" s="23">
        <f t="shared" si="8"/>
        <v>140694.60459873133</v>
      </c>
      <c r="N18" s="10"/>
    </row>
    <row r="19" spans="1:22" ht="16" thickBot="1" x14ac:dyDescent="0.25">
      <c r="A19" s="24" t="s">
        <v>22</v>
      </c>
      <c r="B19" s="25">
        <f>-B1</f>
        <v>-1658087</v>
      </c>
      <c r="C19" s="25">
        <f>C18+C15</f>
        <v>242235.11209760001</v>
      </c>
      <c r="D19" s="25">
        <f t="shared" ref="D19:L19" si="9">D18+D15</f>
        <v>249375.9012548516</v>
      </c>
      <c r="E19" s="25">
        <f t="shared" si="9"/>
        <v>256516.87209308113</v>
      </c>
      <c r="F19" s="25">
        <f t="shared" si="9"/>
        <v>263657.84293131065</v>
      </c>
      <c r="G19" s="25">
        <f t="shared" si="9"/>
        <v>270798.63208856195</v>
      </c>
      <c r="H19" s="25">
        <f t="shared" si="9"/>
        <v>277939.60292679147</v>
      </c>
      <c r="I19" s="25">
        <f t="shared" si="9"/>
        <v>285080.57376502099</v>
      </c>
      <c r="J19" s="25">
        <f t="shared" si="9"/>
        <v>292221.36292227247</v>
      </c>
      <c r="K19" s="25">
        <f t="shared" si="9"/>
        <v>299362.33376050182</v>
      </c>
      <c r="L19" s="25">
        <f t="shared" si="9"/>
        <v>306503.30459873134</v>
      </c>
      <c r="N19" s="10"/>
    </row>
    <row r="20" spans="1:22" ht="16" thickTop="1" x14ac:dyDescent="0.2">
      <c r="A20" t="s">
        <v>23</v>
      </c>
      <c r="C20" s="19">
        <f>NPV($B$5,$C$19:C19)+$B$19</f>
        <v>-1434457.8344741506</v>
      </c>
      <c r="D20" s="19">
        <f>NPV($B$5,$C$19:D19)+$B$19</f>
        <v>-1221919.5455426704</v>
      </c>
      <c r="E20" s="19">
        <f>NPV($B$5,$C$19:E19)+$B$19</f>
        <v>-1020087.5651470113</v>
      </c>
      <c r="F20" s="19">
        <f>NPV($B$5,$C$19:F19)+$B$19</f>
        <v>-828571.11234571133</v>
      </c>
      <c r="G20" s="19">
        <f>NPV($B$5,$C$19:G19)+$B$19</f>
        <v>-646976.39544740005</v>
      </c>
      <c r="H20" s="19">
        <f>NPV($B$5,$C$19:H19)+$B$19</f>
        <v>-474909.02386404737</v>
      </c>
      <c r="I20" s="19">
        <f>NPV($B$5,$C$19:I19)+$B$19</f>
        <v>-311976.77014671941</v>
      </c>
      <c r="J20" s="19">
        <f>NPV($B$5,$C$19:J19)+$B$19</f>
        <v>-157791.5478547893</v>
      </c>
      <c r="K20" s="19">
        <f>NPV($B$5,$C$19:K19)+$B$19</f>
        <v>-11970.809221098199</v>
      </c>
      <c r="L20" s="19">
        <f>NPV($B$5,$C$19:L19)+$B$19</f>
        <v>125860.74324661773</v>
      </c>
      <c r="N20" s="10"/>
    </row>
    <row r="21" spans="1:22" x14ac:dyDescent="0.2">
      <c r="A21" t="s">
        <v>24</v>
      </c>
      <c r="C21" s="26">
        <f>IRR($B$19:C19)</f>
        <v>-0.85390687455024983</v>
      </c>
      <c r="D21" s="26">
        <f>IRR($B$19:D19)</f>
        <v>-0.53231997568316625</v>
      </c>
      <c r="E21" s="26">
        <f>IRR($B$19:E19)</f>
        <v>-0.31043860890137231</v>
      </c>
      <c r="F21" s="26">
        <f>IRR($B$19:F19)</f>
        <v>-0.17001200168372987</v>
      </c>
      <c r="G21" s="26">
        <f>IRR($B$19:G19)</f>
        <v>-7.8593885995801083E-2</v>
      </c>
      <c r="H21" s="26">
        <f>IRR($B$19:H19)</f>
        <v>-1.6683276161324812E-2</v>
      </c>
      <c r="I21" s="26">
        <f>IRR($B$19:I19)</f>
        <v>2.6770386248843758E-2</v>
      </c>
      <c r="J21" s="26">
        <f>IRR($B$19:J19)</f>
        <v>5.8202010800985304E-2</v>
      </c>
      <c r="K21" s="26">
        <f>IRR($B$19:K19)</f>
        <v>8.1513651589913305E-2</v>
      </c>
      <c r="L21" s="26">
        <f>IRR($B$19:L19)</f>
        <v>9.9166803997011499E-2</v>
      </c>
      <c r="N21" s="10"/>
    </row>
    <row r="22" spans="1:22" x14ac:dyDescent="0.2">
      <c r="A22" t="s">
        <v>25</v>
      </c>
      <c r="C22" s="26">
        <f>MIRR($B$19:C19, $B$5,$B$6)</f>
        <v>-0.85390687455024983</v>
      </c>
      <c r="D22" s="26">
        <f>MIRR($B$19:D19, $B$5,$B$6)</f>
        <v>-0.44443916429494223</v>
      </c>
      <c r="E22" s="26">
        <f>MIRR($B$19:E19, $B$5,$B$6)</f>
        <v>-0.21214497150337253</v>
      </c>
      <c r="F22" s="26">
        <f>MIRR($B$19:F19, $B$5,$B$6)</f>
        <v>-8.901127921428087E-2</v>
      </c>
      <c r="G22" s="26">
        <f>MIRR($B$19:G19, $B$5,$B$6)</f>
        <v>-1.8823988895292909E-2</v>
      </c>
      <c r="H22" s="26">
        <f>MIRR($B$19:H19, $B$5,$B$6)</f>
        <v>2.3958711374724384E-2</v>
      </c>
      <c r="I22" s="26">
        <f>MIRR($B$19:I19, $B$5,$B$6)</f>
        <v>5.1420080501237919E-2</v>
      </c>
      <c r="J22" s="26">
        <f>MIRR($B$19:J19, $B$5,$B$6)</f>
        <v>6.9743943026143729E-2</v>
      </c>
      <c r="K22" s="26">
        <f>MIRR($B$19:K19, $B$5,$B$6)</f>
        <v>8.2328274021081338E-2</v>
      </c>
      <c r="L22" s="26">
        <f>MIRR($B$19:L19, $B$5,$B$6)</f>
        <v>9.1154210315299133E-2</v>
      </c>
    </row>
    <row r="23" spans="1:22" x14ac:dyDescent="0.2">
      <c r="A23" t="s">
        <v>26</v>
      </c>
      <c r="C23" s="16">
        <f>IF(C20&gt;0, 1, 0)</f>
        <v>0</v>
      </c>
      <c r="D23" s="16">
        <f>IF(D20&gt;0, 1, 0)+C23</f>
        <v>0</v>
      </c>
      <c r="E23" s="16">
        <f t="shared" ref="E23:L23" si="10">IF(E20&gt;0, 1, 0)+D23</f>
        <v>0</v>
      </c>
      <c r="F23" s="16">
        <f t="shared" si="10"/>
        <v>0</v>
      </c>
      <c r="G23" s="16">
        <f t="shared" si="10"/>
        <v>0</v>
      </c>
      <c r="H23" s="16">
        <f t="shared" si="10"/>
        <v>0</v>
      </c>
      <c r="I23" s="16">
        <f t="shared" si="10"/>
        <v>0</v>
      </c>
      <c r="J23" s="16">
        <f t="shared" si="10"/>
        <v>0</v>
      </c>
      <c r="K23" s="16">
        <f t="shared" si="10"/>
        <v>0</v>
      </c>
      <c r="L23" s="16">
        <f t="shared" si="10"/>
        <v>1</v>
      </c>
    </row>
    <row r="24" spans="1:22" x14ac:dyDescent="0.2">
      <c r="A24" s="4" t="s">
        <v>13</v>
      </c>
      <c r="B24" s="4"/>
      <c r="C24" s="4">
        <v>1</v>
      </c>
      <c r="D24" s="4">
        <v>2</v>
      </c>
      <c r="E24" s="4">
        <v>3</v>
      </c>
      <c r="F24" s="4">
        <v>4</v>
      </c>
      <c r="G24" s="4">
        <v>5</v>
      </c>
      <c r="H24" s="4">
        <v>6</v>
      </c>
      <c r="I24" s="4">
        <v>7</v>
      </c>
      <c r="J24" s="4">
        <v>8</v>
      </c>
      <c r="K24" s="4">
        <v>9</v>
      </c>
      <c r="L24" s="4">
        <v>10</v>
      </c>
    </row>
    <row r="25" spans="1:22" x14ac:dyDescent="0.2">
      <c r="A25" t="s">
        <v>27</v>
      </c>
      <c r="B25" s="2">
        <f>HLOOKUP(1, C23:L24, 2)</f>
        <v>10</v>
      </c>
      <c r="Q25" s="51" t="s">
        <v>64</v>
      </c>
      <c r="R25" s="51"/>
      <c r="S25" s="51"/>
      <c r="T25" s="51"/>
      <c r="U25" s="51"/>
      <c r="V25" s="51"/>
    </row>
    <row r="26" spans="1:22" x14ac:dyDescent="0.2">
      <c r="Q26" t="s">
        <v>3</v>
      </c>
      <c r="R26" s="14">
        <v>1658087</v>
      </c>
      <c r="T26" t="s">
        <v>9</v>
      </c>
      <c r="U26" s="9">
        <v>2.56</v>
      </c>
      <c r="V26" s="9">
        <v>2.56</v>
      </c>
    </row>
    <row r="27" spans="1:22" x14ac:dyDescent="0.2">
      <c r="Q27" t="s">
        <v>4</v>
      </c>
      <c r="R27">
        <v>0</v>
      </c>
      <c r="T27" t="s">
        <v>10</v>
      </c>
      <c r="U27" s="9">
        <v>4.28</v>
      </c>
      <c r="V27" s="9">
        <v>4.28</v>
      </c>
    </row>
    <row r="28" spans="1:22" x14ac:dyDescent="0.2">
      <c r="Q28" t="s">
        <v>5</v>
      </c>
      <c r="R28">
        <v>10</v>
      </c>
      <c r="T28" t="s">
        <v>11</v>
      </c>
      <c r="U28" s="34">
        <v>386728</v>
      </c>
      <c r="V28" s="34">
        <v>386728</v>
      </c>
    </row>
    <row r="29" spans="1:22" x14ac:dyDescent="0.2">
      <c r="Q29" t="s">
        <v>6</v>
      </c>
      <c r="R29" s="12">
        <v>0.39</v>
      </c>
      <c r="T29" t="s">
        <v>12</v>
      </c>
      <c r="U29" s="11">
        <v>0.22600000000000001</v>
      </c>
      <c r="V29" s="11">
        <v>0.22600000000000001</v>
      </c>
    </row>
    <row r="30" spans="1:22" x14ac:dyDescent="0.2">
      <c r="Q30" t="s">
        <v>7</v>
      </c>
      <c r="R30" s="8">
        <v>8.3199999999999996E-2</v>
      </c>
    </row>
    <row r="31" spans="1:22" x14ac:dyDescent="0.2">
      <c r="Q31" t="s">
        <v>8</v>
      </c>
      <c r="R31" s="8">
        <v>8.3199999999999996E-2</v>
      </c>
    </row>
    <row r="35" spans="2:13" x14ac:dyDescent="0.2">
      <c r="B35" s="15" t="s">
        <v>50</v>
      </c>
      <c r="C35" s="4" t="s">
        <v>13</v>
      </c>
      <c r="D35" s="40">
        <v>1</v>
      </c>
      <c r="E35" s="40">
        <v>2</v>
      </c>
      <c r="F35" s="40">
        <v>3</v>
      </c>
      <c r="G35" s="40">
        <v>4</v>
      </c>
      <c r="H35" s="40">
        <v>5</v>
      </c>
      <c r="I35" s="40">
        <v>6</v>
      </c>
      <c r="J35" s="40">
        <v>7</v>
      </c>
      <c r="K35" s="40">
        <v>8</v>
      </c>
      <c r="L35" s="40">
        <v>9</v>
      </c>
      <c r="M35" s="40">
        <v>10</v>
      </c>
    </row>
    <row r="36" spans="2:13" x14ac:dyDescent="0.2">
      <c r="B36" s="52" t="s">
        <v>49</v>
      </c>
      <c r="C36" t="s">
        <v>23</v>
      </c>
      <c r="D36" s="13">
        <v>-1434457.8344741506</v>
      </c>
      <c r="E36" s="13">
        <v>-1221919.5455426704</v>
      </c>
      <c r="F36" s="13">
        <v>-1020087.5651470113</v>
      </c>
      <c r="G36" s="13">
        <v>-828571.11234571133</v>
      </c>
      <c r="H36" s="13">
        <v>-646976.39544740005</v>
      </c>
      <c r="I36" s="13">
        <v>-474909.02386404737</v>
      </c>
      <c r="J36" s="13">
        <v>-311976.77014671941</v>
      </c>
      <c r="K36" s="13">
        <v>-157791.5478547893</v>
      </c>
      <c r="L36" s="13">
        <v>-11970.809221098199</v>
      </c>
      <c r="M36" s="13">
        <v>125860.74324661773</v>
      </c>
    </row>
    <row r="37" spans="2:13" x14ac:dyDescent="0.2">
      <c r="B37" s="52"/>
      <c r="C37" t="s">
        <v>24</v>
      </c>
      <c r="D37" s="39">
        <v>-0.85390687455024983</v>
      </c>
      <c r="E37" s="39">
        <v>-0.53231997568316625</v>
      </c>
      <c r="F37" s="39">
        <v>-0.31043860890137231</v>
      </c>
      <c r="G37" s="39">
        <v>-0.17001200168372987</v>
      </c>
      <c r="H37" s="39">
        <v>-7.8593885995801083E-2</v>
      </c>
      <c r="I37" s="39">
        <v>-1.6683276161324812E-2</v>
      </c>
      <c r="J37" s="39">
        <v>2.6770386248843758E-2</v>
      </c>
      <c r="K37" s="39">
        <v>5.8202010800985304E-2</v>
      </c>
      <c r="L37" s="39">
        <v>8.1513651589913305E-2</v>
      </c>
      <c r="M37" s="39">
        <v>9.9166803997011499E-2</v>
      </c>
    </row>
    <row r="38" spans="2:13" x14ac:dyDescent="0.2">
      <c r="B38" s="52"/>
      <c r="C38" t="s">
        <v>25</v>
      </c>
      <c r="D38" s="39">
        <v>-0.85390687455024983</v>
      </c>
      <c r="E38" s="39">
        <v>-0.44443916429494223</v>
      </c>
      <c r="F38" s="39">
        <v>-0.21214497150337253</v>
      </c>
      <c r="G38" s="39">
        <v>-8.901127921428087E-2</v>
      </c>
      <c r="H38" s="39">
        <v>-1.8823988895292909E-2</v>
      </c>
      <c r="I38" s="39">
        <v>2.3958711374724384E-2</v>
      </c>
      <c r="J38" s="39">
        <v>5.1420080501237919E-2</v>
      </c>
      <c r="K38" s="39">
        <v>6.9743943026143729E-2</v>
      </c>
      <c r="L38" s="39">
        <v>8.2328274021081338E-2</v>
      </c>
      <c r="M38" s="39">
        <v>9.1154210315299133E-2</v>
      </c>
    </row>
    <row r="40" spans="2:13" x14ac:dyDescent="0.2">
      <c r="B40" s="52" t="s">
        <v>52</v>
      </c>
      <c r="C40" t="s">
        <v>23</v>
      </c>
      <c r="D40" s="13">
        <v>-1198473.5824972517</v>
      </c>
      <c r="E40" s="13">
        <v>-994072.12443307182</v>
      </c>
      <c r="F40" s="13">
        <v>-799751.98937280814</v>
      </c>
      <c r="G40" s="13">
        <v>-615170.40117213165</v>
      </c>
      <c r="H40" s="13">
        <v>-604136.89701593039</v>
      </c>
      <c r="I40" s="13">
        <v>-432069.52543257782</v>
      </c>
      <c r="J40" s="13">
        <v>-269137.27171524963</v>
      </c>
      <c r="K40" s="13">
        <v>-114952.04942331952</v>
      </c>
      <c r="L40" s="13">
        <v>30868.68921037158</v>
      </c>
      <c r="M40" s="13">
        <v>223741.89560680347</v>
      </c>
    </row>
    <row r="41" spans="2:13" x14ac:dyDescent="0.2">
      <c r="B41" s="52"/>
      <c r="C41" t="s">
        <v>24</v>
      </c>
      <c r="D41" s="39">
        <v>-0.8353571006798115</v>
      </c>
      <c r="E41" s="39">
        <v>-0.49759245882699188</v>
      </c>
      <c r="F41" s="39">
        <v>-0.27224040287593709</v>
      </c>
      <c r="G41" s="39">
        <v>-0.1323614061943631</v>
      </c>
      <c r="H41" s="39">
        <v>-0.12497283658545721</v>
      </c>
      <c r="I41" s="39">
        <v>-3.1615626293443833E-2</v>
      </c>
      <c r="J41" s="39">
        <v>2.4175790030540156E-2</v>
      </c>
      <c r="K41" s="39">
        <v>6.1655438582817634E-2</v>
      </c>
      <c r="L41" s="39">
        <v>8.8260884027299369E-2</v>
      </c>
      <c r="M41" s="39">
        <v>0.11456811120221189</v>
      </c>
    </row>
    <row r="42" spans="2:13" x14ac:dyDescent="0.2">
      <c r="B42" s="52"/>
      <c r="C42" t="s">
        <v>25</v>
      </c>
      <c r="D42" s="39">
        <v>-0.8353571006798115</v>
      </c>
      <c r="E42" s="39">
        <v>-0.4100536534971293</v>
      </c>
      <c r="F42" s="39">
        <v>-0.17981484443140083</v>
      </c>
      <c r="G42" s="39">
        <v>-6.0995311909826766E-2</v>
      </c>
      <c r="H42" s="39">
        <v>-3.1123357926557293E-2</v>
      </c>
      <c r="I42" s="39">
        <v>1.9290195013664801E-2</v>
      </c>
      <c r="J42" s="39">
        <v>5.0997989500567886E-2</v>
      </c>
      <c r="K42" s="39">
        <v>7.1773971804196757E-2</v>
      </c>
      <c r="L42" s="39">
        <v>8.5803601556232234E-2</v>
      </c>
      <c r="M42" s="39">
        <v>9.923675486782213E-2</v>
      </c>
    </row>
    <row r="44" spans="2:13" x14ac:dyDescent="0.2">
      <c r="B44" s="52" t="s">
        <v>30</v>
      </c>
      <c r="C44" t="s">
        <v>23</v>
      </c>
      <c r="D44" s="13">
        <v>-1195940.2977718005</v>
      </c>
      <c r="E44" s="13">
        <v>-991970.89519815124</v>
      </c>
      <c r="F44" s="13">
        <v>-798061.50613778702</v>
      </c>
      <c r="G44" s="13">
        <v>-613870.07899265434</v>
      </c>
      <c r="H44" s="13">
        <v>-602859.89700888551</v>
      </c>
      <c r="I44" s="13">
        <v>-431156.23443885334</v>
      </c>
      <c r="J44" s="13">
        <v>-268568.38029415952</v>
      </c>
      <c r="K44" s="13">
        <v>-114709.06845551473</v>
      </c>
      <c r="L44" s="13">
        <v>30803.440230324632</v>
      </c>
      <c r="M44" s="13">
        <v>223268.95908583072</v>
      </c>
    </row>
    <row r="45" spans="2:13" x14ac:dyDescent="0.2">
      <c r="B45" s="52"/>
      <c r="C45" t="s">
        <v>24</v>
      </c>
      <c r="D45" s="39">
        <v>-0.8353571006798115</v>
      </c>
      <c r="E45" s="39">
        <v>-0.49759245882699177</v>
      </c>
      <c r="F45" s="39">
        <v>-0.2722404028759372</v>
      </c>
      <c r="G45" s="39">
        <v>-0.1323614061943631</v>
      </c>
      <c r="H45" s="39">
        <v>-0.1249728365854571</v>
      </c>
      <c r="I45" s="39">
        <v>-3.1615626293443833E-2</v>
      </c>
      <c r="J45" s="39">
        <v>2.4175790030540156E-2</v>
      </c>
      <c r="K45" s="39">
        <v>6.1655438582817634E-2</v>
      </c>
      <c r="L45" s="39">
        <v>8.8260884027299369E-2</v>
      </c>
      <c r="M45" s="39">
        <v>0.11456811120221211</v>
      </c>
    </row>
    <row r="46" spans="2:13" x14ac:dyDescent="0.2">
      <c r="B46" s="52"/>
      <c r="C46" t="s">
        <v>25</v>
      </c>
      <c r="D46" s="39">
        <v>-0.8353571006798115</v>
      </c>
      <c r="E46" s="39">
        <v>-0.41005365349712952</v>
      </c>
      <c r="F46" s="39">
        <v>-0.17981484443140083</v>
      </c>
      <c r="G46" s="39">
        <v>-6.0995311909826877E-2</v>
      </c>
      <c r="H46" s="39">
        <v>-3.1123357926557293E-2</v>
      </c>
      <c r="I46" s="39">
        <v>1.9290195013664801E-2</v>
      </c>
      <c r="J46" s="39">
        <v>5.0997989500568108E-2</v>
      </c>
      <c r="K46" s="39">
        <v>7.1773971804196757E-2</v>
      </c>
      <c r="L46" s="39">
        <v>8.5803601556232234E-2</v>
      </c>
      <c r="M46" s="39">
        <v>9.923675486782213E-2</v>
      </c>
    </row>
  </sheetData>
  <mergeCells count="5">
    <mergeCell ref="B36:B38"/>
    <mergeCell ref="B44:B46"/>
    <mergeCell ref="B40:B42"/>
    <mergeCell ref="N8:R8"/>
    <mergeCell ref="Q25:V25"/>
  </mergeCells>
  <conditionalFormatting sqref="P10:P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A01B-C6D7-D34A-B90A-C64DD54806C5}">
  <dimension ref="A1:S28"/>
  <sheetViews>
    <sheetView workbookViewId="0">
      <selection activeCell="C26" sqref="C26"/>
    </sheetView>
  </sheetViews>
  <sheetFormatPr baseColWidth="10" defaultColWidth="8.83203125" defaultRowHeight="15" x14ac:dyDescent="0.2"/>
  <cols>
    <col min="1" max="1" width="16.83203125" bestFit="1" customWidth="1"/>
    <col min="2" max="2" width="11.1640625" bestFit="1" customWidth="1"/>
    <col min="3" max="3" width="13.6640625" bestFit="1" customWidth="1"/>
    <col min="4" max="4" width="11.6640625" bestFit="1" customWidth="1"/>
    <col min="5" max="12" width="13.1640625" bestFit="1" customWidth="1"/>
    <col min="14" max="14" width="9.1640625" bestFit="1" customWidth="1"/>
    <col min="16" max="16" width="9.6640625" bestFit="1" customWidth="1"/>
    <col min="17" max="17" width="10.6640625" bestFit="1" customWidth="1"/>
  </cols>
  <sheetData>
    <row r="1" spans="1:19" x14ac:dyDescent="0.2">
      <c r="A1" t="s">
        <v>3</v>
      </c>
      <c r="B1" s="14">
        <v>1658087</v>
      </c>
      <c r="C1" s="14">
        <v>1658087</v>
      </c>
      <c r="D1" t="s">
        <v>9</v>
      </c>
      <c r="E1" s="9">
        <v>2.56</v>
      </c>
      <c r="F1" s="9">
        <v>2.56</v>
      </c>
      <c r="G1" t="s">
        <v>42</v>
      </c>
      <c r="H1" s="27">
        <f>B1*G10/L10</f>
        <v>1413288.9328276413</v>
      </c>
    </row>
    <row r="2" spans="1:19" x14ac:dyDescent="0.2">
      <c r="A2" t="s">
        <v>4</v>
      </c>
      <c r="B2">
        <v>0</v>
      </c>
      <c r="D2" t="s">
        <v>10</v>
      </c>
      <c r="E2" s="9">
        <v>4.28</v>
      </c>
      <c r="F2" s="9">
        <v>4.28</v>
      </c>
      <c r="G2" t="s">
        <v>43</v>
      </c>
      <c r="H2" s="13">
        <f>B1-H1</f>
        <v>244798.06717235874</v>
      </c>
    </row>
    <row r="3" spans="1:19" x14ac:dyDescent="0.2">
      <c r="A3" t="s">
        <v>5</v>
      </c>
      <c r="B3">
        <v>10</v>
      </c>
      <c r="D3" t="s">
        <v>11</v>
      </c>
      <c r="E3" s="34">
        <v>386728</v>
      </c>
      <c r="F3" s="34">
        <v>386728</v>
      </c>
    </row>
    <row r="4" spans="1:19" x14ac:dyDescent="0.2">
      <c r="A4" t="s">
        <v>6</v>
      </c>
      <c r="B4" s="12">
        <v>0.39</v>
      </c>
      <c r="D4" t="s">
        <v>12</v>
      </c>
      <c r="E4" s="11">
        <v>0.22600000000000001</v>
      </c>
      <c r="F4" s="11">
        <v>0.22600000000000001</v>
      </c>
    </row>
    <row r="5" spans="1:19" x14ac:dyDescent="0.2">
      <c r="A5" t="s">
        <v>7</v>
      </c>
      <c r="B5" s="8">
        <v>8.3199999999999996E-2</v>
      </c>
    </row>
    <row r="6" spans="1:19" x14ac:dyDescent="0.2">
      <c r="A6" t="s">
        <v>8</v>
      </c>
      <c r="B6" s="8">
        <v>8.3199999999999996E-2</v>
      </c>
      <c r="O6" s="51" t="s">
        <v>56</v>
      </c>
      <c r="P6" s="51"/>
      <c r="Q6" s="51"/>
      <c r="R6" s="51"/>
      <c r="S6" s="51"/>
    </row>
    <row r="7" spans="1:19" x14ac:dyDescent="0.2">
      <c r="P7" t="s">
        <v>53</v>
      </c>
      <c r="Q7" t="s">
        <v>23</v>
      </c>
      <c r="R7" t="s">
        <v>24</v>
      </c>
      <c r="S7" t="s">
        <v>25</v>
      </c>
    </row>
    <row r="8" spans="1:19" x14ac:dyDescent="0.2">
      <c r="A8" s="4" t="s">
        <v>13</v>
      </c>
      <c r="B8" s="4"/>
      <c r="C8" s="15">
        <v>1</v>
      </c>
      <c r="D8" s="15">
        <v>2</v>
      </c>
      <c r="E8" s="15">
        <v>3</v>
      </c>
      <c r="F8" s="15">
        <v>4</v>
      </c>
      <c r="G8" s="15">
        <v>5</v>
      </c>
      <c r="H8" s="15">
        <v>6</v>
      </c>
      <c r="I8" s="15">
        <v>7</v>
      </c>
      <c r="J8" s="15">
        <v>8</v>
      </c>
      <c r="K8" s="15">
        <v>9</v>
      </c>
      <c r="L8" s="15">
        <v>10</v>
      </c>
      <c r="O8" t="s">
        <v>10</v>
      </c>
      <c r="P8" s="42">
        <v>5.0599999999999996</v>
      </c>
      <c r="Q8" s="13">
        <v>1308853</v>
      </c>
      <c r="R8" s="39">
        <v>0.25</v>
      </c>
      <c r="S8" s="39">
        <v>0.16</v>
      </c>
    </row>
    <row r="9" spans="1:19" x14ac:dyDescent="0.2">
      <c r="A9" t="s">
        <v>14</v>
      </c>
      <c r="C9" s="16"/>
      <c r="D9" s="10">
        <f>Fsales!G4</f>
        <v>4.0214002666336623E-2</v>
      </c>
      <c r="E9" s="10">
        <f>Fsales!G5</f>
        <v>3.8660338849681487E-2</v>
      </c>
      <c r="F9" s="10">
        <f>Fsales!G6</f>
        <v>3.722134888918361E-2</v>
      </c>
      <c r="G9" s="10">
        <f>Fsales!G7</f>
        <v>3.5884724067251815E-2</v>
      </c>
      <c r="H9" s="10">
        <f>Fsales!G8</f>
        <v>3.4642500500181223E-2</v>
      </c>
      <c r="I9" s="10">
        <f>Fsales!G9</f>
        <v>3.3482580198893531E-2</v>
      </c>
      <c r="J9" s="10">
        <f>Fsales!G10</f>
        <v>3.2396993403390612E-2</v>
      </c>
      <c r="K9" s="10">
        <f>Fsales!G11</f>
        <v>3.1381162360489295E-2</v>
      </c>
      <c r="L9" s="10">
        <f>Fsales!G12</f>
        <v>3.0426348187965958E-2</v>
      </c>
      <c r="O9" t="s">
        <v>11</v>
      </c>
      <c r="P9" s="27">
        <v>696146</v>
      </c>
      <c r="Q9" s="13">
        <v>1308853</v>
      </c>
      <c r="R9" s="39">
        <v>0.25</v>
      </c>
      <c r="S9" s="39">
        <v>0.16</v>
      </c>
    </row>
    <row r="10" spans="1:19" x14ac:dyDescent="0.2">
      <c r="A10" t="s">
        <v>11</v>
      </c>
      <c r="C10" s="17">
        <f>E3</f>
        <v>386728</v>
      </c>
      <c r="D10" s="18">
        <f>C10*(1+D9)</f>
        <v>402279.88082314708</v>
      </c>
      <c r="E10" s="18">
        <f t="shared" ref="E10:L10" si="0">D10*(1+E9)</f>
        <v>417832.15732817946</v>
      </c>
      <c r="F10" s="18">
        <f t="shared" si="0"/>
        <v>433384.43383321195</v>
      </c>
      <c r="G10" s="18">
        <f t="shared" si="0"/>
        <v>448936.31465635885</v>
      </c>
      <c r="H10" s="18">
        <f t="shared" si="0"/>
        <v>464488.59116139123</v>
      </c>
      <c r="I10" s="18">
        <f t="shared" si="0"/>
        <v>480040.86766642361</v>
      </c>
      <c r="J10" s="18">
        <f t="shared" si="0"/>
        <v>495592.74848957063</v>
      </c>
      <c r="K10" s="18">
        <f t="shared" si="0"/>
        <v>511145.02499460301</v>
      </c>
      <c r="L10" s="18">
        <f t="shared" si="0"/>
        <v>526697.30149963533</v>
      </c>
      <c r="O10" t="s">
        <v>49</v>
      </c>
      <c r="P10" s="43">
        <v>921112</v>
      </c>
      <c r="Q10" s="43">
        <v>727103</v>
      </c>
      <c r="R10" s="39">
        <v>0.25</v>
      </c>
      <c r="S10" s="39">
        <v>0.16</v>
      </c>
    </row>
    <row r="11" spans="1:19" x14ac:dyDescent="0.2">
      <c r="A11" t="s">
        <v>15</v>
      </c>
      <c r="C11" s="19">
        <f>C10*$E$2</f>
        <v>1655195.84</v>
      </c>
      <c r="D11" s="19">
        <f t="shared" ref="D11:L11" si="1">D10*$E$2</f>
        <v>1721757.8899230696</v>
      </c>
      <c r="E11" s="19">
        <f t="shared" si="1"/>
        <v>1788321.6333646083</v>
      </c>
      <c r="F11" s="19">
        <f t="shared" si="1"/>
        <v>1854885.3768061472</v>
      </c>
      <c r="G11" s="19">
        <f t="shared" si="1"/>
        <v>1921447.426729216</v>
      </c>
      <c r="H11" s="19">
        <f t="shared" si="1"/>
        <v>1988011.1701707547</v>
      </c>
      <c r="I11" s="19">
        <f t="shared" si="1"/>
        <v>2054574.9136122931</v>
      </c>
      <c r="J11" s="19">
        <f t="shared" si="1"/>
        <v>2121136.9635353624</v>
      </c>
      <c r="K11" s="19">
        <f t="shared" si="1"/>
        <v>2187700.7069769008</v>
      </c>
      <c r="L11" s="19">
        <f t="shared" si="1"/>
        <v>2254264.4504184392</v>
      </c>
      <c r="O11" t="s">
        <v>51</v>
      </c>
      <c r="P11" s="10">
        <v>8.5300000000000001E-2</v>
      </c>
      <c r="Q11" s="13">
        <v>1308853</v>
      </c>
      <c r="R11" s="39">
        <v>0.25</v>
      </c>
      <c r="S11" s="39">
        <v>0.16</v>
      </c>
    </row>
    <row r="12" spans="1:19" x14ac:dyDescent="0.2">
      <c r="A12" t="s">
        <v>16</v>
      </c>
      <c r="C12" s="19">
        <f>C10*$E$1</f>
        <v>990023.68000000005</v>
      </c>
      <c r="D12" s="19">
        <f t="shared" ref="D12:L12" si="2">D10*$E$1</f>
        <v>1029836.4949072566</v>
      </c>
      <c r="E12" s="19">
        <f t="shared" si="2"/>
        <v>1069650.3227601394</v>
      </c>
      <c r="F12" s="19">
        <f t="shared" si="2"/>
        <v>1109464.1506130225</v>
      </c>
      <c r="G12" s="19">
        <f t="shared" si="2"/>
        <v>1149276.9655202788</v>
      </c>
      <c r="H12" s="19">
        <f t="shared" si="2"/>
        <v>1189090.7933731617</v>
      </c>
      <c r="I12" s="19">
        <f t="shared" si="2"/>
        <v>1228904.6212260444</v>
      </c>
      <c r="J12" s="19">
        <f t="shared" si="2"/>
        <v>1268717.4361333009</v>
      </c>
      <c r="K12" s="19">
        <f t="shared" si="2"/>
        <v>1308531.2639861838</v>
      </c>
      <c r="L12" s="19">
        <f t="shared" si="2"/>
        <v>1348345.0918390665</v>
      </c>
      <c r="O12" t="s">
        <v>6</v>
      </c>
      <c r="P12" s="39">
        <v>0</v>
      </c>
      <c r="Q12" s="13">
        <v>700924</v>
      </c>
      <c r="R12" s="39">
        <v>0.18</v>
      </c>
      <c r="S12" s="39">
        <v>0.13</v>
      </c>
    </row>
    <row r="13" spans="1:19" ht="16" thickBot="1" x14ac:dyDescent="0.25">
      <c r="A13" s="20" t="s">
        <v>12</v>
      </c>
      <c r="B13" s="20"/>
      <c r="C13" s="22">
        <f>C11*$E$4</f>
        <v>374074.25984000001</v>
      </c>
      <c r="D13" s="22">
        <f t="shared" ref="D13:L13" si="3">D11*$E$4</f>
        <v>389117.28312261374</v>
      </c>
      <c r="E13" s="22">
        <f t="shared" si="3"/>
        <v>404160.68914040149</v>
      </c>
      <c r="F13" s="22">
        <f t="shared" si="3"/>
        <v>419204.09515818924</v>
      </c>
      <c r="G13" s="22">
        <f t="shared" si="3"/>
        <v>434247.11844080285</v>
      </c>
      <c r="H13" s="22">
        <f t="shared" si="3"/>
        <v>449290.52445859055</v>
      </c>
      <c r="I13" s="22">
        <f t="shared" si="3"/>
        <v>464333.93047637824</v>
      </c>
      <c r="J13" s="22">
        <f t="shared" si="3"/>
        <v>479376.95375899191</v>
      </c>
      <c r="K13" s="22">
        <f t="shared" si="3"/>
        <v>494420.3597767796</v>
      </c>
      <c r="L13" s="22">
        <f t="shared" si="3"/>
        <v>509463.7657945673</v>
      </c>
    </row>
    <row r="14" spans="1:19" ht="16" thickTop="1" x14ac:dyDescent="0.2">
      <c r="A14" s="21" t="s">
        <v>17</v>
      </c>
      <c r="B14" s="21"/>
      <c r="C14" s="23">
        <f>C11-C12-C13</f>
        <v>291097.90016000002</v>
      </c>
      <c r="D14" s="23">
        <f t="shared" ref="D14:L14" si="4">D11-D12-D13</f>
        <v>302804.11189319933</v>
      </c>
      <c r="E14" s="23">
        <f t="shared" si="4"/>
        <v>314510.62146406743</v>
      </c>
      <c r="F14" s="23">
        <f t="shared" si="4"/>
        <v>326217.13103493542</v>
      </c>
      <c r="G14" s="23">
        <f t="shared" si="4"/>
        <v>337923.34276813437</v>
      </c>
      <c r="H14" s="23">
        <f t="shared" si="4"/>
        <v>349629.85233900242</v>
      </c>
      <c r="I14" s="23">
        <f t="shared" si="4"/>
        <v>361336.36190987047</v>
      </c>
      <c r="J14" s="23">
        <f t="shared" si="4"/>
        <v>373042.5736430696</v>
      </c>
      <c r="K14" s="23">
        <f t="shared" si="4"/>
        <v>384749.08321393741</v>
      </c>
      <c r="L14" s="23">
        <f t="shared" si="4"/>
        <v>396455.59278480546</v>
      </c>
      <c r="N14" t="s">
        <v>46</v>
      </c>
    </row>
    <row r="15" spans="1:19" x14ac:dyDescent="0.2">
      <c r="A15" t="s">
        <v>44</v>
      </c>
      <c r="C15" s="19">
        <f>SLN($H$1, $B$2, $B$3)</f>
        <v>141328.89328276413</v>
      </c>
      <c r="D15" s="19">
        <f t="shared" ref="D15:L15" si="5">SLN($H$1, $B$2, $B$3)</f>
        <v>141328.89328276413</v>
      </c>
      <c r="E15" s="19">
        <f t="shared" si="5"/>
        <v>141328.89328276413</v>
      </c>
      <c r="F15" s="19">
        <f t="shared" si="5"/>
        <v>141328.89328276413</v>
      </c>
      <c r="G15" s="19">
        <f t="shared" si="5"/>
        <v>141328.89328276413</v>
      </c>
      <c r="H15" s="19">
        <f t="shared" si="5"/>
        <v>141328.89328276413</v>
      </c>
      <c r="I15" s="19">
        <f t="shared" si="5"/>
        <v>141328.89328276413</v>
      </c>
      <c r="J15" s="19">
        <f t="shared" si="5"/>
        <v>141328.89328276413</v>
      </c>
      <c r="K15" s="19">
        <f t="shared" si="5"/>
        <v>141328.89328276413</v>
      </c>
      <c r="L15" s="19">
        <f t="shared" si="5"/>
        <v>141328.89328276413</v>
      </c>
      <c r="N15" s="13">
        <f>H2-SUM(H16:L16)</f>
        <v>122399.03358617937</v>
      </c>
    </row>
    <row r="16" spans="1:19" ht="16" thickBot="1" x14ac:dyDescent="0.25">
      <c r="A16" s="20" t="s">
        <v>45</v>
      </c>
      <c r="B16" s="20"/>
      <c r="C16" s="20"/>
      <c r="D16" s="20"/>
      <c r="E16" s="20"/>
      <c r="F16" s="20"/>
      <c r="G16" s="20"/>
      <c r="H16" s="28">
        <f>SLN($H$2,  0, $B$3)</f>
        <v>24479.806717235875</v>
      </c>
      <c r="I16" s="28">
        <f t="shared" ref="I16:L16" si="6">SLN($H$2,  0, $B$3)</f>
        <v>24479.806717235875</v>
      </c>
      <c r="J16" s="28">
        <f t="shared" si="6"/>
        <v>24479.806717235875</v>
      </c>
      <c r="K16" s="28">
        <f t="shared" si="6"/>
        <v>24479.806717235875</v>
      </c>
      <c r="L16" s="28">
        <f t="shared" si="6"/>
        <v>24479.806717235875</v>
      </c>
    </row>
    <row r="17" spans="1:14" ht="16" thickTop="1" x14ac:dyDescent="0.2">
      <c r="A17" t="s">
        <v>47</v>
      </c>
      <c r="C17" s="19">
        <f>SUM(C15:C16)</f>
        <v>141328.89328276413</v>
      </c>
      <c r="D17" s="19">
        <f t="shared" ref="D17:L17" si="7">SUM(D15:D16)</f>
        <v>141328.89328276413</v>
      </c>
      <c r="E17" s="19">
        <f t="shared" si="7"/>
        <v>141328.89328276413</v>
      </c>
      <c r="F17" s="19">
        <f t="shared" si="7"/>
        <v>141328.89328276413</v>
      </c>
      <c r="G17" s="19">
        <f t="shared" si="7"/>
        <v>141328.89328276413</v>
      </c>
      <c r="H17" s="19">
        <f t="shared" si="7"/>
        <v>165808.70000000001</v>
      </c>
      <c r="I17" s="19">
        <f t="shared" si="7"/>
        <v>165808.70000000001</v>
      </c>
      <c r="J17" s="19">
        <f t="shared" si="7"/>
        <v>165808.70000000001</v>
      </c>
      <c r="K17" s="19">
        <f t="shared" si="7"/>
        <v>165808.70000000001</v>
      </c>
      <c r="L17" s="19">
        <f t="shared" si="7"/>
        <v>165808.70000000001</v>
      </c>
    </row>
    <row r="18" spans="1:14" x14ac:dyDescent="0.2">
      <c r="A18" t="s">
        <v>19</v>
      </c>
      <c r="C18" s="19">
        <f>C14-C17</f>
        <v>149769.00687723589</v>
      </c>
      <c r="D18" s="19">
        <f t="shared" ref="D18:L18" si="8">D14-D17</f>
        <v>161475.2186104352</v>
      </c>
      <c r="E18" s="19">
        <f t="shared" si="8"/>
        <v>173181.7281813033</v>
      </c>
      <c r="F18" s="19">
        <f t="shared" si="8"/>
        <v>184888.23775217129</v>
      </c>
      <c r="G18" s="19">
        <f t="shared" si="8"/>
        <v>196594.44948537025</v>
      </c>
      <c r="H18" s="19">
        <f t="shared" si="8"/>
        <v>183821.15233900241</v>
      </c>
      <c r="I18" s="19">
        <f t="shared" si="8"/>
        <v>195527.66190987045</v>
      </c>
      <c r="J18" s="19">
        <f t="shared" si="8"/>
        <v>207233.87364306959</v>
      </c>
      <c r="K18" s="19">
        <f t="shared" si="8"/>
        <v>218940.3832139374</v>
      </c>
      <c r="L18" s="19">
        <f t="shared" si="8"/>
        <v>230646.89278480544</v>
      </c>
    </row>
    <row r="19" spans="1:14" ht="16" thickBot="1" x14ac:dyDescent="0.25">
      <c r="A19" s="20" t="s">
        <v>20</v>
      </c>
      <c r="B19" s="20"/>
      <c r="C19" s="22">
        <f>C18*$B$4</f>
        <v>58409.912682121998</v>
      </c>
      <c r="D19" s="22">
        <f t="shared" ref="D19:L19" si="9">D18*$B$4</f>
        <v>62975.335258069732</v>
      </c>
      <c r="E19" s="22">
        <f t="shared" si="9"/>
        <v>67540.873990708293</v>
      </c>
      <c r="F19" s="22">
        <f t="shared" si="9"/>
        <v>72106.412723346803</v>
      </c>
      <c r="G19" s="22">
        <f t="shared" si="9"/>
        <v>76671.835299294398</v>
      </c>
      <c r="H19" s="22">
        <f t="shared" si="9"/>
        <v>71690.249412210935</v>
      </c>
      <c r="I19" s="22">
        <f t="shared" si="9"/>
        <v>76255.788144849474</v>
      </c>
      <c r="J19" s="22">
        <f t="shared" si="9"/>
        <v>80821.210720797142</v>
      </c>
      <c r="K19" s="22">
        <f t="shared" si="9"/>
        <v>85386.749453435594</v>
      </c>
      <c r="L19" s="22">
        <f t="shared" si="9"/>
        <v>89952.288186074133</v>
      </c>
    </row>
    <row r="20" spans="1:14" ht="16" thickTop="1" x14ac:dyDescent="0.2">
      <c r="A20" s="21" t="s">
        <v>21</v>
      </c>
      <c r="B20" s="21"/>
      <c r="C20" s="23">
        <f>C18-C19</f>
        <v>91359.094195113896</v>
      </c>
      <c r="D20" s="23">
        <f t="shared" ref="D20:L20" si="10">D18-D19</f>
        <v>98499.883352365461</v>
      </c>
      <c r="E20" s="23">
        <f t="shared" si="10"/>
        <v>105640.85419059501</v>
      </c>
      <c r="F20" s="23">
        <f t="shared" si="10"/>
        <v>112781.82502882449</v>
      </c>
      <c r="G20" s="23">
        <f t="shared" si="10"/>
        <v>119922.61418607585</v>
      </c>
      <c r="H20" s="23">
        <f t="shared" si="10"/>
        <v>112130.90292679147</v>
      </c>
      <c r="I20" s="23">
        <f t="shared" si="10"/>
        <v>119271.87376502098</v>
      </c>
      <c r="J20" s="23">
        <f t="shared" si="10"/>
        <v>126412.66292227244</v>
      </c>
      <c r="K20" s="23">
        <f t="shared" si="10"/>
        <v>133553.63376050181</v>
      </c>
      <c r="L20" s="23">
        <f t="shared" si="10"/>
        <v>140694.60459873133</v>
      </c>
      <c r="N20" s="10"/>
    </row>
    <row r="21" spans="1:14" x14ac:dyDescent="0.2">
      <c r="G21" s="13">
        <f>-H2</f>
        <v>-244798.06717235874</v>
      </c>
    </row>
    <row r="22" spans="1:14" ht="16" thickBot="1" x14ac:dyDescent="0.25">
      <c r="A22" s="24" t="s">
        <v>22</v>
      </c>
      <c r="B22" s="29">
        <f>-H1</f>
        <v>-1413288.9328276413</v>
      </c>
      <c r="C22" s="25">
        <f>C20+C17+C21</f>
        <v>232687.98747787802</v>
      </c>
      <c r="D22" s="25">
        <f t="shared" ref="D22:K22" si="11">D20+D17+D21</f>
        <v>239828.77663512959</v>
      </c>
      <c r="E22" s="25">
        <f t="shared" si="11"/>
        <v>246969.74747335914</v>
      </c>
      <c r="F22" s="25">
        <f t="shared" si="11"/>
        <v>254110.71831158863</v>
      </c>
      <c r="G22" s="25">
        <f t="shared" si="11"/>
        <v>16453.440296481247</v>
      </c>
      <c r="H22" s="25">
        <f t="shared" si="11"/>
        <v>277939.60292679147</v>
      </c>
      <c r="I22" s="25">
        <f t="shared" si="11"/>
        <v>285080.57376502099</v>
      </c>
      <c r="J22" s="25">
        <f t="shared" si="11"/>
        <v>292221.36292227247</v>
      </c>
      <c r="K22" s="25">
        <f t="shared" si="11"/>
        <v>299362.33376050182</v>
      </c>
      <c r="L22" s="25">
        <f>L20+L17+L21+N15</f>
        <v>428902.33818491071</v>
      </c>
      <c r="N22" s="10"/>
    </row>
    <row r="23" spans="1:14" ht="16" thickTop="1" x14ac:dyDescent="0.2">
      <c r="A23" t="s">
        <v>23</v>
      </c>
      <c r="C23" s="19">
        <f>NPV($B$5,$C$22:C22)+$B$22</f>
        <v>-1198473.5824972517</v>
      </c>
      <c r="D23" s="19">
        <f>NPV($B$5,$C$22:D22)+$B$22</f>
        <v>-994072.12443307182</v>
      </c>
      <c r="E23" s="19">
        <f>NPV($B$5,$C$22:E22)+$B$22</f>
        <v>-799751.98937280814</v>
      </c>
      <c r="F23" s="19">
        <f>NPV($B$5,$C$22:F22)+$B$22</f>
        <v>-615170.40117213165</v>
      </c>
      <c r="G23" s="19">
        <f>NPV($B$5,$C$22:G22)+$B$22</f>
        <v>-604136.89701593039</v>
      </c>
      <c r="H23" s="19">
        <f>NPV($B$5,$C$22:H22)+$B$22</f>
        <v>-432069.52543257782</v>
      </c>
      <c r="I23" s="19">
        <f>NPV($B$5,$C$22:I22)+$B$22</f>
        <v>-269137.27171524963</v>
      </c>
      <c r="J23" s="19">
        <f>NPV($B$5,$C$22:J22)+$B$22</f>
        <v>-114952.04942331952</v>
      </c>
      <c r="K23" s="19">
        <f>NPV($B$5,$C$22:K22)+$B$22</f>
        <v>30868.68921037158</v>
      </c>
      <c r="L23" s="19">
        <f>NPV($B$5,$C$22:L22)+$B$22</f>
        <v>223741.89560680347</v>
      </c>
      <c r="N23" s="10"/>
    </row>
    <row r="24" spans="1:14" x14ac:dyDescent="0.2">
      <c r="A24" t="s">
        <v>24</v>
      </c>
      <c r="C24" s="26">
        <f>IRR($B$22:C22)</f>
        <v>-0.79402803390133037</v>
      </c>
      <c r="D24" s="26">
        <f>IRR($B$22:D22)</f>
        <v>-0.49759245882699188</v>
      </c>
      <c r="E24" s="26">
        <f>IRR($B$22:E22)</f>
        <v>-0.27224040287593709</v>
      </c>
      <c r="F24" s="26">
        <f>IRR($B$22:F22)</f>
        <v>-0.1323614061943631</v>
      </c>
      <c r="G24" s="26">
        <f>IRR($B$22:G22)</f>
        <v>-0.12497283658545721</v>
      </c>
      <c r="H24" s="26">
        <f>IRR($B$22:H22)</f>
        <v>-3.1615626293443833E-2</v>
      </c>
      <c r="I24" s="26">
        <f>IRR($B$22:I22)</f>
        <v>2.4175790030540156E-2</v>
      </c>
      <c r="J24" s="26">
        <f>IRR($B$22:J22)</f>
        <v>6.1655438582817634E-2</v>
      </c>
      <c r="K24" s="26">
        <f>IRR($B$22:K22)</f>
        <v>8.8260884027299369E-2</v>
      </c>
      <c r="L24" s="26">
        <f>IRR($B$22:L22)</f>
        <v>0.11456811120221189</v>
      </c>
      <c r="N24" s="10"/>
    </row>
    <row r="25" spans="1:14" x14ac:dyDescent="0.2">
      <c r="A25" t="s">
        <v>25</v>
      </c>
      <c r="C25" s="26">
        <f>MIRR($B$22:C22, $B$5,$B$6)</f>
        <v>-0.8353571006798115</v>
      </c>
      <c r="D25" s="26">
        <f>MIRR($B$22:D22, $B$5,$B$6)</f>
        <v>-0.4100536534971293</v>
      </c>
      <c r="E25" s="26">
        <f>MIRR($B$22:E22, $B$5,$B$6)</f>
        <v>-0.17981484443140083</v>
      </c>
      <c r="F25" s="26">
        <f>MIRR($B$22:F22, $B$5,$B$6)</f>
        <v>-6.0995311909826766E-2</v>
      </c>
      <c r="G25" s="26">
        <f>MIRR($B$22:G22, $B$5,$B$6)</f>
        <v>-3.1123357926557293E-2</v>
      </c>
      <c r="H25" s="26">
        <f>MIRR($B$22:H22, $B$5,$B$6)</f>
        <v>1.9290195013664801E-2</v>
      </c>
      <c r="I25" s="26">
        <f>MIRR($B$22:I22, $B$5,$B$6)</f>
        <v>5.0997989500567886E-2</v>
      </c>
      <c r="J25" s="26">
        <f>MIRR($B$22:J22, $B$5,$B$6)</f>
        <v>7.1773971804196757E-2</v>
      </c>
      <c r="K25" s="26">
        <f>MIRR($B$22:K22, $B$5,$B$6)</f>
        <v>8.5803601556232234E-2</v>
      </c>
      <c r="L25" s="26">
        <f>MIRR($B$22:L22, $B$5,$B$6)</f>
        <v>9.923675486782213E-2</v>
      </c>
    </row>
    <row r="26" spans="1:14" x14ac:dyDescent="0.2">
      <c r="A26" t="s">
        <v>26</v>
      </c>
      <c r="C26" s="16">
        <f>IF(C23&gt;0, 1, 0)</f>
        <v>0</v>
      </c>
      <c r="D26" s="16">
        <f>IF(D23&gt;0, 1, 0)+C26</f>
        <v>0</v>
      </c>
      <c r="E26" s="16">
        <f t="shared" ref="E26:L26" si="12">IF(E23&gt;0, 1, 0)+D26</f>
        <v>0</v>
      </c>
      <c r="F26" s="16">
        <f t="shared" si="12"/>
        <v>0</v>
      </c>
      <c r="G26" s="16">
        <f t="shared" si="12"/>
        <v>0</v>
      </c>
      <c r="H26" s="16">
        <f t="shared" si="12"/>
        <v>0</v>
      </c>
      <c r="I26" s="16">
        <f t="shared" si="12"/>
        <v>0</v>
      </c>
      <c r="J26" s="16">
        <f t="shared" si="12"/>
        <v>0</v>
      </c>
      <c r="K26" s="16">
        <f t="shared" si="12"/>
        <v>1</v>
      </c>
      <c r="L26" s="16">
        <f t="shared" si="12"/>
        <v>2</v>
      </c>
    </row>
    <row r="27" spans="1:14" x14ac:dyDescent="0.2">
      <c r="A27" s="4" t="s">
        <v>13</v>
      </c>
      <c r="B27" s="4"/>
      <c r="C27" s="4">
        <v>1</v>
      </c>
      <c r="D27" s="4">
        <v>2</v>
      </c>
      <c r="E27" s="4">
        <v>3</v>
      </c>
      <c r="F27" s="4">
        <v>4</v>
      </c>
      <c r="G27" s="4">
        <v>5</v>
      </c>
      <c r="H27" s="4">
        <v>6</v>
      </c>
      <c r="I27" s="4">
        <v>7</v>
      </c>
      <c r="J27" s="4">
        <v>8</v>
      </c>
      <c r="K27" s="4">
        <v>9</v>
      </c>
      <c r="L27" s="4">
        <v>10</v>
      </c>
    </row>
    <row r="28" spans="1:14" x14ac:dyDescent="0.2">
      <c r="A28" t="s">
        <v>27</v>
      </c>
      <c r="B28" s="2">
        <f>HLOOKUP(1, C26:L27, 2)</f>
        <v>9</v>
      </c>
    </row>
  </sheetData>
  <mergeCells count="1">
    <mergeCell ref="O6:S6"/>
  </mergeCells>
  <conditionalFormatting sqref="Q8:Q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D6CB-A04A-4807-A07E-CE3CB18E704A}">
  <dimension ref="A3:M14"/>
  <sheetViews>
    <sheetView workbookViewId="0">
      <selection activeCell="I23" sqref="I23"/>
    </sheetView>
  </sheetViews>
  <sheetFormatPr baseColWidth="10" defaultColWidth="8.83203125" defaultRowHeight="15" x14ac:dyDescent="0.2"/>
  <cols>
    <col min="4" max="4" width="11.1640625" bestFit="1" customWidth="1"/>
    <col min="5" max="5" width="11.33203125" customWidth="1"/>
    <col min="7" max="8" width="12.1640625" bestFit="1" customWidth="1"/>
    <col min="9" max="9" width="9" bestFit="1" customWidth="1"/>
  </cols>
  <sheetData>
    <row r="3" spans="1:13" x14ac:dyDescent="0.2">
      <c r="A3" s="46"/>
      <c r="B3" s="51" t="s">
        <v>66</v>
      </c>
      <c r="C3" s="51"/>
      <c r="D3" s="51"/>
      <c r="E3" s="51"/>
      <c r="F3" s="51"/>
      <c r="G3" s="51"/>
      <c r="H3" s="51"/>
      <c r="I3" s="51"/>
    </row>
    <row r="4" spans="1:13" ht="32" x14ac:dyDescent="0.2">
      <c r="A4" s="33" t="s">
        <v>28</v>
      </c>
      <c r="B4" s="33" t="s">
        <v>10</v>
      </c>
      <c r="C4" s="33" t="s">
        <v>29</v>
      </c>
      <c r="D4" s="33" t="s">
        <v>30</v>
      </c>
      <c r="E4" s="33" t="s">
        <v>31</v>
      </c>
      <c r="F4" s="33"/>
      <c r="G4" s="33" t="s">
        <v>32</v>
      </c>
      <c r="H4" s="33" t="s">
        <v>33</v>
      </c>
      <c r="I4" s="33" t="s">
        <v>34</v>
      </c>
    </row>
    <row r="5" spans="1:13" x14ac:dyDescent="0.2">
      <c r="A5">
        <v>1</v>
      </c>
      <c r="B5" s="32">
        <v>3.9</v>
      </c>
      <c r="C5" s="16">
        <f>B5^2</f>
        <v>15.209999999999999</v>
      </c>
      <c r="D5" s="31">
        <v>388916</v>
      </c>
      <c r="E5" s="18">
        <f>$I$5+$H$5*B5+$G$5*C5</f>
        <v>394103.65881007677</v>
      </c>
      <c r="G5" s="16">
        <f t="array" ref="G5:I9">LINEST(D5:D10, B5:C10, 1, 1)</f>
        <v>-7036.7360212385056</v>
      </c>
      <c r="H5" s="16">
        <v>35999.68820359181</v>
      </c>
      <c r="I5" s="16">
        <v>360733.62969910639</v>
      </c>
    </row>
    <row r="6" spans="1:13" x14ac:dyDescent="0.2">
      <c r="A6">
        <v>2</v>
      </c>
      <c r="B6" s="32">
        <v>4.3</v>
      </c>
      <c r="C6" s="16">
        <f t="shared" ref="C6:C10" si="0">B6^2</f>
        <v>18.489999999999998</v>
      </c>
      <c r="D6" s="31">
        <v>383637</v>
      </c>
      <c r="E6" s="18">
        <f t="shared" ref="E6:E10" si="1">$I$5+$H$5*B6+$G$5*C6</f>
        <v>385423.03994185117</v>
      </c>
      <c r="G6" s="16">
        <v>2817.2293527185066</v>
      </c>
      <c r="H6" s="16">
        <v>33273.328875384504</v>
      </c>
      <c r="I6" s="16">
        <v>93452.973341892604</v>
      </c>
    </row>
    <row r="7" spans="1:13" x14ac:dyDescent="0.2">
      <c r="A7">
        <v>3</v>
      </c>
      <c r="B7" s="32">
        <v>4.9000000000000004</v>
      </c>
      <c r="C7" s="16">
        <f t="shared" si="0"/>
        <v>24.010000000000005</v>
      </c>
      <c r="D7" s="31">
        <v>382565</v>
      </c>
      <c r="E7" s="18">
        <f t="shared" si="1"/>
        <v>368180.07002676971</v>
      </c>
      <c r="G7" s="16">
        <v>0.98647687548964968</v>
      </c>
      <c r="H7" s="16">
        <v>10901.0939018237</v>
      </c>
      <c r="I7" s="16" t="e">
        <v>#N/A</v>
      </c>
    </row>
    <row r="8" spans="1:13" x14ac:dyDescent="0.2">
      <c r="A8">
        <v>4</v>
      </c>
      <c r="B8" s="32">
        <v>5.7</v>
      </c>
      <c r="C8" s="16">
        <f t="shared" si="0"/>
        <v>32.49</v>
      </c>
      <c r="D8" s="31">
        <v>335424</v>
      </c>
      <c r="E8" s="18">
        <f t="shared" si="1"/>
        <v>337308.29912954068</v>
      </c>
      <c r="G8" s="16">
        <v>109.42111137865604</v>
      </c>
      <c r="H8" s="16">
        <v>3</v>
      </c>
      <c r="I8" s="16" t="e">
        <v>#N/A</v>
      </c>
    </row>
    <row r="9" spans="1:13" x14ac:dyDescent="0.2">
      <c r="A9">
        <v>5</v>
      </c>
      <c r="B9" s="32">
        <v>6.7</v>
      </c>
      <c r="C9" s="16">
        <f t="shared" si="0"/>
        <v>44.89</v>
      </c>
      <c r="D9" s="31">
        <v>276195</v>
      </c>
      <c r="E9" s="18">
        <f t="shared" si="1"/>
        <v>286052.46066977503</v>
      </c>
      <c r="G9" s="16">
        <v>26005863491.230865</v>
      </c>
      <c r="H9" s="16">
        <v>356501544.76913357</v>
      </c>
      <c r="I9" s="16" t="e">
        <v>#N/A</v>
      </c>
    </row>
    <row r="10" spans="1:13" x14ac:dyDescent="0.2">
      <c r="A10">
        <v>6</v>
      </c>
      <c r="B10" s="32">
        <v>7.9</v>
      </c>
      <c r="C10" s="16">
        <f t="shared" si="0"/>
        <v>62.410000000000004</v>
      </c>
      <c r="D10" s="31">
        <v>210299</v>
      </c>
      <c r="E10" s="18">
        <f t="shared" si="1"/>
        <v>205968.47142198653</v>
      </c>
    </row>
    <row r="14" spans="1:13" x14ac:dyDescent="0.2">
      <c r="H14" s="30"/>
      <c r="I14" s="30"/>
      <c r="J14" s="30"/>
      <c r="K14" s="30"/>
      <c r="L14" s="30"/>
      <c r="M14" s="30"/>
    </row>
  </sheetData>
  <mergeCells count="1">
    <mergeCell ref="B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BBE7-2C32-9D4E-B809-9AF7B214EDCD}">
  <dimension ref="A1:X38"/>
  <sheetViews>
    <sheetView workbookViewId="0">
      <selection activeCell="O29" sqref="O29"/>
    </sheetView>
  </sheetViews>
  <sheetFormatPr baseColWidth="10" defaultColWidth="8.83203125" defaultRowHeight="15" x14ac:dyDescent="0.2"/>
  <cols>
    <col min="1" max="1" width="16.83203125" bestFit="1" customWidth="1"/>
    <col min="2" max="2" width="11.1640625" bestFit="1" customWidth="1"/>
    <col min="3" max="3" width="13.6640625" bestFit="1" customWidth="1"/>
    <col min="4" max="4" width="11.6640625" bestFit="1" customWidth="1"/>
    <col min="5" max="12" width="13.1640625" bestFit="1" customWidth="1"/>
    <col min="14" max="14" width="9.1640625" bestFit="1" customWidth="1"/>
    <col min="18" max="18" width="14" customWidth="1"/>
    <col min="19" max="19" width="12.83203125" customWidth="1"/>
    <col min="20" max="21" width="10" customWidth="1"/>
    <col min="22" max="22" width="11" customWidth="1"/>
  </cols>
  <sheetData>
    <row r="1" spans="1:21" x14ac:dyDescent="0.2">
      <c r="A1" t="s">
        <v>3</v>
      </c>
      <c r="B1" s="14">
        <f>CapBal!B1*CapBal!L10/L10</f>
        <v>1661599.2208678771</v>
      </c>
      <c r="D1" t="s">
        <v>9</v>
      </c>
      <c r="E1" s="9">
        <v>2.56</v>
      </c>
      <c r="G1" t="s">
        <v>42</v>
      </c>
      <c r="H1" s="27">
        <f>B1*G10/L10</f>
        <v>1416282.6134259556</v>
      </c>
    </row>
    <row r="2" spans="1:21" x14ac:dyDescent="0.2">
      <c r="A2" t="s">
        <v>4</v>
      </c>
      <c r="B2">
        <v>0</v>
      </c>
      <c r="D2" t="s">
        <v>10</v>
      </c>
      <c r="E2" s="9">
        <v>4.28</v>
      </c>
      <c r="G2" t="s">
        <v>43</v>
      </c>
      <c r="H2" s="13">
        <f>B1-H1</f>
        <v>245316.60744192149</v>
      </c>
    </row>
    <row r="3" spans="1:21" x14ac:dyDescent="0.2">
      <c r="A3" t="s">
        <v>5</v>
      </c>
      <c r="B3">
        <v>10</v>
      </c>
      <c r="D3" t="s">
        <v>11</v>
      </c>
      <c r="E3" s="34">
        <v>386728</v>
      </c>
    </row>
    <row r="4" spans="1:21" x14ac:dyDescent="0.2">
      <c r="A4" t="s">
        <v>6</v>
      </c>
      <c r="B4" s="12">
        <v>0</v>
      </c>
      <c r="D4" t="s">
        <v>12</v>
      </c>
      <c r="E4" s="11">
        <v>0.22600000000000001</v>
      </c>
      <c r="G4" t="s">
        <v>48</v>
      </c>
      <c r="H4" s="13">
        <f>CapXBase!B1</f>
        <v>1658087</v>
      </c>
    </row>
    <row r="5" spans="1:21" x14ac:dyDescent="0.2">
      <c r="A5" t="s">
        <v>7</v>
      </c>
      <c r="B5" s="8">
        <v>8.3199999999999996E-2</v>
      </c>
    </row>
    <row r="6" spans="1:21" x14ac:dyDescent="0.2">
      <c r="A6" t="s">
        <v>8</v>
      </c>
      <c r="B6" s="8">
        <v>8.3199999999999996E-2</v>
      </c>
      <c r="Q6" s="41"/>
    </row>
    <row r="8" spans="1:21" x14ac:dyDescent="0.2">
      <c r="A8" s="4" t="s">
        <v>13</v>
      </c>
      <c r="B8" s="4"/>
      <c r="C8" s="15">
        <v>1</v>
      </c>
      <c r="D8" s="15">
        <v>2</v>
      </c>
      <c r="E8" s="15">
        <v>3</v>
      </c>
      <c r="F8" s="15">
        <v>4</v>
      </c>
      <c r="G8" s="35">
        <v>5</v>
      </c>
      <c r="H8" s="15">
        <v>6</v>
      </c>
      <c r="I8" s="15">
        <v>7</v>
      </c>
      <c r="J8" s="15">
        <v>8</v>
      </c>
      <c r="K8" s="15">
        <v>9</v>
      </c>
      <c r="L8" s="15">
        <v>10</v>
      </c>
    </row>
    <row r="9" spans="1:21" x14ac:dyDescent="0.2">
      <c r="A9" t="s">
        <v>14</v>
      </c>
      <c r="C9" s="16"/>
      <c r="D9" s="10">
        <f>Fsales!G4</f>
        <v>4.0214002666336623E-2</v>
      </c>
      <c r="E9" s="10">
        <f>Fsales!G5</f>
        <v>3.8660338849681487E-2</v>
      </c>
      <c r="F9" s="10">
        <f>Fsales!G6</f>
        <v>3.722134888918361E-2</v>
      </c>
      <c r="G9" s="36">
        <f>Fsales!G7</f>
        <v>3.5884724067251815E-2</v>
      </c>
      <c r="H9" s="10">
        <f>Fsales!G8</f>
        <v>3.4642500500181223E-2</v>
      </c>
      <c r="I9" s="10">
        <f>Fsales!G9</f>
        <v>3.3482580198893531E-2</v>
      </c>
      <c r="J9" s="10">
        <f>Fsales!G10</f>
        <v>3.2396993403390612E-2</v>
      </c>
      <c r="K9" s="10">
        <f>Fsales!G11</f>
        <v>3.1381162360489295E-2</v>
      </c>
      <c r="L9" s="10">
        <f>Fsales!G12</f>
        <v>3.0426348187965958E-2</v>
      </c>
      <c r="Q9" s="51" t="s">
        <v>55</v>
      </c>
      <c r="R9" s="51"/>
      <c r="S9" s="51"/>
      <c r="T9" s="51"/>
      <c r="U9" s="51"/>
    </row>
    <row r="10" spans="1:21" x14ac:dyDescent="0.2">
      <c r="A10" t="s">
        <v>11</v>
      </c>
      <c r="C10" s="17">
        <f>DmndEst!$I$5+DmndEst!$H$5*DmndBal!$E$2+DmndEst!$G$5*DmndBal!$E$2^2</f>
        <v>385910.55007902393</v>
      </c>
      <c r="D10" s="18">
        <f>C10*(1+D9)</f>
        <v>401429.55796886928</v>
      </c>
      <c r="E10" s="18">
        <f t="shared" ref="E10:L10" si="0">D10*(1+E9)</f>
        <v>416948.96070422366</v>
      </c>
      <c r="F10" s="18">
        <f t="shared" si="0"/>
        <v>432468.3634395781</v>
      </c>
      <c r="G10" s="18">
        <f t="shared" si="0"/>
        <v>447987.37132942327</v>
      </c>
      <c r="H10" s="18">
        <f t="shared" si="0"/>
        <v>463506.77406477765</v>
      </c>
      <c r="I10" s="18">
        <f t="shared" si="0"/>
        <v>479026.17680013203</v>
      </c>
      <c r="J10" s="18">
        <f t="shared" si="0"/>
        <v>494545.18468997726</v>
      </c>
      <c r="K10" s="18">
        <f t="shared" si="0"/>
        <v>510064.58742533164</v>
      </c>
      <c r="L10" s="18">
        <f t="shared" si="0"/>
        <v>525583.99016068596</v>
      </c>
      <c r="R10" t="s">
        <v>53</v>
      </c>
      <c r="S10" t="s">
        <v>23</v>
      </c>
      <c r="T10" t="s">
        <v>24</v>
      </c>
      <c r="U10" t="s">
        <v>25</v>
      </c>
    </row>
    <row r="11" spans="1:21" x14ac:dyDescent="0.2">
      <c r="A11" t="s">
        <v>15</v>
      </c>
      <c r="C11" s="19">
        <f>C10*$E$2</f>
        <v>1651697.1543382225</v>
      </c>
      <c r="D11" s="19">
        <f t="shared" ref="D11:L11" si="1">D10*$E$2</f>
        <v>1718118.5081067607</v>
      </c>
      <c r="E11" s="19">
        <f t="shared" si="1"/>
        <v>1784541.5518140774</v>
      </c>
      <c r="F11" s="19">
        <f t="shared" si="1"/>
        <v>1850964.5955213944</v>
      </c>
      <c r="G11" s="19">
        <f t="shared" si="1"/>
        <v>1917385.9492899317</v>
      </c>
      <c r="H11" s="19">
        <f t="shared" si="1"/>
        <v>1983808.9929972484</v>
      </c>
      <c r="I11" s="19">
        <f t="shared" si="1"/>
        <v>2050232.0367045652</v>
      </c>
      <c r="J11" s="19">
        <f t="shared" si="1"/>
        <v>2116653.3904731027</v>
      </c>
      <c r="K11" s="19">
        <f t="shared" si="1"/>
        <v>2183076.4341804194</v>
      </c>
      <c r="L11" s="19">
        <f t="shared" si="1"/>
        <v>2249499.4778877362</v>
      </c>
      <c r="Q11" t="s">
        <v>10</v>
      </c>
      <c r="R11" s="42">
        <v>5.1100000000000003</v>
      </c>
      <c r="S11" s="13">
        <v>1287917</v>
      </c>
      <c r="T11" s="39">
        <v>0.23</v>
      </c>
      <c r="U11" s="39">
        <v>0.15</v>
      </c>
    </row>
    <row r="12" spans="1:21" x14ac:dyDescent="0.2">
      <c r="A12" t="s">
        <v>16</v>
      </c>
      <c r="C12" s="19">
        <f>C10*$E$1</f>
        <v>987931.00820230134</v>
      </c>
      <c r="D12" s="19">
        <f t="shared" ref="D12:L12" si="2">D10*$E$1</f>
        <v>1027659.6684003054</v>
      </c>
      <c r="E12" s="19">
        <f t="shared" si="2"/>
        <v>1067389.3394028125</v>
      </c>
      <c r="F12" s="19">
        <f t="shared" si="2"/>
        <v>1107119.01040532</v>
      </c>
      <c r="G12" s="19">
        <f t="shared" si="2"/>
        <v>1146847.6706033235</v>
      </c>
      <c r="H12" s="19">
        <f t="shared" si="2"/>
        <v>1186577.3416058307</v>
      </c>
      <c r="I12" s="19">
        <f t="shared" si="2"/>
        <v>1226307.0126083379</v>
      </c>
      <c r="J12" s="19">
        <f t="shared" si="2"/>
        <v>1266035.6728063419</v>
      </c>
      <c r="K12" s="19">
        <f t="shared" si="2"/>
        <v>1305765.3438088491</v>
      </c>
      <c r="L12" s="19">
        <f t="shared" si="2"/>
        <v>1345495.0148113561</v>
      </c>
      <c r="Q12" t="s">
        <v>11</v>
      </c>
      <c r="R12" s="27">
        <v>718087</v>
      </c>
      <c r="S12" s="13">
        <v>1287917</v>
      </c>
      <c r="T12" s="39">
        <v>0.23</v>
      </c>
      <c r="U12" s="39">
        <v>0.15</v>
      </c>
    </row>
    <row r="13" spans="1:21" ht="16" thickBot="1" x14ac:dyDescent="0.25">
      <c r="A13" s="20" t="s">
        <v>12</v>
      </c>
      <c r="B13" s="20"/>
      <c r="C13" s="22">
        <f>C11*$E$4</f>
        <v>373283.55688043829</v>
      </c>
      <c r="D13" s="22">
        <f>D11*$E$4</f>
        <v>388294.78283212794</v>
      </c>
      <c r="E13" s="22">
        <f t="shared" ref="E13:L13" si="3">E11*$E$4</f>
        <v>403306.3907099815</v>
      </c>
      <c r="F13" s="22">
        <f t="shared" si="3"/>
        <v>418317.99858783517</v>
      </c>
      <c r="G13" s="22">
        <f t="shared" si="3"/>
        <v>433329.22453952458</v>
      </c>
      <c r="H13" s="22">
        <f t="shared" si="3"/>
        <v>448340.83241737814</v>
      </c>
      <c r="I13" s="22">
        <f t="shared" si="3"/>
        <v>463352.44029523176</v>
      </c>
      <c r="J13" s="22">
        <f t="shared" si="3"/>
        <v>478363.66624692123</v>
      </c>
      <c r="K13" s="22">
        <f t="shared" si="3"/>
        <v>493375.27412477479</v>
      </c>
      <c r="L13" s="22">
        <f t="shared" si="3"/>
        <v>508386.88200262841</v>
      </c>
      <c r="Q13" t="s">
        <v>49</v>
      </c>
      <c r="R13" s="43">
        <v>892968</v>
      </c>
      <c r="S13" s="43">
        <v>693612</v>
      </c>
      <c r="T13" s="39">
        <v>0.23</v>
      </c>
      <c r="U13" s="39">
        <v>0.15</v>
      </c>
    </row>
    <row r="14" spans="1:21" ht="16" thickTop="1" x14ac:dyDescent="0.2">
      <c r="A14" s="21" t="s">
        <v>17</v>
      </c>
      <c r="B14" s="21"/>
      <c r="C14" s="23">
        <f>C11-C12-C13</f>
        <v>290482.58925548283</v>
      </c>
      <c r="D14" s="23">
        <f t="shared" ref="D14:L14" si="4">D11-D12-D13</f>
        <v>302164.0568743273</v>
      </c>
      <c r="E14" s="23">
        <f t="shared" si="4"/>
        <v>313845.82170128339</v>
      </c>
      <c r="F14" s="23">
        <f t="shared" si="4"/>
        <v>325527.58652823925</v>
      </c>
      <c r="G14" s="23">
        <f t="shared" si="4"/>
        <v>337209.0541470836</v>
      </c>
      <c r="H14" s="23">
        <f t="shared" si="4"/>
        <v>348890.81897403958</v>
      </c>
      <c r="I14" s="23">
        <f t="shared" si="4"/>
        <v>360572.58380099549</v>
      </c>
      <c r="J14" s="23">
        <f t="shared" si="4"/>
        <v>372254.05141983955</v>
      </c>
      <c r="K14" s="23">
        <f t="shared" si="4"/>
        <v>383935.81624679553</v>
      </c>
      <c r="L14" s="23">
        <f t="shared" si="4"/>
        <v>395617.58107375167</v>
      </c>
      <c r="N14" t="s">
        <v>46</v>
      </c>
      <c r="Q14" t="s">
        <v>51</v>
      </c>
      <c r="R14" s="10">
        <v>7.5300000000000006E-2</v>
      </c>
      <c r="S14" s="13">
        <v>1287917</v>
      </c>
      <c r="T14" s="39">
        <v>0.23</v>
      </c>
      <c r="U14" s="39">
        <v>0.15</v>
      </c>
    </row>
    <row r="15" spans="1:21" x14ac:dyDescent="0.2">
      <c r="A15" t="s">
        <v>44</v>
      </c>
      <c r="C15" s="19">
        <f>SLN($H$1, $B$2, $B$3)</f>
        <v>141628.26134259556</v>
      </c>
      <c r="D15" s="19">
        <f t="shared" ref="D15:L15" si="5">SLN($H$1, $B$2, $B$3)</f>
        <v>141628.26134259556</v>
      </c>
      <c r="E15" s="19">
        <f t="shared" si="5"/>
        <v>141628.26134259556</v>
      </c>
      <c r="F15" s="19">
        <f t="shared" si="5"/>
        <v>141628.26134259556</v>
      </c>
      <c r="G15" s="19">
        <f t="shared" si="5"/>
        <v>141628.26134259556</v>
      </c>
      <c r="H15" s="19">
        <f t="shared" si="5"/>
        <v>141628.26134259556</v>
      </c>
      <c r="I15" s="19">
        <f t="shared" si="5"/>
        <v>141628.26134259556</v>
      </c>
      <c r="J15" s="19">
        <f t="shared" si="5"/>
        <v>141628.26134259556</v>
      </c>
      <c r="K15" s="19">
        <f t="shared" si="5"/>
        <v>141628.26134259556</v>
      </c>
      <c r="L15" s="19">
        <f t="shared" si="5"/>
        <v>141628.26134259556</v>
      </c>
      <c r="N15" s="13">
        <f>H2-SUM(H16:L16)</f>
        <v>122658.30372096074</v>
      </c>
      <c r="Q15" t="s">
        <v>6</v>
      </c>
      <c r="R15" s="39">
        <v>0</v>
      </c>
      <c r="S15" s="13">
        <v>565243.25289000105</v>
      </c>
      <c r="T15" s="39">
        <v>0.15</v>
      </c>
      <c r="U15" s="39">
        <v>0.12</v>
      </c>
    </row>
    <row r="16" spans="1:21" ht="16" thickBot="1" x14ac:dyDescent="0.25">
      <c r="A16" s="20" t="s">
        <v>45</v>
      </c>
      <c r="B16" s="20"/>
      <c r="C16" s="20"/>
      <c r="D16" s="20"/>
      <c r="E16" s="20"/>
      <c r="F16" s="20"/>
      <c r="G16" s="37"/>
      <c r="H16" s="28">
        <f>SLN($H$2,  0, $B$3)</f>
        <v>24531.660744192148</v>
      </c>
      <c r="I16" s="28">
        <f t="shared" ref="I16:L16" si="6">SLN($H$2,  0, $B$3)</f>
        <v>24531.660744192148</v>
      </c>
      <c r="J16" s="28">
        <f t="shared" si="6"/>
        <v>24531.660744192148</v>
      </c>
      <c r="K16" s="28">
        <f t="shared" si="6"/>
        <v>24531.660744192148</v>
      </c>
      <c r="L16" s="28">
        <f t="shared" si="6"/>
        <v>24531.660744192148</v>
      </c>
    </row>
    <row r="17" spans="1:21" ht="16" thickTop="1" x14ac:dyDescent="0.2">
      <c r="A17" t="s">
        <v>47</v>
      </c>
      <c r="C17" s="19">
        <f>SUM(C15:C16)</f>
        <v>141628.26134259556</v>
      </c>
      <c r="D17" s="19">
        <f t="shared" ref="D17:L17" si="7">SUM(D15:D16)</f>
        <v>141628.26134259556</v>
      </c>
      <c r="E17" s="19">
        <f t="shared" si="7"/>
        <v>141628.26134259556</v>
      </c>
      <c r="F17" s="19">
        <f t="shared" si="7"/>
        <v>141628.26134259556</v>
      </c>
      <c r="G17" s="19">
        <f t="shared" si="7"/>
        <v>141628.26134259556</v>
      </c>
      <c r="H17" s="19">
        <f t="shared" si="7"/>
        <v>166159.9220867877</v>
      </c>
      <c r="I17" s="19">
        <f t="shared" si="7"/>
        <v>166159.9220867877</v>
      </c>
      <c r="J17" s="19">
        <f t="shared" si="7"/>
        <v>166159.9220867877</v>
      </c>
      <c r="K17" s="19">
        <f t="shared" si="7"/>
        <v>166159.9220867877</v>
      </c>
      <c r="L17" s="19">
        <f t="shared" si="7"/>
        <v>166159.9220867877</v>
      </c>
      <c r="Q17" s="51" t="s">
        <v>56</v>
      </c>
      <c r="R17" s="51"/>
      <c r="S17" s="51"/>
      <c r="T17" s="51"/>
      <c r="U17" s="51"/>
    </row>
    <row r="18" spans="1:21" x14ac:dyDescent="0.2">
      <c r="A18" t="s">
        <v>19</v>
      </c>
      <c r="C18" s="19">
        <f>C14-C17</f>
        <v>148854.32791288727</v>
      </c>
      <c r="D18" s="19">
        <f t="shared" ref="D18:L18" si="8">D14-D17</f>
        <v>160535.79553173174</v>
      </c>
      <c r="E18" s="19">
        <f t="shared" si="8"/>
        <v>172217.56035868783</v>
      </c>
      <c r="F18" s="19">
        <f t="shared" si="8"/>
        <v>183899.32518564368</v>
      </c>
      <c r="G18" s="19">
        <f t="shared" si="8"/>
        <v>195580.79280448804</v>
      </c>
      <c r="H18" s="19">
        <f t="shared" si="8"/>
        <v>182730.89688725187</v>
      </c>
      <c r="I18" s="19">
        <f t="shared" si="8"/>
        <v>194412.66171420779</v>
      </c>
      <c r="J18" s="19">
        <f t="shared" si="8"/>
        <v>206094.12933305185</v>
      </c>
      <c r="K18" s="19">
        <f t="shared" si="8"/>
        <v>217775.89416000783</v>
      </c>
      <c r="L18" s="19">
        <f t="shared" si="8"/>
        <v>229457.65898696397</v>
      </c>
      <c r="R18" t="s">
        <v>53</v>
      </c>
      <c r="S18" t="s">
        <v>23</v>
      </c>
      <c r="T18" t="s">
        <v>24</v>
      </c>
      <c r="U18" t="s">
        <v>25</v>
      </c>
    </row>
    <row r="19" spans="1:21" ht="16" thickBot="1" x14ac:dyDescent="0.25">
      <c r="A19" s="20" t="s">
        <v>20</v>
      </c>
      <c r="B19" s="20"/>
      <c r="C19" s="22">
        <f>C18*$B$4</f>
        <v>0</v>
      </c>
      <c r="D19" s="22">
        <f t="shared" ref="D19:L19" si="9">D18*$B$4</f>
        <v>0</v>
      </c>
      <c r="E19" s="22">
        <f t="shared" si="9"/>
        <v>0</v>
      </c>
      <c r="F19" s="22">
        <f t="shared" si="9"/>
        <v>0</v>
      </c>
      <c r="G19" s="22">
        <f t="shared" si="9"/>
        <v>0</v>
      </c>
      <c r="H19" s="22">
        <f t="shared" si="9"/>
        <v>0</v>
      </c>
      <c r="I19" s="22">
        <f t="shared" si="9"/>
        <v>0</v>
      </c>
      <c r="J19" s="22">
        <f t="shared" si="9"/>
        <v>0</v>
      </c>
      <c r="K19" s="22">
        <f t="shared" si="9"/>
        <v>0</v>
      </c>
      <c r="L19" s="22">
        <f t="shared" si="9"/>
        <v>0</v>
      </c>
      <c r="Q19" t="s">
        <v>10</v>
      </c>
      <c r="R19" s="42">
        <v>5.0599999999999996</v>
      </c>
      <c r="S19" s="13">
        <v>1308853</v>
      </c>
      <c r="T19" s="39">
        <v>0.25</v>
      </c>
      <c r="U19" s="39">
        <v>0.16</v>
      </c>
    </row>
    <row r="20" spans="1:21" ht="16" thickTop="1" x14ac:dyDescent="0.2">
      <c r="A20" s="21" t="s">
        <v>21</v>
      </c>
      <c r="B20" s="21"/>
      <c r="C20" s="23">
        <f>C18-C19</f>
        <v>148854.32791288727</v>
      </c>
      <c r="D20" s="23">
        <f t="shared" ref="D20:L20" si="10">D18-D19</f>
        <v>160535.79553173174</v>
      </c>
      <c r="E20" s="23">
        <f t="shared" si="10"/>
        <v>172217.56035868783</v>
      </c>
      <c r="F20" s="23">
        <f t="shared" si="10"/>
        <v>183899.32518564368</v>
      </c>
      <c r="G20" s="23">
        <f t="shared" si="10"/>
        <v>195580.79280448804</v>
      </c>
      <c r="H20" s="23">
        <f t="shared" si="10"/>
        <v>182730.89688725187</v>
      </c>
      <c r="I20" s="23">
        <f t="shared" si="10"/>
        <v>194412.66171420779</v>
      </c>
      <c r="J20" s="23">
        <f t="shared" si="10"/>
        <v>206094.12933305185</v>
      </c>
      <c r="K20" s="23">
        <f t="shared" si="10"/>
        <v>217775.89416000783</v>
      </c>
      <c r="L20" s="23">
        <f t="shared" si="10"/>
        <v>229457.65898696397</v>
      </c>
      <c r="N20" s="10"/>
      <c r="Q20" t="s">
        <v>11</v>
      </c>
      <c r="R20" s="27">
        <v>696146</v>
      </c>
      <c r="S20" s="13">
        <v>1308853</v>
      </c>
      <c r="T20" s="39">
        <v>0.25</v>
      </c>
      <c r="U20" s="39">
        <v>0.16</v>
      </c>
    </row>
    <row r="21" spans="1:21" x14ac:dyDescent="0.2">
      <c r="G21" s="19">
        <f>-H2</f>
        <v>-245316.60744192149</v>
      </c>
      <c r="Q21" t="s">
        <v>49</v>
      </c>
      <c r="R21" s="43">
        <v>921112</v>
      </c>
      <c r="S21" s="43">
        <v>727103</v>
      </c>
      <c r="T21" s="39">
        <v>0.25</v>
      </c>
      <c r="U21" s="39">
        <v>0.16</v>
      </c>
    </row>
    <row r="22" spans="1:21" ht="16" thickBot="1" x14ac:dyDescent="0.25">
      <c r="A22" s="24" t="s">
        <v>22</v>
      </c>
      <c r="B22" s="29">
        <f>-H1</f>
        <v>-1416282.6134259556</v>
      </c>
      <c r="C22" s="25">
        <f>C20+C17+C21</f>
        <v>290482.58925548283</v>
      </c>
      <c r="D22" s="25">
        <f t="shared" ref="D22:K22" si="11">D20+D17+D21</f>
        <v>302164.0568743273</v>
      </c>
      <c r="E22" s="25">
        <f t="shared" si="11"/>
        <v>313845.82170128339</v>
      </c>
      <c r="F22" s="25">
        <f t="shared" si="11"/>
        <v>325527.58652823925</v>
      </c>
      <c r="G22" s="25">
        <f t="shared" si="11"/>
        <v>91892.446705162118</v>
      </c>
      <c r="H22" s="25">
        <f t="shared" si="11"/>
        <v>348890.81897403958</v>
      </c>
      <c r="I22" s="25">
        <f t="shared" si="11"/>
        <v>360572.58380099549</v>
      </c>
      <c r="J22" s="25">
        <f t="shared" si="11"/>
        <v>372254.05141983955</v>
      </c>
      <c r="K22" s="25">
        <f t="shared" si="11"/>
        <v>383935.81624679553</v>
      </c>
      <c r="L22" s="25">
        <f>L20+L17+L21+N15</f>
        <v>518275.88479471242</v>
      </c>
      <c r="N22" s="10"/>
      <c r="Q22" t="s">
        <v>51</v>
      </c>
      <c r="R22" s="10">
        <v>8.5300000000000001E-2</v>
      </c>
      <c r="S22" s="13">
        <v>1308853</v>
      </c>
      <c r="T22" s="39">
        <v>0.25</v>
      </c>
      <c r="U22" s="39">
        <v>0.16</v>
      </c>
    </row>
    <row r="23" spans="1:21" ht="16" thickTop="1" x14ac:dyDescent="0.2">
      <c r="A23" t="s">
        <v>23</v>
      </c>
      <c r="C23" s="19">
        <f>NPV($B$5,$C$22:C22)+$B$22</f>
        <v>-1148111.8330940844</v>
      </c>
      <c r="D23" s="19">
        <f>NPV($B$5,$C$22:D22)+$B$22</f>
        <v>-890583.21344196971</v>
      </c>
      <c r="E23" s="19">
        <f>NPV($B$5,$C$22:E22)+$B$22</f>
        <v>-643643.80857550318</v>
      </c>
      <c r="F23" s="19">
        <f>NPV($B$5,$C$22:F22)+$B$22</f>
        <v>-407186.25446777756</v>
      </c>
      <c r="G23" s="19">
        <f>NPV($B$5,$C$22:G22)+$B$22</f>
        <v>-345564.14539058064</v>
      </c>
      <c r="H23" s="19">
        <f>NPV($B$5,$C$22:H22)+$B$22</f>
        <v>-129572.16167087038</v>
      </c>
      <c r="I23" s="19">
        <f>NPV($B$5,$C$22:I22)+$B$22</f>
        <v>76506.081162330694</v>
      </c>
      <c r="J23" s="19">
        <f>NPV($B$5,$C$22:J22)+$B$22</f>
        <v>272919.07812212617</v>
      </c>
      <c r="K23" s="19">
        <f>NPV($B$5,$C$22:K22)+$B$22</f>
        <v>459935.94029633328</v>
      </c>
      <c r="L23" s="19">
        <f>NPV($B$5,$C$22:L22)+$B$22</f>
        <v>692999.56060984172</v>
      </c>
      <c r="N23" s="10"/>
      <c r="Q23" t="s">
        <v>6</v>
      </c>
      <c r="R23" s="39">
        <v>0</v>
      </c>
      <c r="S23" s="13">
        <v>700924</v>
      </c>
      <c r="T23" s="39">
        <v>0.18</v>
      </c>
      <c r="U23" s="39">
        <v>0.13</v>
      </c>
    </row>
    <row r="24" spans="1:21" x14ac:dyDescent="0.2">
      <c r="A24" t="s">
        <v>24</v>
      </c>
      <c r="C24" s="26">
        <f>IRR($B$22:C22)</f>
        <v>-0.7948978639561125</v>
      </c>
      <c r="D24" s="26">
        <f>IRR($B$22:D22)</f>
        <v>-0.42430325098533173</v>
      </c>
      <c r="E24" s="26">
        <f>IRR($B$22:E22)</f>
        <v>-0.19173495013797515</v>
      </c>
      <c r="F24" s="26">
        <f>IRR($B$22:F22)</f>
        <v>-5.2569336832769209E-2</v>
      </c>
      <c r="G24" s="26">
        <f>IRR($B$22:G22)</f>
        <v>-2.4342706800027147E-2</v>
      </c>
      <c r="H24" s="26">
        <f>IRR($B$22:H22)</f>
        <v>5.1298918948771144E-2</v>
      </c>
      <c r="I24" s="26">
        <f>IRR($B$22:I22)</f>
        <v>9.8861004737895497E-2</v>
      </c>
      <c r="J24" s="26">
        <f>IRR($B$22:J22)</f>
        <v>0.1310731215367491</v>
      </c>
      <c r="K24" s="26">
        <f>IRR($B$22:K22)</f>
        <v>0.15383993309435096</v>
      </c>
      <c r="L24" s="26">
        <f>IRR($B$22:L22)</f>
        <v>0.17499302769947755</v>
      </c>
      <c r="N24" s="10"/>
    </row>
    <row r="25" spans="1:21" x14ac:dyDescent="0.2">
      <c r="A25" t="s">
        <v>25</v>
      </c>
      <c r="C25" s="26">
        <f>MIRR($B$22:C22, $B$5,$B$6)</f>
        <v>-0.7948978639561125</v>
      </c>
      <c r="D25" s="26">
        <f>MIRR($B$22:D22, $B$5,$B$6)</f>
        <v>-0.34006307297411631</v>
      </c>
      <c r="E25" s="26">
        <f>MIRR($B$22:E22, $B$5,$B$6)</f>
        <v>-0.11491662711324913</v>
      </c>
      <c r="F25" s="26">
        <f>MIRR($B$22:F22, $B$5,$B$6)</f>
        <v>-4.8138342145370716E-3</v>
      </c>
      <c r="G25" s="26">
        <f>MIRR($B$22:G22, $B$5,$B$6)</f>
        <v>2.4268284283638142E-2</v>
      </c>
      <c r="H25" s="26">
        <f>MIRR($B$22:H22, $B$5,$B$6)</f>
        <v>6.6016194008771789E-2</v>
      </c>
      <c r="I25" s="26">
        <f>MIRR($B$22:I22, $B$5,$B$6)</f>
        <v>9.1371756261962478E-2</v>
      </c>
      <c r="J25" s="26">
        <f>MIRR($B$22:J22, $B$5,$B$6)</f>
        <v>0.10732498539756907</v>
      </c>
      <c r="K25" s="26">
        <f>MIRR($B$22:K22, $B$5,$B$6)</f>
        <v>0.11758107925152217</v>
      </c>
      <c r="L25" s="26">
        <f>MIRR($B$22:L22, $B$5,$B$6)</f>
        <v>0.12721595476695313</v>
      </c>
      <c r="Q25" s="51" t="s">
        <v>54</v>
      </c>
      <c r="R25" s="51"/>
      <c r="S25" s="51"/>
      <c r="T25" s="51"/>
      <c r="U25" s="51"/>
    </row>
    <row r="26" spans="1:21" x14ac:dyDescent="0.2">
      <c r="A26" t="s">
        <v>26</v>
      </c>
      <c r="C26" s="16">
        <f>IF(C23&gt;0, 1, 0)</f>
        <v>0</v>
      </c>
      <c r="D26" s="16">
        <f>IF(D23&gt;0, 1, 0)+C26</f>
        <v>0</v>
      </c>
      <c r="E26" s="16">
        <f t="shared" ref="E26:L26" si="12">IF(E23&gt;0, 1, 0)+D26</f>
        <v>0</v>
      </c>
      <c r="F26" s="16">
        <f t="shared" si="12"/>
        <v>0</v>
      </c>
      <c r="G26" s="16">
        <f t="shared" si="12"/>
        <v>0</v>
      </c>
      <c r="H26" s="16">
        <f t="shared" si="12"/>
        <v>0</v>
      </c>
      <c r="I26" s="16">
        <f t="shared" si="12"/>
        <v>1</v>
      </c>
      <c r="J26" s="16">
        <f t="shared" si="12"/>
        <v>2</v>
      </c>
      <c r="K26" s="16">
        <f t="shared" si="12"/>
        <v>3</v>
      </c>
      <c r="L26" s="16">
        <f t="shared" si="12"/>
        <v>4</v>
      </c>
      <c r="R26" t="s">
        <v>53</v>
      </c>
      <c r="S26" t="s">
        <v>23</v>
      </c>
      <c r="T26" t="s">
        <v>24</v>
      </c>
      <c r="U26" t="s">
        <v>25</v>
      </c>
    </row>
    <row r="27" spans="1:21" x14ac:dyDescent="0.2">
      <c r="A27" s="4" t="s">
        <v>13</v>
      </c>
      <c r="B27" s="4"/>
      <c r="C27" s="4">
        <v>1</v>
      </c>
      <c r="D27" s="4">
        <v>2</v>
      </c>
      <c r="E27" s="4">
        <v>3</v>
      </c>
      <c r="F27" s="4">
        <v>4</v>
      </c>
      <c r="G27" s="38">
        <v>5</v>
      </c>
      <c r="H27" s="4">
        <v>6</v>
      </c>
      <c r="I27" s="4">
        <v>7</v>
      </c>
      <c r="J27" s="4">
        <v>8</v>
      </c>
      <c r="K27" s="4">
        <v>9</v>
      </c>
      <c r="L27" s="4">
        <v>10</v>
      </c>
      <c r="Q27" t="s">
        <v>10</v>
      </c>
      <c r="R27" s="42">
        <v>5.0599999999999996</v>
      </c>
      <c r="S27" s="13">
        <v>1227848.1613152169</v>
      </c>
      <c r="T27" s="39">
        <v>0.24879202460145566</v>
      </c>
      <c r="U27" s="39">
        <v>0.15658255951879396</v>
      </c>
    </row>
    <row r="28" spans="1:21" x14ac:dyDescent="0.2">
      <c r="A28" t="s">
        <v>27</v>
      </c>
      <c r="B28" s="2">
        <f>HLOOKUP(1, C26:L27, 2)</f>
        <v>7</v>
      </c>
      <c r="Q28" t="s">
        <v>11</v>
      </c>
      <c r="R28" s="27" t="s">
        <v>57</v>
      </c>
      <c r="S28" s="27" t="s">
        <v>57</v>
      </c>
      <c r="T28" s="27" t="s">
        <v>57</v>
      </c>
      <c r="U28" s="27" t="s">
        <v>57</v>
      </c>
    </row>
    <row r="29" spans="1:21" x14ac:dyDescent="0.2">
      <c r="O29" t="s">
        <v>63</v>
      </c>
      <c r="Q29" t="s">
        <v>49</v>
      </c>
      <c r="R29" s="43">
        <v>919164.1625486468</v>
      </c>
      <c r="S29" s="13">
        <v>725566.63839722727</v>
      </c>
      <c r="T29" s="39">
        <v>0.24879220306012839</v>
      </c>
      <c r="U29" s="39">
        <v>0.15658262573792348</v>
      </c>
    </row>
    <row r="30" spans="1:21" x14ac:dyDescent="0.2">
      <c r="Q30" t="s">
        <v>51</v>
      </c>
      <c r="R30" s="10">
        <v>8.3900000000000002E-2</v>
      </c>
      <c r="S30" s="13">
        <v>1311625.5082193296</v>
      </c>
      <c r="T30" s="39">
        <v>0.24879197939958009</v>
      </c>
      <c r="U30" s="39">
        <v>0.15658254274611805</v>
      </c>
    </row>
    <row r="31" spans="1:21" x14ac:dyDescent="0.2">
      <c r="Q31" t="s">
        <v>6</v>
      </c>
      <c r="R31" s="39">
        <v>0</v>
      </c>
      <c r="S31" s="13">
        <v>692999.56060984172</v>
      </c>
      <c r="T31" s="39">
        <v>0.17499302769947755</v>
      </c>
      <c r="U31" s="39">
        <v>0.12721595476695313</v>
      </c>
    </row>
    <row r="34" spans="19:24" x14ac:dyDescent="0.2">
      <c r="S34" s="51" t="s">
        <v>62</v>
      </c>
      <c r="T34" s="51"/>
      <c r="U34" s="51"/>
      <c r="V34" s="51"/>
      <c r="W34" s="51"/>
      <c r="X34" s="51"/>
    </row>
    <row r="35" spans="19:24" x14ac:dyDescent="0.2">
      <c r="S35" s="44" t="s">
        <v>58</v>
      </c>
      <c r="T35" s="4" t="s">
        <v>10</v>
      </c>
      <c r="U35" s="4" t="s">
        <v>11</v>
      </c>
      <c r="V35" s="4" t="s">
        <v>49</v>
      </c>
      <c r="W35" s="4" t="s">
        <v>51</v>
      </c>
      <c r="X35" s="4" t="s">
        <v>6</v>
      </c>
    </row>
    <row r="36" spans="19:24" x14ac:dyDescent="0.2">
      <c r="S36" s="45" t="s">
        <v>59</v>
      </c>
      <c r="T36" s="42">
        <v>5.1100000000000003</v>
      </c>
      <c r="U36" s="27">
        <v>718087</v>
      </c>
      <c r="V36" s="43">
        <v>892968</v>
      </c>
      <c r="W36" s="10">
        <v>7.5300000000000006E-2</v>
      </c>
      <c r="X36" s="39">
        <v>0</v>
      </c>
    </row>
    <row r="37" spans="19:24" x14ac:dyDescent="0.2">
      <c r="S37" s="45" t="s">
        <v>60</v>
      </c>
      <c r="T37" s="42">
        <v>5.0599999999999996</v>
      </c>
      <c r="U37" s="27">
        <v>696146</v>
      </c>
      <c r="V37" s="43">
        <v>921112</v>
      </c>
      <c r="W37" s="10">
        <v>8.5300000000000001E-2</v>
      </c>
      <c r="X37" s="39">
        <v>0</v>
      </c>
    </row>
    <row r="38" spans="19:24" x14ac:dyDescent="0.2">
      <c r="S38" s="45" t="s">
        <v>61</v>
      </c>
      <c r="T38" s="42">
        <v>5.0599999999999996</v>
      </c>
      <c r="U38" s="27" t="s">
        <v>57</v>
      </c>
      <c r="V38" s="43">
        <v>919164.1625486468</v>
      </c>
      <c r="W38" s="10">
        <v>8.3900000000000002E-2</v>
      </c>
      <c r="X38" s="39">
        <v>0</v>
      </c>
    </row>
  </sheetData>
  <mergeCells count="4">
    <mergeCell ref="Q25:U25"/>
    <mergeCell ref="Q9:U9"/>
    <mergeCell ref="Q17:U17"/>
    <mergeCell ref="S34:X34"/>
  </mergeCells>
  <conditionalFormatting sqref="S29:S31 S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:S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Fsales</vt:lpstr>
      <vt:lpstr>CapXBase</vt:lpstr>
      <vt:lpstr>CapBal</vt:lpstr>
      <vt:lpstr>DmndEst</vt:lpstr>
      <vt:lpstr>DmndBal</vt:lpstr>
      <vt:lpstr>plot 3</vt:lpstr>
      <vt:lpstr>plot 1</vt:lpstr>
      <vt:lpstr>plot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ruiz</dc:creator>
  <cp:lastModifiedBy>Microsoft Office User</cp:lastModifiedBy>
  <dcterms:created xsi:type="dcterms:W3CDTF">2020-03-26T00:06:01Z</dcterms:created>
  <dcterms:modified xsi:type="dcterms:W3CDTF">2020-04-21T21:51:33Z</dcterms:modified>
</cp:coreProperties>
</file>