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prueba\MF\SEMANA 7\"/>
    </mc:Choice>
  </mc:AlternateContent>
  <xr:revisionPtr revIDLastSave="0" documentId="13_ncr:1_{AADE8A1C-0771-496F-B097-99BF01214D1F}" xr6:coauthVersionLast="47" xr6:coauthVersionMax="47" xr10:uidLastSave="{00000000-0000-0000-0000-000000000000}"/>
  <bookViews>
    <workbookView xWindow="9912" yWindow="24" windowWidth="13068" windowHeight="12312" firstSheet="20" activeTab="21" xr2:uid="{E581A421-F443-4CC0-8F82-30A63A821E48}"/>
  </bookViews>
  <sheets>
    <sheet name="Interes compuesto" sheetId="1" r:id="rId1"/>
    <sheet name="Ejercicio 1" sheetId="2" r:id="rId2"/>
    <sheet name="Frecuencia" sheetId="3" r:id="rId3"/>
    <sheet name="compuesto" sheetId="4" r:id="rId4"/>
    <sheet name="Ejercicio de interes compuesto" sheetId="5" r:id="rId5"/>
    <sheet name="MONTO COMPUESTO" sheetId="6" r:id="rId6"/>
    <sheet name="EJERCICIO monto compuesto" sheetId="7" r:id="rId7"/>
    <sheet name="Ejercicio 2 (Monto compuesto)" sheetId="8" r:id="rId8"/>
    <sheet name="Monto con periodo de interes FR" sheetId="9" r:id="rId9"/>
    <sheet name="Monto IN fraccionario" sheetId="10" r:id="rId10"/>
    <sheet name="Hoja3" sheetId="11" r:id="rId11"/>
    <sheet name="VALOR ACTUAL PRESENTE" sheetId="12" r:id="rId12"/>
    <sheet name="VAP CASO 1" sheetId="13" r:id="rId13"/>
    <sheet name="VAP CASO 2" sheetId="14" r:id="rId14"/>
    <sheet name="INFLACION" sheetId="15" r:id="rId15"/>
    <sheet name="CASO 1 inflacion" sheetId="16" r:id="rId16"/>
    <sheet name="INFLACION CASO 2" sheetId="17" r:id="rId17"/>
    <sheet name="EJERCICIO INFLACION" sheetId="18" r:id="rId18"/>
    <sheet name="TIEMPO" sheetId="19" r:id="rId19"/>
    <sheet name="Ejercicio 1 tiempo logaritmo" sheetId="20" r:id="rId20"/>
    <sheet name="Tiempo logaritmo Caso 2" sheetId="21" r:id="rId21"/>
    <sheet name="Hoja1" sheetId="22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6" i="22" l="1"/>
  <c r="E78" i="22"/>
  <c r="E75" i="22"/>
  <c r="E66" i="22"/>
  <c r="E65" i="22"/>
  <c r="E68" i="22" s="1"/>
  <c r="E56" i="22"/>
  <c r="E55" i="22"/>
  <c r="E58" i="22" s="1"/>
  <c r="E46" i="22"/>
  <c r="E45" i="22"/>
  <c r="E48" i="22" s="1"/>
  <c r="E36" i="22"/>
  <c r="E35" i="22"/>
  <c r="E26" i="22"/>
  <c r="E17" i="22"/>
  <c r="E19" i="22" s="1"/>
  <c r="E6" i="22"/>
  <c r="E8" i="22"/>
  <c r="E16" i="21"/>
  <c r="E28" i="21"/>
  <c r="E25" i="21"/>
  <c r="E15" i="21"/>
  <c r="E6" i="21"/>
  <c r="E5" i="21"/>
  <c r="E8" i="21"/>
  <c r="E16" i="20"/>
  <c r="E18" i="20"/>
  <c r="E8" i="20"/>
  <c r="E6" i="20"/>
  <c r="H22" i="18"/>
  <c r="G22" i="18"/>
  <c r="F22" i="18"/>
  <c r="G13" i="18"/>
  <c r="F7" i="18"/>
  <c r="G9" i="18" s="1"/>
  <c r="F12" i="17"/>
  <c r="F10" i="17"/>
  <c r="G7" i="17"/>
  <c r="F7" i="17"/>
  <c r="E7" i="17"/>
  <c r="E13" i="16"/>
  <c r="F9" i="16"/>
  <c r="F7" i="16"/>
  <c r="E7" i="16"/>
  <c r="F7" i="14"/>
  <c r="F8" i="14"/>
  <c r="F9" i="14"/>
  <c r="F8" i="13"/>
  <c r="E8" i="13"/>
  <c r="E6" i="13"/>
  <c r="E5" i="13"/>
  <c r="D9" i="11"/>
  <c r="D8" i="11"/>
  <c r="E9" i="10"/>
  <c r="E7" i="10"/>
  <c r="E6" i="10"/>
  <c r="D3" i="9"/>
  <c r="C15" i="8"/>
  <c r="C14" i="8"/>
  <c r="C5" i="8"/>
  <c r="C6" i="8"/>
  <c r="D16" i="7"/>
  <c r="D14" i="7"/>
  <c r="D13" i="7"/>
  <c r="D8" i="7"/>
  <c r="D5" i="7"/>
  <c r="D4" i="7"/>
  <c r="F8" i="5"/>
  <c r="D12" i="5"/>
  <c r="D8" i="5"/>
  <c r="E38" i="22" l="1"/>
  <c r="E27" i="22"/>
  <c r="E29" i="22" s="1"/>
  <c r="E18" i="21"/>
  <c r="G25" i="18"/>
  <c r="G27" i="18" s="1"/>
  <c r="G11" i="14"/>
  <c r="F11" i="14"/>
  <c r="D11" i="11"/>
  <c r="C17" i="8"/>
  <c r="C8" i="8"/>
  <c r="E12" i="5"/>
  <c r="E18" i="2"/>
  <c r="E17" i="2"/>
  <c r="E16" i="2"/>
  <c r="E20" i="2" s="1"/>
  <c r="F4" i="2"/>
  <c r="F9" i="2" s="1"/>
  <c r="E9" i="2"/>
  <c r="G9" i="2" s="1"/>
  <c r="E10" i="2" s="1"/>
  <c r="F5" i="2"/>
  <c r="C7" i="1"/>
  <c r="F10" i="2" l="1"/>
  <c r="G10" i="2" s="1"/>
  <c r="F12" i="5"/>
  <c r="D13" i="5" s="1"/>
  <c r="E13" i="5" l="1"/>
  <c r="F11" i="2"/>
  <c r="F13" i="5" l="1"/>
  <c r="D14" i="5" s="1"/>
  <c r="E14" i="5" l="1"/>
  <c r="F14" i="5" l="1"/>
  <c r="D15" i="5" s="1"/>
  <c r="E15" i="5" l="1"/>
  <c r="F15" i="5" l="1"/>
  <c r="D16" i="5" s="1"/>
  <c r="E16" i="5" s="1"/>
  <c r="F16" i="5" s="1"/>
  <c r="E17" i="5" l="1"/>
</calcChain>
</file>

<file path=xl/sharedStrings.xml><?xml version="1.0" encoding="utf-8"?>
<sst xmlns="http://schemas.openxmlformats.org/spreadsheetml/2006/main" count="318" uniqueCount="116">
  <si>
    <t>Interes compuesto</t>
  </si>
  <si>
    <t>II PARCIAL</t>
  </si>
  <si>
    <t>i = 0,20</t>
  </si>
  <si>
    <t>4 trimestres</t>
  </si>
  <si>
    <t>tasa trimestral</t>
  </si>
  <si>
    <t>primer trimestre I=Cit</t>
  </si>
  <si>
    <t>I=100.000(0,05)(1)</t>
  </si>
  <si>
    <t>I=5.000</t>
  </si>
  <si>
    <t>2do trimestre I=(C+I)it</t>
  </si>
  <si>
    <t>VA</t>
  </si>
  <si>
    <t>TASA</t>
  </si>
  <si>
    <t>C</t>
  </si>
  <si>
    <t>i</t>
  </si>
  <si>
    <t>t</t>
  </si>
  <si>
    <t>manual</t>
  </si>
  <si>
    <t>trimestral</t>
  </si>
  <si>
    <t>capital</t>
  </si>
  <si>
    <t>intereses</t>
  </si>
  <si>
    <t>monto</t>
  </si>
  <si>
    <t>TOTAL</t>
  </si>
  <si>
    <t>Metodo 2</t>
  </si>
  <si>
    <t>INTERES</t>
  </si>
  <si>
    <t>Metodo 1</t>
  </si>
  <si>
    <t>Frecuencia de capitalizacion</t>
  </si>
  <si>
    <t>M = C(1+i)^n</t>
  </si>
  <si>
    <t>Ejercicio #1 ejemplo</t>
  </si>
  <si>
    <t>Monto interes simple compuesto</t>
  </si>
  <si>
    <t>M=C(1+ti)</t>
  </si>
  <si>
    <t>M=C(1+i)^n</t>
  </si>
  <si>
    <t>i=20%</t>
  </si>
  <si>
    <t>t=5 anios</t>
  </si>
  <si>
    <t>Ejercicio #1 (Interes simple)</t>
  </si>
  <si>
    <t>tasa</t>
  </si>
  <si>
    <t>VF</t>
  </si>
  <si>
    <t>INTERES SIMPLE</t>
  </si>
  <si>
    <t>CAPITAL</t>
  </si>
  <si>
    <t>MONTO</t>
  </si>
  <si>
    <t>Monto compuesto</t>
  </si>
  <si>
    <t>i = tasa de interes anual / frecuencia de conversion</t>
  </si>
  <si>
    <t>i = 0,18/12=1,5%</t>
  </si>
  <si>
    <t>n=2(12)=24</t>
  </si>
  <si>
    <t>M=</t>
  </si>
  <si>
    <t>(1+0,015)^24</t>
  </si>
  <si>
    <t>(1,015)^25</t>
  </si>
  <si>
    <t>=</t>
  </si>
  <si>
    <t>714.25</t>
  </si>
  <si>
    <t>EJERCICIO 1 (MONTO COMPUESTO)</t>
  </si>
  <si>
    <t xml:space="preserve">MONTO </t>
  </si>
  <si>
    <t>Metodo #2</t>
  </si>
  <si>
    <t>Monto</t>
  </si>
  <si>
    <t>Ejercicio #2</t>
  </si>
  <si>
    <t>Ejercicio #3</t>
  </si>
  <si>
    <t>Monto compuesto fraccionario</t>
  </si>
  <si>
    <t>i = 0,12 / 4</t>
  </si>
  <si>
    <t>7,5 / 3</t>
  </si>
  <si>
    <t>trimestres</t>
  </si>
  <si>
    <t>MONTO CON PERIODO FRACCIONARIO</t>
  </si>
  <si>
    <t>Ejercicio</t>
  </si>
  <si>
    <t>Tasa</t>
  </si>
  <si>
    <t>Trimestre</t>
  </si>
  <si>
    <t>4 trimestres tiene un anio</t>
  </si>
  <si>
    <t>Semestre</t>
  </si>
  <si>
    <t>VALOR ACTUAL Y VALOR PRESENTE</t>
  </si>
  <si>
    <t>M = 50000</t>
  </si>
  <si>
    <t>i = 0,20 / 2 = 10%</t>
  </si>
  <si>
    <t>n = 3*2 = 6 semestres</t>
  </si>
  <si>
    <t>1+0,10</t>
  </si>
  <si>
    <t>C = 50.000 / (1+0,10)^6</t>
  </si>
  <si>
    <t>C = 50.000 / (1,10) ^6</t>
  </si>
  <si>
    <t>EJRCICIO</t>
  </si>
  <si>
    <t>M</t>
  </si>
  <si>
    <t>SEMESTRE E UN ANIO</t>
  </si>
  <si>
    <t>Mensual</t>
  </si>
  <si>
    <t>EJERCICIO VALOR PRESENTE (Caso 2)</t>
  </si>
  <si>
    <t>MENSUAL EN ANIO</t>
  </si>
  <si>
    <t>PRIMA</t>
  </si>
  <si>
    <t>PRECIO</t>
  </si>
  <si>
    <t>EJERCICIO #2</t>
  </si>
  <si>
    <t>VAP CASO 3</t>
  </si>
  <si>
    <t>C = 80000/(1+0,25)^2</t>
  </si>
  <si>
    <t>C = 51200</t>
  </si>
  <si>
    <t>Valor de inversion 50000</t>
  </si>
  <si>
    <t>valor presente del flujo  51200</t>
  </si>
  <si>
    <t>de inversion</t>
  </si>
  <si>
    <t xml:space="preserve">utilidad   </t>
  </si>
  <si>
    <t>Capital</t>
  </si>
  <si>
    <t>Valor presente de la inversion</t>
  </si>
  <si>
    <t>valor de la inversion planeada</t>
  </si>
  <si>
    <t>Utilidad de la inversion</t>
  </si>
  <si>
    <t>si conviene hacer la inversion</t>
  </si>
  <si>
    <t>EJERCICIO 1</t>
  </si>
  <si>
    <t>Valor de inversion</t>
  </si>
  <si>
    <t>Perdida de la inversion</t>
  </si>
  <si>
    <t>No conviene hacer la inversion</t>
  </si>
  <si>
    <t>Utilidad de inversion</t>
  </si>
  <si>
    <t>NO Es conveniente hacer la inversion</t>
  </si>
  <si>
    <t>Es conveniente hacer inversion</t>
  </si>
  <si>
    <t>prueba 1</t>
  </si>
  <si>
    <t xml:space="preserve">         </t>
  </si>
  <si>
    <t>TIEMPO</t>
  </si>
  <si>
    <t>Log factor</t>
  </si>
  <si>
    <t>log (1+i)</t>
  </si>
  <si>
    <t>n</t>
  </si>
  <si>
    <t>23,95 meses</t>
  </si>
  <si>
    <t>?</t>
  </si>
  <si>
    <t>respuesta numerica en examen</t>
  </si>
  <si>
    <t>EJERCICIO 1 (Inciso 2)</t>
  </si>
  <si>
    <t>EJERCICIO 2</t>
  </si>
  <si>
    <t>EJERCICIO 3</t>
  </si>
  <si>
    <t>EJERCICIO REPASO</t>
  </si>
  <si>
    <t>EJERCICIO 4</t>
  </si>
  <si>
    <t>EJERCICIO 5</t>
  </si>
  <si>
    <t>EJERCICIO 6</t>
  </si>
  <si>
    <t>EJERCICIO 7</t>
  </si>
  <si>
    <t>EJERCICIO 8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</si>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</sst>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HNL]\ * #,##0.00_-;\-[$HNL]\ * #,##0.00_-;_-[$HNL]\ * &quot;-&quot;??_-;_-@_-"/>
    <numFmt numFmtId="165" formatCode="_-&quot;$&quot;\ * #,##0_-;\-&quot;$&quot;\ * #,##0_-;_-&quot;$&quot;\ * &quot;-&quot;??_-;_-@_-"/>
    <numFmt numFmtId="166" formatCode="0.000"/>
    <numFmt numFmtId="167" formatCode="_-[$HNL]\ * #,##0.000_-;\-[$HNL]\ * #,##0.000_-;_-[$HNL]\ * &quot;-&quot;???_-;_-@_-"/>
    <numFmt numFmtId="168" formatCode="_-* #,##0.00\ [$HNL]_-;\-* #,##0.00\ [$HNL]_-;_-* &quot;-&quot;??\ [$HNL]_-;_-@_-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Bauhaus 93"/>
      <family val="5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9" fontId="0" fillId="0" borderId="0" xfId="1" applyFont="1" applyBorder="1"/>
    <xf numFmtId="0" fontId="0" fillId="0" borderId="6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164" fontId="0" fillId="0" borderId="20" xfId="0" applyNumberFormat="1" applyBorder="1"/>
    <xf numFmtId="0" fontId="0" fillId="0" borderId="20" xfId="0" applyBorder="1"/>
    <xf numFmtId="0" fontId="0" fillId="0" borderId="0" xfId="0" applyAlignment="1"/>
    <xf numFmtId="0" fontId="0" fillId="0" borderId="21" xfId="0" applyBorder="1"/>
    <xf numFmtId="164" fontId="0" fillId="0" borderId="24" xfId="0" applyNumberFormat="1" applyBorder="1"/>
    <xf numFmtId="9" fontId="0" fillId="0" borderId="25" xfId="0" applyNumberForma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4" borderId="28" xfId="0" applyFill="1" applyBorder="1"/>
    <xf numFmtId="0" fontId="0" fillId="4" borderId="2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33" xfId="0" applyFill="1" applyBorder="1"/>
    <xf numFmtId="0" fontId="0" fillId="4" borderId="30" xfId="0" applyFill="1" applyBorder="1"/>
    <xf numFmtId="0" fontId="0" fillId="4" borderId="34" xfId="0" applyFill="1" applyBorder="1"/>
    <xf numFmtId="0" fontId="0" fillId="4" borderId="31" xfId="0" applyFill="1" applyBorder="1"/>
    <xf numFmtId="44" fontId="0" fillId="0" borderId="0" xfId="2" applyFont="1"/>
    <xf numFmtId="9" fontId="0" fillId="0" borderId="0" xfId="0" applyNumberFormat="1"/>
    <xf numFmtId="0" fontId="0" fillId="0" borderId="7" xfId="0" applyBorder="1"/>
    <xf numFmtId="0" fontId="0" fillId="0" borderId="35" xfId="0" applyBorder="1"/>
    <xf numFmtId="0" fontId="0" fillId="0" borderId="36" xfId="0" applyBorder="1"/>
    <xf numFmtId="8" fontId="0" fillId="0" borderId="37" xfId="0" applyNumberFormat="1" applyBorder="1"/>
    <xf numFmtId="44" fontId="0" fillId="0" borderId="0" xfId="0" applyNumberFormat="1"/>
    <xf numFmtId="165" fontId="0" fillId="0" borderId="0" xfId="0" applyNumberFormat="1"/>
    <xf numFmtId="9" fontId="0" fillId="0" borderId="5" xfId="0" applyNumberFormat="1" applyBorder="1"/>
    <xf numFmtId="0" fontId="0" fillId="0" borderId="8" xfId="0" applyBorder="1"/>
    <xf numFmtId="167" fontId="0" fillId="0" borderId="7" xfId="0" applyNumberFormat="1" applyBorder="1"/>
    <xf numFmtId="0" fontId="0" fillId="0" borderId="39" xfId="0" applyBorder="1"/>
    <xf numFmtId="0" fontId="0" fillId="0" borderId="40" xfId="0" applyBorder="1"/>
    <xf numFmtId="164" fontId="0" fillId="0" borderId="42" xfId="0" applyNumberFormat="1" applyBorder="1"/>
    <xf numFmtId="166" fontId="0" fillId="0" borderId="43" xfId="0" applyNumberFormat="1" applyBorder="1"/>
    <xf numFmtId="9" fontId="0" fillId="0" borderId="44" xfId="0" applyNumberFormat="1" applyBorder="1"/>
    <xf numFmtId="0" fontId="0" fillId="0" borderId="45" xfId="0" applyBorder="1"/>
    <xf numFmtId="164" fontId="0" fillId="0" borderId="41" xfId="0" applyNumberFormat="1" applyBorder="1"/>
    <xf numFmtId="0" fontId="0" fillId="0" borderId="46" xfId="0" applyBorder="1"/>
    <xf numFmtId="0" fontId="0" fillId="0" borderId="47" xfId="0" applyBorder="1"/>
    <xf numFmtId="166" fontId="0" fillId="0" borderId="24" xfId="0" applyNumberFormat="1" applyBorder="1"/>
    <xf numFmtId="0" fontId="0" fillId="0" borderId="48" xfId="0" applyBorder="1"/>
    <xf numFmtId="0" fontId="0" fillId="5" borderId="4" xfId="0" applyFill="1" applyBorder="1"/>
    <xf numFmtId="0" fontId="0" fillId="5" borderId="49" xfId="0" applyFill="1" applyBorder="1"/>
    <xf numFmtId="0" fontId="0" fillId="5" borderId="51" xfId="0" applyFill="1" applyBorder="1"/>
    <xf numFmtId="0" fontId="0" fillId="5" borderId="52" xfId="0" applyFill="1" applyBorder="1"/>
    <xf numFmtId="0" fontId="0" fillId="5" borderId="38" xfId="0" applyFill="1" applyBorder="1"/>
    <xf numFmtId="0" fontId="0" fillId="5" borderId="50" xfId="0" applyFill="1" applyBorder="1"/>
    <xf numFmtId="0" fontId="0" fillId="6" borderId="53" xfId="0" applyFill="1" applyBorder="1"/>
    <xf numFmtId="0" fontId="0" fillId="6" borderId="54" xfId="0" applyFill="1" applyBorder="1"/>
    <xf numFmtId="0" fontId="0" fillId="6" borderId="37" xfId="0" applyFill="1" applyBorder="1"/>
    <xf numFmtId="0" fontId="0" fillId="4" borderId="6" xfId="0" applyFill="1" applyBorder="1"/>
    <xf numFmtId="0" fontId="0" fillId="4" borderId="38" xfId="0" applyFill="1" applyBorder="1"/>
    <xf numFmtId="0" fontId="0" fillId="4" borderId="5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9" fontId="0" fillId="0" borderId="33" xfId="0" applyNumberFormat="1" applyBorder="1"/>
    <xf numFmtId="164" fontId="0" fillId="0" borderId="24" xfId="2" applyNumberFormat="1" applyFont="1" applyBorder="1"/>
    <xf numFmtId="0" fontId="0" fillId="0" borderId="25" xfId="0" applyBorder="1"/>
    <xf numFmtId="164" fontId="0" fillId="0" borderId="33" xfId="2" applyNumberFormat="1" applyFont="1" applyBorder="1"/>
    <xf numFmtId="0" fontId="0" fillId="0" borderId="60" xfId="0" applyBorder="1"/>
    <xf numFmtId="0" fontId="0" fillId="7" borderId="57" xfId="0" applyFill="1" applyBorder="1"/>
    <xf numFmtId="0" fontId="0" fillId="7" borderId="33" xfId="0" applyFill="1" applyBorder="1"/>
    <xf numFmtId="0" fontId="0" fillId="7" borderId="12" xfId="0" applyFill="1" applyBorder="1"/>
    <xf numFmtId="0" fontId="0" fillId="7" borderId="13" xfId="0" applyFill="1" applyBorder="1"/>
    <xf numFmtId="0" fontId="0" fillId="6" borderId="56" xfId="0" applyFill="1" applyBorder="1"/>
    <xf numFmtId="0" fontId="0" fillId="6" borderId="13" xfId="0" applyFill="1" applyBorder="1"/>
    <xf numFmtId="0" fontId="0" fillId="6" borderId="33" xfId="0" applyFill="1" applyBorder="1"/>
    <xf numFmtId="0" fontId="0" fillId="6" borderId="57" xfId="0" applyFill="1" applyBorder="1"/>
    <xf numFmtId="0" fontId="0" fillId="6" borderId="12" xfId="0" applyFill="1" applyBorder="1"/>
    <xf numFmtId="0" fontId="0" fillId="0" borderId="61" xfId="0" applyBorder="1"/>
    <xf numFmtId="0" fontId="0" fillId="0" borderId="33" xfId="0" applyBorder="1"/>
    <xf numFmtId="168" fontId="0" fillId="0" borderId="43" xfId="0" applyNumberFormat="1" applyBorder="1"/>
    <xf numFmtId="9" fontId="0" fillId="0" borderId="43" xfId="1" applyFont="1" applyBorder="1"/>
    <xf numFmtId="168" fontId="0" fillId="0" borderId="25" xfId="0" applyNumberFormat="1" applyBorder="1"/>
    <xf numFmtId="0" fontId="0" fillId="0" borderId="62" xfId="0" applyBorder="1"/>
    <xf numFmtId="0" fontId="0" fillId="0" borderId="22" xfId="0" applyBorder="1"/>
    <xf numFmtId="0" fontId="0" fillId="0" borderId="30" xfId="0" applyBorder="1"/>
    <xf numFmtId="0" fontId="0" fillId="0" borderId="63" xfId="0" applyBorder="1"/>
    <xf numFmtId="0" fontId="0" fillId="7" borderId="62" xfId="0" applyFill="1" applyBorder="1"/>
    <xf numFmtId="0" fontId="0" fillId="7" borderId="63" xfId="0" applyFill="1" applyBorder="1"/>
    <xf numFmtId="0" fontId="0" fillId="7" borderId="30" xfId="0" applyFill="1" applyBorder="1"/>
    <xf numFmtId="0" fontId="0" fillId="7" borderId="0" xfId="0" applyFill="1" applyBorder="1"/>
    <xf numFmtId="0" fontId="0" fillId="7" borderId="26" xfId="0" applyFill="1" applyBorder="1"/>
    <xf numFmtId="0" fontId="0" fillId="7" borderId="22" xfId="0" applyFill="1" applyBorder="1"/>
    <xf numFmtId="168" fontId="0" fillId="0" borderId="13" xfId="2" applyNumberFormat="1" applyFont="1" applyBorder="1"/>
    <xf numFmtId="168" fontId="0" fillId="0" borderId="33" xfId="2" applyNumberFormat="1" applyFont="1" applyBorder="1"/>
    <xf numFmtId="0" fontId="0" fillId="0" borderId="65" xfId="0" applyBorder="1"/>
    <xf numFmtId="0" fontId="0" fillId="4" borderId="0" xfId="0" applyFill="1" applyBorder="1"/>
    <xf numFmtId="0" fontId="0" fillId="4" borderId="64" xfId="0" applyFill="1" applyBorder="1"/>
    <xf numFmtId="0" fontId="0" fillId="4" borderId="43" xfId="0" applyFill="1" applyBorder="1"/>
    <xf numFmtId="0" fontId="0" fillId="4" borderId="25" xfId="0" applyFill="1" applyBorder="1"/>
    <xf numFmtId="0" fontId="0" fillId="4" borderId="63" xfId="0" applyFill="1" applyBorder="1"/>
    <xf numFmtId="0" fontId="0" fillId="4" borderId="62" xfId="0" applyFill="1" applyBorder="1"/>
    <xf numFmtId="0" fontId="0" fillId="4" borderId="29" xfId="0" applyFill="1" applyBorder="1"/>
    <xf numFmtId="0" fontId="0" fillId="4" borderId="26" xfId="0" applyFill="1" applyBorder="1"/>
    <xf numFmtId="0" fontId="0" fillId="4" borderId="24" xfId="0" applyFill="1" applyBorder="1"/>
    <xf numFmtId="168" fontId="0" fillId="0" borderId="22" xfId="2" applyNumberFormat="1" applyFont="1" applyBorder="1"/>
    <xf numFmtId="0" fontId="0" fillId="8" borderId="0" xfId="0" applyFill="1" applyBorder="1"/>
    <xf numFmtId="0" fontId="0" fillId="8" borderId="64" xfId="0" applyFill="1" applyBorder="1"/>
    <xf numFmtId="0" fontId="0" fillId="8" borderId="43" xfId="0" applyFill="1" applyBorder="1"/>
    <xf numFmtId="0" fontId="0" fillId="8" borderId="12" xfId="0" applyFill="1" applyBorder="1"/>
    <xf numFmtId="0" fontId="0" fillId="8" borderId="25" xfId="0" applyFill="1" applyBorder="1"/>
    <xf numFmtId="0" fontId="0" fillId="8" borderId="29" xfId="0" applyFill="1" applyBorder="1"/>
    <xf numFmtId="0" fontId="0" fillId="8" borderId="26" xfId="0" applyFill="1" applyBorder="1"/>
    <xf numFmtId="0" fontId="0" fillId="8" borderId="24" xfId="0" applyFill="1" applyBorder="1"/>
    <xf numFmtId="0" fontId="0" fillId="8" borderId="63" xfId="0" applyFill="1" applyBorder="1"/>
    <xf numFmtId="0" fontId="0" fillId="8" borderId="62" xfId="0" applyFill="1" applyBorder="1"/>
    <xf numFmtId="0" fontId="0" fillId="8" borderId="13" xfId="0" applyFill="1" applyBorder="1"/>
    <xf numFmtId="0" fontId="0" fillId="0" borderId="13" xfId="0" applyFill="1" applyBorder="1"/>
    <xf numFmtId="0" fontId="0" fillId="0" borderId="62" xfId="0" applyFill="1" applyBorder="1"/>
    <xf numFmtId="169" fontId="0" fillId="0" borderId="24" xfId="1" applyNumberFormat="1" applyFont="1" applyBorder="1"/>
    <xf numFmtId="0" fontId="0" fillId="0" borderId="2" xfId="0" applyBorder="1"/>
    <xf numFmtId="9" fontId="0" fillId="0" borderId="0" xfId="0" applyNumberFormat="1" applyBorder="1"/>
    <xf numFmtId="8" fontId="0" fillId="0" borderId="0" xfId="0" applyNumberFormat="1" applyBorder="1"/>
    <xf numFmtId="0" fontId="0" fillId="0" borderId="66" xfId="0" applyBorder="1"/>
    <xf numFmtId="0" fontId="0" fillId="0" borderId="68" xfId="0" applyBorder="1"/>
    <xf numFmtId="8" fontId="0" fillId="0" borderId="35" xfId="0" applyNumberFormat="1" applyBorder="1"/>
    <xf numFmtId="44" fontId="0" fillId="0" borderId="35" xfId="2" applyFont="1" applyBorder="1"/>
    <xf numFmtId="0" fontId="0" fillId="3" borderId="0" xfId="0" applyFill="1"/>
    <xf numFmtId="0" fontId="0" fillId="3" borderId="67" xfId="0" applyFill="1" applyBorder="1"/>
    <xf numFmtId="0" fontId="0" fillId="3" borderId="6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6" xfId="0" applyFill="1" applyBorder="1"/>
    <xf numFmtId="0" fontId="0" fillId="3" borderId="35" xfId="0" applyFill="1" applyBorder="1"/>
    <xf numFmtId="0" fontId="0" fillId="3" borderId="37" xfId="0" applyFill="1" applyBorder="1"/>
    <xf numFmtId="0" fontId="0" fillId="3" borderId="7" xfId="0" applyFill="1" applyBorder="1"/>
    <xf numFmtId="0" fontId="0" fillId="0" borderId="69" xfId="0" applyBorder="1"/>
    <xf numFmtId="44" fontId="0" fillId="0" borderId="70" xfId="2" applyFont="1" applyBorder="1"/>
    <xf numFmtId="0" fontId="0" fillId="0" borderId="16" xfId="0" applyBorder="1"/>
    <xf numFmtId="9" fontId="0" fillId="0" borderId="71" xfId="0" applyNumberFormat="1" applyBorder="1"/>
    <xf numFmtId="0" fontId="0" fillId="0" borderId="72" xfId="0" applyBorder="1"/>
    <xf numFmtId="0" fontId="0" fillId="0" borderId="55" xfId="0" applyBorder="1"/>
    <xf numFmtId="8" fontId="0" fillId="0" borderId="16" xfId="0" applyNumberFormat="1" applyBorder="1"/>
    <xf numFmtId="0" fontId="0" fillId="0" borderId="38" xfId="0" applyBorder="1"/>
    <xf numFmtId="0" fontId="0" fillId="0" borderId="32" xfId="0" applyBorder="1"/>
    <xf numFmtId="0" fontId="0" fillId="0" borderId="23" xfId="0" applyBorder="1"/>
    <xf numFmtId="0" fontId="0" fillId="0" borderId="56" xfId="0" applyBorder="1"/>
    <xf numFmtId="164" fontId="0" fillId="0" borderId="57" xfId="0" applyNumberFormat="1" applyBorder="1"/>
    <xf numFmtId="9" fontId="0" fillId="0" borderId="57" xfId="0" applyNumberFormat="1" applyBorder="1"/>
    <xf numFmtId="164" fontId="0" fillId="0" borderId="13" xfId="0" applyNumberFormat="1" applyBorder="1"/>
    <xf numFmtId="164" fontId="0" fillId="0" borderId="33" xfId="0" applyNumberFormat="1" applyBorder="1"/>
    <xf numFmtId="0" fontId="0" fillId="0" borderId="27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6" borderId="76" xfId="0" applyFill="1" applyBorder="1"/>
    <xf numFmtId="0" fontId="0" fillId="6" borderId="75" xfId="0" applyFill="1" applyBorder="1"/>
    <xf numFmtId="8" fontId="0" fillId="0" borderId="43" xfId="0" applyNumberFormat="1" applyBorder="1"/>
    <xf numFmtId="44" fontId="0" fillId="0" borderId="57" xfId="2" applyFont="1" applyBorder="1"/>
    <xf numFmtId="44" fontId="0" fillId="0" borderId="79" xfId="2" applyFont="1" applyBorder="1"/>
    <xf numFmtId="44" fontId="0" fillId="0" borderId="64" xfId="2" applyFont="1" applyBorder="1"/>
    <xf numFmtId="9" fontId="0" fillId="0" borderId="43" xfId="0" applyNumberFormat="1" applyBorder="1"/>
    <xf numFmtId="0" fontId="0" fillId="0" borderId="43" xfId="0" applyBorder="1"/>
    <xf numFmtId="8" fontId="0" fillId="0" borderId="28" xfId="0" applyNumberFormat="1" applyBorder="1"/>
    <xf numFmtId="44" fontId="0" fillId="0" borderId="22" xfId="0" applyNumberFormat="1" applyBorder="1"/>
    <xf numFmtId="0" fontId="0" fillId="6" borderId="23" xfId="0" applyFill="1" applyBorder="1"/>
    <xf numFmtId="0" fontId="0" fillId="6" borderId="21" xfId="0" applyFill="1" applyBorder="1"/>
    <xf numFmtId="0" fontId="0" fillId="6" borderId="26" xfId="0" applyFill="1" applyBorder="1"/>
    <xf numFmtId="0" fontId="0" fillId="6" borderId="22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8" xfId="0" applyFill="1" applyBorder="1"/>
    <xf numFmtId="0" fontId="0" fillId="6" borderId="78" xfId="0" applyFill="1" applyBorder="1"/>
    <xf numFmtId="0" fontId="0" fillId="6" borderId="9" xfId="0" applyFill="1" applyBorder="1"/>
    <xf numFmtId="0" fontId="0" fillId="6" borderId="41" xfId="0" applyFill="1" applyBorder="1"/>
    <xf numFmtId="0" fontId="0" fillId="4" borderId="23" xfId="0" applyFill="1" applyBorder="1"/>
    <xf numFmtId="0" fontId="0" fillId="4" borderId="57" xfId="0" applyFill="1" applyBorder="1"/>
    <xf numFmtId="0" fontId="0" fillId="0" borderId="81" xfId="0" applyBorder="1"/>
    <xf numFmtId="0" fontId="0" fillId="0" borderId="64" xfId="0" applyBorder="1"/>
    <xf numFmtId="164" fontId="0" fillId="0" borderId="43" xfId="0" applyNumberFormat="1" applyBorder="1"/>
    <xf numFmtId="49" fontId="0" fillId="0" borderId="0" xfId="0" applyNumberFormat="1"/>
    <xf numFmtId="44" fontId="0" fillId="0" borderId="5" xfId="2" applyFont="1" applyBorder="1"/>
    <xf numFmtId="0" fontId="0" fillId="0" borderId="83" xfId="0" applyBorder="1"/>
    <xf numFmtId="44" fontId="0" fillId="0" borderId="71" xfId="2" applyFont="1" applyBorder="1"/>
    <xf numFmtId="9" fontId="0" fillId="0" borderId="71" xfId="1" applyFont="1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21" xfId="0" applyFill="1" applyBorder="1"/>
    <xf numFmtId="2" fontId="0" fillId="0" borderId="88" xfId="0" applyNumberFormat="1" applyBorder="1"/>
    <xf numFmtId="0" fontId="0" fillId="7" borderId="87" xfId="0" applyFill="1" applyBorder="1"/>
    <xf numFmtId="0" fontId="0" fillId="7" borderId="86" xfId="0" applyFill="1" applyBorder="1"/>
    <xf numFmtId="1" fontId="0" fillId="0" borderId="88" xfId="0" applyNumberFormat="1" applyBorder="1"/>
    <xf numFmtId="0" fontId="0" fillId="4" borderId="87" xfId="0" applyFill="1" applyBorder="1"/>
    <xf numFmtId="0" fontId="0" fillId="4" borderId="86" xfId="0" applyFill="1" applyBorder="1"/>
    <xf numFmtId="0" fontId="0" fillId="4" borderId="7" xfId="0" applyFill="1" applyBorder="1"/>
    <xf numFmtId="0" fontId="0" fillId="4" borderId="8" xfId="0" applyFill="1" applyBorder="1"/>
    <xf numFmtId="164" fontId="0" fillId="0" borderId="71" xfId="2" applyNumberFormat="1" applyFont="1" applyBorder="1"/>
    <xf numFmtId="2" fontId="0" fillId="0" borderId="71" xfId="1" applyNumberFormat="1" applyFont="1" applyBorder="1"/>
    <xf numFmtId="0" fontId="0" fillId="6" borderId="6" xfId="0" applyFill="1" applyBorder="1"/>
    <xf numFmtId="0" fontId="0" fillId="6" borderId="8" xfId="0" applyFill="1" applyBorder="1"/>
    <xf numFmtId="0" fontId="0" fillId="6" borderId="87" xfId="0" applyFill="1" applyBorder="1"/>
    <xf numFmtId="0" fontId="0" fillId="6" borderId="86" xfId="0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87" xfId="0" applyFill="1" applyBorder="1"/>
    <xf numFmtId="0" fontId="0" fillId="8" borderId="86" xfId="0" applyFill="1" applyBorder="1"/>
    <xf numFmtId="0" fontId="0" fillId="2" borderId="87" xfId="0" applyFill="1" applyBorder="1"/>
    <xf numFmtId="0" fontId="0" fillId="2" borderId="86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87" xfId="0" applyFill="1" applyBorder="1"/>
    <xf numFmtId="0" fontId="0" fillId="9" borderId="86" xfId="0" applyFill="1" applyBorder="1"/>
    <xf numFmtId="0" fontId="0" fillId="10" borderId="87" xfId="0" applyFill="1" applyBorder="1"/>
    <xf numFmtId="0" fontId="0" fillId="10" borderId="86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87" xfId="0" applyFill="1" applyBorder="1"/>
    <xf numFmtId="0" fontId="0" fillId="11" borderId="86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87" xfId="0" applyFill="1" applyBorder="1"/>
    <xf numFmtId="0" fontId="0" fillId="12" borderId="86" xfId="0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3A8C-8A52-4B82-AC1A-730BABD4407E}">
  <dimension ref="B1:J13"/>
  <sheetViews>
    <sheetView workbookViewId="0">
      <selection activeCell="C17" sqref="C17"/>
    </sheetView>
  </sheetViews>
  <sheetFormatPr baseColWidth="10" defaultRowHeight="14.4" x14ac:dyDescent="0.3"/>
  <sheetData>
    <row r="1" spans="2:10" ht="31.2" x14ac:dyDescent="0.7">
      <c r="F1" s="229" t="s">
        <v>0</v>
      </c>
      <c r="G1" s="229"/>
      <c r="H1" s="229"/>
      <c r="I1" s="229"/>
    </row>
    <row r="2" spans="2:10" ht="46.2" x14ac:dyDescent="0.85">
      <c r="E2" s="228" t="s">
        <v>1</v>
      </c>
      <c r="F2" s="228"/>
      <c r="G2" s="228"/>
      <c r="H2" s="228"/>
      <c r="I2" s="228"/>
      <c r="J2" s="228"/>
    </row>
    <row r="4" spans="2:10" x14ac:dyDescent="0.3">
      <c r="C4" t="s">
        <v>2</v>
      </c>
    </row>
    <row r="5" spans="2:10" x14ac:dyDescent="0.3">
      <c r="C5" t="s">
        <v>3</v>
      </c>
    </row>
    <row r="7" spans="2:10" x14ac:dyDescent="0.3">
      <c r="C7">
        <f>0.2/4</f>
        <v>0.05</v>
      </c>
      <c r="D7" t="s">
        <v>4</v>
      </c>
    </row>
    <row r="10" spans="2:10" x14ac:dyDescent="0.3">
      <c r="B10" t="s">
        <v>5</v>
      </c>
    </row>
    <row r="11" spans="2:10" x14ac:dyDescent="0.3">
      <c r="C11" t="s">
        <v>6</v>
      </c>
    </row>
    <row r="12" spans="2:10" x14ac:dyDescent="0.3">
      <c r="C12" t="s">
        <v>7</v>
      </c>
    </row>
    <row r="13" spans="2:10" x14ac:dyDescent="0.3">
      <c r="B13" t="s">
        <v>8</v>
      </c>
    </row>
  </sheetData>
  <mergeCells count="2">
    <mergeCell ref="E2:J2"/>
    <mergeCell ref="F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A99B-4E1B-4C77-A755-BDB2936D7FEE}">
  <dimension ref="C2:H15"/>
  <sheetViews>
    <sheetView workbookViewId="0">
      <selection activeCell="E7" sqref="E7"/>
    </sheetView>
  </sheetViews>
  <sheetFormatPr baseColWidth="10" defaultRowHeight="14.4" x14ac:dyDescent="0.3"/>
  <cols>
    <col min="5" max="5" width="14.21875" bestFit="1" customWidth="1"/>
  </cols>
  <sheetData>
    <row r="2" spans="3:8" x14ac:dyDescent="0.3">
      <c r="C2" s="231" t="s">
        <v>56</v>
      </c>
      <c r="D2" s="232"/>
      <c r="E2" s="232"/>
      <c r="F2" s="233"/>
    </row>
    <row r="3" spans="3:8" x14ac:dyDescent="0.3">
      <c r="C3" s="95"/>
      <c r="D3" s="96"/>
      <c r="E3" s="96"/>
      <c r="F3" s="94"/>
    </row>
    <row r="4" spans="3:8" x14ac:dyDescent="0.3">
      <c r="C4" s="34" t="s">
        <v>57</v>
      </c>
      <c r="D4" s="115"/>
      <c r="E4" s="116"/>
      <c r="F4" s="93"/>
    </row>
    <row r="5" spans="3:8" x14ac:dyDescent="0.3">
      <c r="C5" s="109" t="s">
        <v>9</v>
      </c>
      <c r="D5" s="4" t="s">
        <v>11</v>
      </c>
      <c r="E5" s="104">
        <v>15000</v>
      </c>
      <c r="F5" s="93"/>
    </row>
    <row r="6" spans="3:8" x14ac:dyDescent="0.3">
      <c r="C6" s="110" t="s">
        <v>58</v>
      </c>
      <c r="D6" s="4" t="s">
        <v>12</v>
      </c>
      <c r="E6" s="105">
        <f>12%/4</f>
        <v>0.03</v>
      </c>
      <c r="F6" s="111"/>
    </row>
    <row r="7" spans="3:8" x14ac:dyDescent="0.3">
      <c r="C7" s="107"/>
      <c r="D7" s="22" t="s">
        <v>13</v>
      </c>
      <c r="E7" s="90">
        <f>7.5/3</f>
        <v>2.5</v>
      </c>
      <c r="F7" s="107" t="s">
        <v>59</v>
      </c>
    </row>
    <row r="8" spans="3:8" x14ac:dyDescent="0.3">
      <c r="C8" s="112"/>
      <c r="D8" s="114"/>
      <c r="E8" s="93"/>
      <c r="F8" s="113"/>
    </row>
    <row r="9" spans="3:8" x14ac:dyDescent="0.3">
      <c r="C9" s="111"/>
      <c r="D9" s="22" t="s">
        <v>49</v>
      </c>
      <c r="E9" s="106">
        <f>FV(E6,E7,,-E5)</f>
        <v>16150.438592109504</v>
      </c>
      <c r="F9" s="111"/>
    </row>
    <row r="12" spans="3:8" x14ac:dyDescent="0.3">
      <c r="C12" t="s">
        <v>60</v>
      </c>
    </row>
    <row r="13" spans="3:8" x14ac:dyDescent="0.3">
      <c r="H13" s="102"/>
    </row>
    <row r="15" spans="3:8" x14ac:dyDescent="0.3">
      <c r="F15" s="22"/>
    </row>
  </sheetData>
  <mergeCells count="1">
    <mergeCell ref="C2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DB8C-A589-4005-9503-9E788B2F938B}">
  <dimension ref="B2:E11"/>
  <sheetViews>
    <sheetView workbookViewId="0">
      <selection activeCell="D8" sqref="D8"/>
    </sheetView>
  </sheetViews>
  <sheetFormatPr baseColWidth="10" defaultRowHeight="14.4" x14ac:dyDescent="0.3"/>
  <cols>
    <col min="4" max="4" width="18.33203125" customWidth="1"/>
  </cols>
  <sheetData>
    <row r="2" spans="2:5" x14ac:dyDescent="0.3">
      <c r="C2" s="234" t="s">
        <v>50</v>
      </c>
      <c r="D2" s="234"/>
      <c r="E2" s="234"/>
    </row>
    <row r="4" spans="2:5" x14ac:dyDescent="0.3">
      <c r="B4" s="231" t="s">
        <v>56</v>
      </c>
      <c r="C4" s="232"/>
      <c r="D4" s="232"/>
      <c r="E4" s="233"/>
    </row>
    <row r="5" spans="2:5" x14ac:dyDescent="0.3">
      <c r="B5" s="95"/>
      <c r="C5" s="96"/>
      <c r="D5" s="96"/>
      <c r="E5" s="94"/>
    </row>
    <row r="6" spans="2:5" x14ac:dyDescent="0.3">
      <c r="B6" s="34" t="s">
        <v>57</v>
      </c>
      <c r="C6" s="115"/>
      <c r="D6" s="116"/>
      <c r="E6" s="93"/>
    </row>
    <row r="7" spans="2:5" x14ac:dyDescent="0.3">
      <c r="B7" s="109" t="s">
        <v>9</v>
      </c>
      <c r="C7" s="4" t="s">
        <v>11</v>
      </c>
      <c r="D7" s="104">
        <v>150000</v>
      </c>
      <c r="E7" s="93"/>
    </row>
    <row r="8" spans="2:5" x14ac:dyDescent="0.3">
      <c r="B8" s="110" t="s">
        <v>58</v>
      </c>
      <c r="C8" s="4" t="s">
        <v>12</v>
      </c>
      <c r="D8" s="105">
        <f>20%/2</f>
        <v>0.1</v>
      </c>
      <c r="E8" s="111"/>
    </row>
    <row r="9" spans="2:5" x14ac:dyDescent="0.3">
      <c r="B9" s="107"/>
      <c r="C9" s="22" t="s">
        <v>13</v>
      </c>
      <c r="D9" s="90">
        <f>15/6</f>
        <v>2.5</v>
      </c>
      <c r="E9" s="107" t="s">
        <v>61</v>
      </c>
    </row>
    <row r="10" spans="2:5" x14ac:dyDescent="0.3">
      <c r="B10" s="112"/>
      <c r="C10" s="114"/>
      <c r="D10" s="93"/>
      <c r="E10" s="113"/>
    </row>
    <row r="11" spans="2:5" x14ac:dyDescent="0.3">
      <c r="B11" s="111"/>
      <c r="C11" s="22" t="s">
        <v>49</v>
      </c>
      <c r="D11" s="106">
        <f>FV(D8,D9,,-D7)</f>
        <v>190358.80594288252</v>
      </c>
      <c r="E11" s="111"/>
    </row>
  </sheetData>
  <mergeCells count="2">
    <mergeCell ref="C2:E2"/>
    <mergeCell ref="B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047D-86EA-4C86-AF08-073A039AF874}">
  <dimension ref="B2:E9"/>
  <sheetViews>
    <sheetView workbookViewId="0">
      <selection activeCell="E21" sqref="E21"/>
    </sheetView>
  </sheetViews>
  <sheetFormatPr baseColWidth="10" defaultRowHeight="14.4" x14ac:dyDescent="0.3"/>
  <sheetData>
    <row r="2" spans="2:5" x14ac:dyDescent="0.3">
      <c r="C2" s="234" t="s">
        <v>62</v>
      </c>
      <c r="D2" s="234"/>
      <c r="E2" s="234"/>
    </row>
    <row r="3" spans="2:5" x14ac:dyDescent="0.3">
      <c r="C3" s="234"/>
      <c r="D3" s="234"/>
      <c r="E3" s="234"/>
    </row>
    <row r="4" spans="2:5" x14ac:dyDescent="0.3">
      <c r="C4" t="s">
        <v>63</v>
      </c>
    </row>
    <row r="5" spans="2:5" x14ac:dyDescent="0.3">
      <c r="C5" t="s">
        <v>64</v>
      </c>
    </row>
    <row r="6" spans="2:5" x14ac:dyDescent="0.3">
      <c r="C6" t="s">
        <v>65</v>
      </c>
    </row>
    <row r="8" spans="2:5" x14ac:dyDescent="0.3">
      <c r="B8" t="s">
        <v>66</v>
      </c>
      <c r="C8" t="s">
        <v>67</v>
      </c>
    </row>
    <row r="9" spans="2:5" x14ac:dyDescent="0.3">
      <c r="B9">
        <v>1.1000000000000001</v>
      </c>
      <c r="C9" t="s">
        <v>68</v>
      </c>
    </row>
  </sheetData>
  <mergeCells count="2">
    <mergeCell ref="C2:E2"/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D3B2-2D86-433F-AE02-58013C6AF03A}">
  <dimension ref="C2:G8"/>
  <sheetViews>
    <sheetView workbookViewId="0">
      <selection activeCell="E20" sqref="E20"/>
    </sheetView>
  </sheetViews>
  <sheetFormatPr baseColWidth="10" defaultRowHeight="14.4" x14ac:dyDescent="0.3"/>
  <cols>
    <col min="5" max="5" width="14.21875" bestFit="1" customWidth="1"/>
    <col min="6" max="6" width="14.21875" customWidth="1"/>
  </cols>
  <sheetData>
    <row r="2" spans="3:7" x14ac:dyDescent="0.3">
      <c r="C2" s="239" t="s">
        <v>69</v>
      </c>
      <c r="D2" s="240"/>
      <c r="E2" s="240"/>
      <c r="F2" s="240"/>
      <c r="G2" s="241"/>
    </row>
    <row r="3" spans="3:7" x14ac:dyDescent="0.3">
      <c r="C3" s="126"/>
      <c r="D3" s="127"/>
      <c r="E3" s="128"/>
      <c r="F3" s="120"/>
      <c r="G3" s="121"/>
    </row>
    <row r="4" spans="3:7" x14ac:dyDescent="0.3">
      <c r="C4" s="107" t="s">
        <v>33</v>
      </c>
      <c r="D4" s="21" t="s">
        <v>70</v>
      </c>
      <c r="E4" s="118">
        <v>50000</v>
      </c>
      <c r="F4" s="120"/>
      <c r="G4" s="122"/>
    </row>
    <row r="5" spans="3:7" x14ac:dyDescent="0.3">
      <c r="C5" s="107" t="s">
        <v>32</v>
      </c>
      <c r="D5" s="34" t="s">
        <v>12</v>
      </c>
      <c r="E5" s="37">
        <f>20%/2</f>
        <v>0.1</v>
      </c>
      <c r="F5" s="42"/>
      <c r="G5" s="123"/>
    </row>
    <row r="6" spans="3:7" x14ac:dyDescent="0.3">
      <c r="C6" s="124"/>
      <c r="D6" s="119" t="s">
        <v>13</v>
      </c>
      <c r="E6" s="108">
        <f>3*2</f>
        <v>6</v>
      </c>
      <c r="F6" s="237" t="s">
        <v>71</v>
      </c>
      <c r="G6" s="238"/>
    </row>
    <row r="7" spans="3:7" x14ac:dyDescent="0.3">
      <c r="C7" s="125"/>
      <c r="D7" s="22"/>
      <c r="E7" s="90"/>
      <c r="F7" s="43"/>
      <c r="G7" s="123"/>
    </row>
    <row r="8" spans="3:7" x14ac:dyDescent="0.3">
      <c r="C8" s="39"/>
      <c r="D8" s="22" t="s">
        <v>49</v>
      </c>
      <c r="E8" s="129">
        <f>E4/((1+E5)^E6)</f>
        <v>28223.696502688857</v>
      </c>
      <c r="F8" s="117">
        <f>PV(E5,E6,,-E4)</f>
        <v>28223.696502688857</v>
      </c>
      <c r="G8" s="103"/>
    </row>
  </sheetData>
  <mergeCells count="2">
    <mergeCell ref="F6:G6"/>
    <mergeCell ref="C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9ACD-5CAF-40A1-8FCB-16C357CB55D3}">
  <dimension ref="D1:H11"/>
  <sheetViews>
    <sheetView workbookViewId="0">
      <selection activeCell="F8" sqref="F8"/>
    </sheetView>
  </sheetViews>
  <sheetFormatPr baseColWidth="10" defaultRowHeight="14.4" x14ac:dyDescent="0.3"/>
  <cols>
    <col min="6" max="6" width="19.109375" customWidth="1"/>
    <col min="7" max="7" width="15.21875" customWidth="1"/>
  </cols>
  <sheetData>
    <row r="1" spans="4:8" x14ac:dyDescent="0.3">
      <c r="D1" s="234"/>
      <c r="E1" s="234"/>
      <c r="F1" s="234"/>
      <c r="G1" s="234"/>
    </row>
    <row r="3" spans="4:8" x14ac:dyDescent="0.3">
      <c r="D3" s="239" t="s">
        <v>73</v>
      </c>
      <c r="E3" s="240"/>
      <c r="F3" s="240"/>
      <c r="G3" s="240"/>
      <c r="H3" s="241"/>
    </row>
    <row r="4" spans="4:8" x14ac:dyDescent="0.3">
      <c r="D4" s="135"/>
      <c r="E4" s="136"/>
      <c r="F4" s="137"/>
      <c r="G4" s="130"/>
      <c r="H4" s="131"/>
    </row>
    <row r="5" spans="4:8" x14ac:dyDescent="0.3">
      <c r="D5" s="142" t="s">
        <v>76</v>
      </c>
      <c r="E5" s="141"/>
      <c r="F5" s="118">
        <v>450000</v>
      </c>
      <c r="G5" s="130"/>
      <c r="H5" s="132"/>
    </row>
    <row r="6" spans="4:8" x14ac:dyDescent="0.3">
      <c r="D6" s="142" t="s">
        <v>75</v>
      </c>
      <c r="E6" s="141"/>
      <c r="F6" s="118">
        <v>225000</v>
      </c>
      <c r="G6" s="130"/>
      <c r="H6" s="132"/>
    </row>
    <row r="7" spans="4:8" x14ac:dyDescent="0.3">
      <c r="D7" s="107" t="s">
        <v>33</v>
      </c>
      <c r="E7" s="21" t="s">
        <v>70</v>
      </c>
      <c r="F7" s="118">
        <f>F5-F6</f>
        <v>225000</v>
      </c>
      <c r="G7" s="130" t="s">
        <v>72</v>
      </c>
      <c r="H7" s="132"/>
    </row>
    <row r="8" spans="4:8" x14ac:dyDescent="0.3">
      <c r="D8" s="107" t="s">
        <v>32</v>
      </c>
      <c r="E8" s="34" t="s">
        <v>12</v>
      </c>
      <c r="F8" s="143">
        <f>21%/12</f>
        <v>1.7499999999999998E-2</v>
      </c>
      <c r="G8" s="133"/>
      <c r="H8" s="134"/>
    </row>
    <row r="9" spans="4:8" x14ac:dyDescent="0.3">
      <c r="D9" s="138"/>
      <c r="E9" s="119" t="s">
        <v>13</v>
      </c>
      <c r="F9" s="108">
        <f>1.5*12</f>
        <v>18</v>
      </c>
      <c r="G9" s="237" t="s">
        <v>74</v>
      </c>
      <c r="H9" s="238"/>
    </row>
    <row r="10" spans="4:8" x14ac:dyDescent="0.3">
      <c r="D10" s="139"/>
      <c r="E10" s="22"/>
      <c r="F10" s="90"/>
      <c r="G10" s="140"/>
      <c r="H10" s="134"/>
    </row>
    <row r="11" spans="4:8" x14ac:dyDescent="0.3">
      <c r="D11" s="39"/>
      <c r="E11" s="22" t="s">
        <v>49</v>
      </c>
      <c r="F11" s="129">
        <f>F7/((1+F8)^F9)</f>
        <v>164650.47803875519</v>
      </c>
      <c r="G11" s="117">
        <f>PV(F8,F9,,-F7)</f>
        <v>164650.47803875519</v>
      </c>
      <c r="H11" s="103"/>
    </row>
  </sheetData>
  <mergeCells count="3">
    <mergeCell ref="D1:G1"/>
    <mergeCell ref="D3:H3"/>
    <mergeCell ref="G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9F45-05BC-4FEE-AF6A-108693936D0D}">
  <dimension ref="C2:F10"/>
  <sheetViews>
    <sheetView workbookViewId="0">
      <selection activeCell="D25" sqref="D25"/>
    </sheetView>
  </sheetViews>
  <sheetFormatPr baseColWidth="10" defaultRowHeight="14.4" x14ac:dyDescent="0.3"/>
  <cols>
    <col min="5" max="5" width="11.77734375" bestFit="1" customWidth="1"/>
  </cols>
  <sheetData>
    <row r="2" spans="3:6" x14ac:dyDescent="0.3">
      <c r="D2" s="234" t="s">
        <v>78</v>
      </c>
      <c r="E2" s="234"/>
      <c r="F2" s="234"/>
    </row>
    <row r="4" spans="3:6" x14ac:dyDescent="0.3">
      <c r="C4" t="s">
        <v>79</v>
      </c>
      <c r="E4" s="48"/>
    </row>
    <row r="5" spans="3:6" x14ac:dyDescent="0.3">
      <c r="C5" t="s">
        <v>80</v>
      </c>
      <c r="E5" s="48"/>
    </row>
    <row r="6" spans="3:6" x14ac:dyDescent="0.3">
      <c r="E6" s="48"/>
    </row>
    <row r="7" spans="3:6" x14ac:dyDescent="0.3">
      <c r="C7" t="s">
        <v>81</v>
      </c>
    </row>
    <row r="8" spans="3:6" x14ac:dyDescent="0.3">
      <c r="C8" t="s">
        <v>82</v>
      </c>
    </row>
    <row r="9" spans="3:6" x14ac:dyDescent="0.3">
      <c r="C9" t="s">
        <v>84</v>
      </c>
    </row>
    <row r="10" spans="3:6" x14ac:dyDescent="0.3">
      <c r="C10" t="s">
        <v>83</v>
      </c>
      <c r="D10">
        <v>1200</v>
      </c>
    </row>
  </sheetData>
  <mergeCells count="1">
    <mergeCell ref="D2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E59F-9D26-44E7-8F40-7C816C8F9F9C}">
  <dimension ref="C3:H25"/>
  <sheetViews>
    <sheetView workbookViewId="0">
      <selection activeCell="F11" sqref="F11"/>
    </sheetView>
  </sheetViews>
  <sheetFormatPr baseColWidth="10" defaultRowHeight="14.4" x14ac:dyDescent="0.3"/>
  <cols>
    <col min="6" max="6" width="11.77734375" bestFit="1" customWidth="1"/>
    <col min="8" max="8" width="14.77734375" customWidth="1"/>
  </cols>
  <sheetData>
    <row r="3" spans="3:8" x14ac:dyDescent="0.3">
      <c r="C3" s="147" t="s">
        <v>33</v>
      </c>
      <c r="D3" s="144" t="s">
        <v>70</v>
      </c>
      <c r="E3" s="161"/>
      <c r="F3" s="162">
        <v>80000</v>
      </c>
      <c r="G3" s="15"/>
      <c r="H3" s="17"/>
    </row>
    <row r="4" spans="3:8" x14ac:dyDescent="0.3">
      <c r="C4" s="148" t="s">
        <v>10</v>
      </c>
      <c r="D4" s="4" t="s">
        <v>12</v>
      </c>
      <c r="E4" s="163"/>
      <c r="F4" s="164">
        <v>0.25</v>
      </c>
      <c r="G4" s="154"/>
      <c r="H4" s="155"/>
    </row>
    <row r="5" spans="3:8" x14ac:dyDescent="0.3">
      <c r="C5" s="152"/>
      <c r="D5" s="165" t="s">
        <v>13</v>
      </c>
      <c r="E5" s="50"/>
      <c r="F5" s="166">
        <v>2</v>
      </c>
      <c r="G5" s="154"/>
      <c r="H5" s="155"/>
    </row>
    <row r="6" spans="3:8" x14ac:dyDescent="0.3">
      <c r="C6" s="152"/>
      <c r="D6" s="4"/>
      <c r="E6" s="161"/>
      <c r="F6" s="4"/>
      <c r="G6" s="154"/>
      <c r="H6" s="155"/>
    </row>
    <row r="7" spans="3:8" x14ac:dyDescent="0.3">
      <c r="C7" s="152"/>
      <c r="D7" s="4" t="s">
        <v>85</v>
      </c>
      <c r="E7" s="167">
        <f>PV(F4,F5,,-F3)</f>
        <v>51200</v>
      </c>
      <c r="F7" s="146">
        <f>F3/((1+F4)^F5)</f>
        <v>51200</v>
      </c>
      <c r="G7" s="154"/>
      <c r="H7" s="155"/>
    </row>
    <row r="8" spans="3:8" x14ac:dyDescent="0.3">
      <c r="C8" s="153"/>
      <c r="D8" s="50"/>
      <c r="E8" s="168"/>
      <c r="F8" s="57"/>
      <c r="G8" s="154"/>
      <c r="H8" s="155"/>
    </row>
    <row r="9" spans="3:8" x14ac:dyDescent="0.3">
      <c r="C9" s="247" t="s">
        <v>86</v>
      </c>
      <c r="D9" s="248"/>
      <c r="E9" s="248"/>
      <c r="F9" s="149">
        <f>F7</f>
        <v>51200</v>
      </c>
      <c r="G9" s="154"/>
      <c r="H9" s="155"/>
    </row>
    <row r="10" spans="3:8" x14ac:dyDescent="0.3">
      <c r="C10" s="157"/>
      <c r="D10" s="158"/>
      <c r="E10" s="158"/>
      <c r="F10" s="159"/>
      <c r="G10" s="154"/>
      <c r="H10" s="155"/>
    </row>
    <row r="11" spans="3:8" x14ac:dyDescent="0.3">
      <c r="C11" s="247" t="s">
        <v>87</v>
      </c>
      <c r="D11" s="248"/>
      <c r="E11" s="248"/>
      <c r="F11" s="150">
        <v>50000</v>
      </c>
      <c r="G11" s="154"/>
      <c r="H11" s="155"/>
    </row>
    <row r="12" spans="3:8" x14ac:dyDescent="0.3">
      <c r="C12" s="156"/>
      <c r="D12" s="160"/>
      <c r="E12" s="160"/>
      <c r="F12" s="160"/>
      <c r="G12" s="156"/>
      <c r="H12" s="155"/>
    </row>
    <row r="13" spans="3:8" x14ac:dyDescent="0.3">
      <c r="C13" s="242" t="s">
        <v>88</v>
      </c>
      <c r="D13" s="243"/>
      <c r="E13" s="249">
        <f>F9-F11</f>
        <v>1200</v>
      </c>
      <c r="F13" s="250"/>
      <c r="G13" s="246" t="s">
        <v>89</v>
      </c>
      <c r="H13" s="243"/>
    </row>
    <row r="14" spans="3:8" x14ac:dyDescent="0.3">
      <c r="C14" s="244"/>
      <c r="D14" s="245"/>
      <c r="E14" s="160"/>
      <c r="F14" s="160"/>
      <c r="G14" s="244"/>
      <c r="H14" s="245"/>
    </row>
    <row r="25" spans="6:6" x14ac:dyDescent="0.3">
      <c r="F25" s="151"/>
    </row>
  </sheetData>
  <mergeCells count="5">
    <mergeCell ref="C13:D14"/>
    <mergeCell ref="G13:H14"/>
    <mergeCell ref="C9:E9"/>
    <mergeCell ref="C11:E11"/>
    <mergeCell ref="E13:F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AAC9-76F1-43F4-9846-A8EF7C14D72B}">
  <dimension ref="C1:G14"/>
  <sheetViews>
    <sheetView workbookViewId="0">
      <selection activeCell="D21" sqref="D21"/>
    </sheetView>
  </sheetViews>
  <sheetFormatPr baseColWidth="10" defaultRowHeight="14.4" x14ac:dyDescent="0.3"/>
  <cols>
    <col min="5" max="5" width="16.88671875" customWidth="1"/>
    <col min="6" max="6" width="16.21875" customWidth="1"/>
    <col min="7" max="7" width="29.21875" customWidth="1"/>
  </cols>
  <sheetData>
    <row r="1" spans="3:7" x14ac:dyDescent="0.3">
      <c r="C1" s="169"/>
      <c r="D1" s="232" t="s">
        <v>90</v>
      </c>
      <c r="E1" s="232"/>
      <c r="F1" s="232"/>
      <c r="G1" s="170"/>
    </row>
    <row r="2" spans="3:7" x14ac:dyDescent="0.3">
      <c r="C2" s="21"/>
      <c r="D2" s="22"/>
      <c r="E2" s="22"/>
      <c r="F2" s="22"/>
      <c r="G2" s="103"/>
    </row>
    <row r="3" spans="3:7" x14ac:dyDescent="0.3">
      <c r="C3" s="109" t="s">
        <v>33</v>
      </c>
      <c r="D3" s="4" t="s">
        <v>70</v>
      </c>
      <c r="E3" s="6">
        <v>100000</v>
      </c>
      <c r="F3" s="6">
        <v>200000</v>
      </c>
      <c r="G3" s="172">
        <v>300000</v>
      </c>
    </row>
    <row r="4" spans="3:7" x14ac:dyDescent="0.3">
      <c r="C4" s="110"/>
      <c r="D4" s="4" t="s">
        <v>12</v>
      </c>
      <c r="E4" s="145">
        <v>0.4</v>
      </c>
      <c r="F4" s="145">
        <v>0.4</v>
      </c>
      <c r="G4" s="173">
        <v>0.4</v>
      </c>
    </row>
    <row r="5" spans="3:7" x14ac:dyDescent="0.3">
      <c r="C5" s="110"/>
      <c r="D5" s="21" t="s">
        <v>13</v>
      </c>
      <c r="E5" s="22">
        <v>1</v>
      </c>
      <c r="F5" s="22">
        <v>2</v>
      </c>
      <c r="G5" s="103">
        <v>3</v>
      </c>
    </row>
    <row r="6" spans="3:7" x14ac:dyDescent="0.3">
      <c r="C6" s="110"/>
      <c r="D6" s="34"/>
      <c r="E6" s="38"/>
      <c r="F6" s="38"/>
      <c r="G6" s="108"/>
    </row>
    <row r="7" spans="3:7" x14ac:dyDescent="0.3">
      <c r="C7" s="110"/>
      <c r="D7" s="21" t="s">
        <v>9</v>
      </c>
      <c r="E7" s="174">
        <f>E3/((1+E4)^E5)</f>
        <v>71428.571428571435</v>
      </c>
      <c r="F7" s="174">
        <f>F3/((1+F4)^F5)</f>
        <v>102040.81632653062</v>
      </c>
      <c r="G7" s="175">
        <f>G3/((1+G4)^G5)</f>
        <v>109329.44606413996</v>
      </c>
    </row>
    <row r="8" spans="3:7" x14ac:dyDescent="0.3">
      <c r="C8" s="107"/>
      <c r="D8" s="22"/>
      <c r="E8" s="22"/>
      <c r="F8" s="22"/>
      <c r="G8" s="103"/>
    </row>
    <row r="9" spans="3:7" x14ac:dyDescent="0.3">
      <c r="D9" s="169"/>
      <c r="E9" s="176"/>
      <c r="F9" s="176"/>
      <c r="G9" s="170"/>
    </row>
    <row r="10" spans="3:7" x14ac:dyDescent="0.3">
      <c r="D10" s="251" t="s">
        <v>86</v>
      </c>
      <c r="E10" s="252"/>
      <c r="F10" s="6">
        <f>E7+F7+G7</f>
        <v>282798.83381924202</v>
      </c>
      <c r="G10" s="85"/>
    </row>
    <row r="11" spans="3:7" x14ac:dyDescent="0.3">
      <c r="D11" s="251" t="s">
        <v>91</v>
      </c>
      <c r="E11" s="252"/>
      <c r="F11" s="6">
        <v>350000</v>
      </c>
      <c r="G11" s="85"/>
    </row>
    <row r="12" spans="3:7" x14ac:dyDescent="0.3">
      <c r="D12" s="251" t="s">
        <v>92</v>
      </c>
      <c r="E12" s="252"/>
      <c r="F12" s="6">
        <f>F10-F11</f>
        <v>-67201.16618075798</v>
      </c>
      <c r="G12" s="253" t="s">
        <v>93</v>
      </c>
    </row>
    <row r="13" spans="3:7" x14ac:dyDescent="0.3">
      <c r="D13" s="171"/>
      <c r="E13" s="4"/>
      <c r="F13" s="4"/>
      <c r="G13" s="253"/>
    </row>
    <row r="14" spans="3:7" x14ac:dyDescent="0.3">
      <c r="D14" s="21"/>
      <c r="E14" s="22"/>
      <c r="F14" s="22"/>
      <c r="G14" s="103"/>
    </row>
  </sheetData>
  <mergeCells count="5">
    <mergeCell ref="D1:F1"/>
    <mergeCell ref="D11:E11"/>
    <mergeCell ref="D10:E10"/>
    <mergeCell ref="D12:E12"/>
    <mergeCell ref="G12:G13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BCC6-12C9-4941-9007-839BA2C5C7B1}">
  <dimension ref="D1:J29"/>
  <sheetViews>
    <sheetView topLeftCell="C10" workbookViewId="0">
      <selection activeCell="D13" sqref="D13:F13"/>
    </sheetView>
  </sheetViews>
  <sheetFormatPr baseColWidth="10" defaultRowHeight="14.4" x14ac:dyDescent="0.3"/>
  <cols>
    <col min="6" max="6" width="18.109375" customWidth="1"/>
    <col min="7" max="7" width="21.21875" customWidth="1"/>
    <col min="8" max="8" width="35.44140625" customWidth="1"/>
  </cols>
  <sheetData>
    <row r="1" spans="4:10" x14ac:dyDescent="0.3">
      <c r="D1" s="234" t="s">
        <v>90</v>
      </c>
      <c r="E1" s="234"/>
      <c r="F1" s="234"/>
    </row>
    <row r="3" spans="4:10" x14ac:dyDescent="0.3">
      <c r="D3" s="177" t="s">
        <v>33</v>
      </c>
      <c r="E3" s="178" t="s">
        <v>70</v>
      </c>
      <c r="F3" s="185">
        <v>120000</v>
      </c>
      <c r="G3" s="190"/>
      <c r="H3" s="190"/>
    </row>
    <row r="4" spans="4:10" x14ac:dyDescent="0.3">
      <c r="D4" s="179" t="s">
        <v>10</v>
      </c>
      <c r="E4" s="4" t="s">
        <v>12</v>
      </c>
      <c r="F4" s="186">
        <v>0.15</v>
      </c>
      <c r="G4" s="100"/>
      <c r="H4" s="100"/>
    </row>
    <row r="5" spans="4:10" x14ac:dyDescent="0.3">
      <c r="D5" s="180"/>
      <c r="E5" s="165" t="s">
        <v>13</v>
      </c>
      <c r="F5" s="187">
        <v>2</v>
      </c>
      <c r="G5" s="100"/>
      <c r="H5" s="100"/>
    </row>
    <row r="6" spans="4:10" x14ac:dyDescent="0.3">
      <c r="D6" s="180"/>
      <c r="E6" s="198"/>
      <c r="F6" s="199"/>
      <c r="G6" s="99"/>
      <c r="H6" s="100"/>
    </row>
    <row r="7" spans="4:10" x14ac:dyDescent="0.3">
      <c r="D7" s="180"/>
      <c r="E7" s="67" t="s">
        <v>85</v>
      </c>
      <c r="F7" s="188">
        <f>F3/((1+F4)^F5)</f>
        <v>90737.240075614376</v>
      </c>
      <c r="G7" s="182"/>
      <c r="H7" s="100"/>
    </row>
    <row r="8" spans="4:10" x14ac:dyDescent="0.3">
      <c r="D8" s="181"/>
      <c r="E8" s="195"/>
      <c r="F8" s="196"/>
      <c r="G8" s="197"/>
      <c r="H8" s="100"/>
    </row>
    <row r="9" spans="4:10" x14ac:dyDescent="0.3">
      <c r="D9" s="255" t="s">
        <v>86</v>
      </c>
      <c r="E9" s="248"/>
      <c r="F9" s="248"/>
      <c r="G9" s="184">
        <f>F7</f>
        <v>90737.240075614376</v>
      </c>
      <c r="H9" s="100"/>
      <c r="J9" t="s">
        <v>97</v>
      </c>
    </row>
    <row r="10" spans="4:10" x14ac:dyDescent="0.3">
      <c r="D10" s="97"/>
      <c r="E10" s="194"/>
      <c r="F10" s="194"/>
      <c r="G10" s="99"/>
      <c r="H10" s="100"/>
    </row>
    <row r="11" spans="4:10" x14ac:dyDescent="0.3">
      <c r="D11" s="256" t="s">
        <v>87</v>
      </c>
      <c r="E11" s="230"/>
      <c r="F11" s="230"/>
      <c r="G11" s="183">
        <v>95000</v>
      </c>
      <c r="H11" s="100"/>
    </row>
    <row r="12" spans="4:10" x14ac:dyDescent="0.3">
      <c r="D12" s="191"/>
      <c r="E12" s="192"/>
      <c r="F12" s="192"/>
      <c r="G12" s="193"/>
      <c r="H12" s="100"/>
    </row>
    <row r="13" spans="4:10" x14ac:dyDescent="0.3">
      <c r="D13" s="239" t="s">
        <v>92</v>
      </c>
      <c r="E13" s="240"/>
      <c r="F13" s="240"/>
      <c r="G13" s="189">
        <f>G9-G11</f>
        <v>-4262.7599243856239</v>
      </c>
      <c r="H13" s="85" t="s">
        <v>95</v>
      </c>
    </row>
    <row r="14" spans="4:10" x14ac:dyDescent="0.3">
      <c r="D14" s="101"/>
      <c r="E14" s="98"/>
      <c r="F14" s="98"/>
      <c r="G14" s="99"/>
      <c r="H14" s="99"/>
    </row>
    <row r="16" spans="4:10" x14ac:dyDescent="0.3">
      <c r="D16" s="234" t="s">
        <v>77</v>
      </c>
      <c r="E16" s="234"/>
      <c r="F16" s="234"/>
      <c r="G16" t="s">
        <v>98</v>
      </c>
    </row>
    <row r="17" spans="4:8" x14ac:dyDescent="0.3">
      <c r="E17" s="22"/>
      <c r="F17" s="22"/>
      <c r="G17" s="22"/>
      <c r="H17" s="22"/>
    </row>
    <row r="18" spans="4:8" x14ac:dyDescent="0.3">
      <c r="D18" s="109" t="s">
        <v>33</v>
      </c>
      <c r="E18" s="202" t="s">
        <v>70</v>
      </c>
      <c r="F18" s="6">
        <v>170000</v>
      </c>
      <c r="G18" s="6">
        <v>230000</v>
      </c>
      <c r="H18" s="172">
        <v>310000</v>
      </c>
    </row>
    <row r="19" spans="4:8" x14ac:dyDescent="0.3">
      <c r="D19" s="142" t="s">
        <v>10</v>
      </c>
      <c r="E19" s="4" t="s">
        <v>12</v>
      </c>
      <c r="F19" s="27">
        <v>0.12</v>
      </c>
      <c r="G19" s="145">
        <v>0.12</v>
      </c>
      <c r="H19" s="173">
        <v>0.12</v>
      </c>
    </row>
    <row r="20" spans="4:8" x14ac:dyDescent="0.3">
      <c r="D20" s="124"/>
      <c r="E20" s="21" t="s">
        <v>13</v>
      </c>
      <c r="F20" s="28">
        <v>1</v>
      </c>
      <c r="G20" s="22">
        <v>2</v>
      </c>
      <c r="H20" s="103">
        <v>3</v>
      </c>
    </row>
    <row r="21" spans="4:8" x14ac:dyDescent="0.3">
      <c r="D21" s="124"/>
      <c r="E21" s="34"/>
      <c r="F21" s="38"/>
      <c r="G21" s="38"/>
      <c r="H21" s="108"/>
    </row>
    <row r="22" spans="4:8" x14ac:dyDescent="0.3">
      <c r="D22" s="124"/>
      <c r="E22" s="21" t="s">
        <v>9</v>
      </c>
      <c r="F22" s="174">
        <f>F18/((1+F19)^F20)</f>
        <v>151785.71428571426</v>
      </c>
      <c r="G22" s="174">
        <f>G18/((1+G19)^G20)</f>
        <v>183354.59183673467</v>
      </c>
      <c r="H22" s="175">
        <f>H18/((1+H19)^H20)</f>
        <v>220651.87682215738</v>
      </c>
    </row>
    <row r="23" spans="4:8" x14ac:dyDescent="0.3">
      <c r="D23" s="126"/>
      <c r="E23" s="43"/>
      <c r="F23" s="43"/>
      <c r="G23" s="43"/>
      <c r="H23" s="44"/>
    </row>
    <row r="24" spans="4:8" x14ac:dyDescent="0.3">
      <c r="D24" s="124"/>
      <c r="E24" s="169"/>
      <c r="F24" s="26"/>
      <c r="G24" s="203"/>
      <c r="H24" s="200"/>
    </row>
    <row r="25" spans="4:8" x14ac:dyDescent="0.3">
      <c r="D25" s="124"/>
      <c r="E25" s="251" t="s">
        <v>86</v>
      </c>
      <c r="F25" s="252"/>
      <c r="G25" s="204">
        <f>F22+G22+H22</f>
        <v>555792.18294460629</v>
      </c>
      <c r="H25" s="201"/>
    </row>
    <row r="26" spans="4:8" x14ac:dyDescent="0.3">
      <c r="D26" s="124"/>
      <c r="E26" s="251" t="s">
        <v>91</v>
      </c>
      <c r="F26" s="254"/>
      <c r="G26" s="204">
        <v>400000</v>
      </c>
      <c r="H26" s="201"/>
    </row>
    <row r="27" spans="4:8" x14ac:dyDescent="0.3">
      <c r="D27" s="124"/>
      <c r="E27" s="251" t="s">
        <v>94</v>
      </c>
      <c r="F27" s="252"/>
      <c r="G27" s="204">
        <f>G25-G26</f>
        <v>155792.18294460629</v>
      </c>
      <c r="H27" s="253" t="s">
        <v>96</v>
      </c>
    </row>
    <row r="28" spans="4:8" x14ac:dyDescent="0.3">
      <c r="D28" s="124"/>
      <c r="E28" s="171"/>
      <c r="F28" s="163"/>
      <c r="G28" s="187"/>
      <c r="H28" s="253"/>
    </row>
    <row r="29" spans="4:8" x14ac:dyDescent="0.3">
      <c r="D29" s="125"/>
      <c r="E29" s="21"/>
      <c r="F29" s="28"/>
      <c r="G29" s="90"/>
      <c r="H29" s="44"/>
    </row>
  </sheetData>
  <mergeCells count="9">
    <mergeCell ref="E26:F26"/>
    <mergeCell ref="E27:F27"/>
    <mergeCell ref="H27:H28"/>
    <mergeCell ref="D1:F1"/>
    <mergeCell ref="D9:F9"/>
    <mergeCell ref="D11:F11"/>
    <mergeCell ref="D13:F13"/>
    <mergeCell ref="D16:F16"/>
    <mergeCell ref="E25:F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CCCA-1589-4EA5-9B03-57E5F302F6A4}">
  <dimension ref="C1:F6"/>
  <sheetViews>
    <sheetView workbookViewId="0">
      <selection activeCell="D1" sqref="D1:F1"/>
    </sheetView>
  </sheetViews>
  <sheetFormatPr baseColWidth="10" defaultRowHeight="14.4" x14ac:dyDescent="0.3"/>
  <sheetData>
    <row r="1" spans="3:6" x14ac:dyDescent="0.3">
      <c r="D1" s="234" t="s">
        <v>99</v>
      </c>
      <c r="E1" s="234"/>
      <c r="F1" s="234"/>
    </row>
    <row r="3" spans="3:6" x14ac:dyDescent="0.3">
      <c r="C3" t="s">
        <v>100</v>
      </c>
      <c r="D3" s="205" t="s">
        <v>102</v>
      </c>
    </row>
    <row r="4" spans="3:6" x14ac:dyDescent="0.3">
      <c r="C4" t="s">
        <v>101</v>
      </c>
    </row>
    <row r="6" spans="3:6" x14ac:dyDescent="0.3">
      <c r="C6" t="s">
        <v>103</v>
      </c>
    </row>
  </sheetData>
  <mergeCells count="1"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049-FC26-47D8-9D50-662F233013F9}">
  <dimension ref="B1:G20"/>
  <sheetViews>
    <sheetView workbookViewId="0">
      <selection activeCell="E20" sqref="E20"/>
    </sheetView>
  </sheetViews>
  <sheetFormatPr baseColWidth="10" defaultRowHeight="14.4" x14ac:dyDescent="0.3"/>
  <cols>
    <col min="5" max="5" width="17.6640625" customWidth="1"/>
    <col min="6" max="6" width="15.21875" bestFit="1" customWidth="1"/>
    <col min="7" max="7" width="16.6640625" customWidth="1"/>
  </cols>
  <sheetData>
    <row r="1" spans="3:7" x14ac:dyDescent="0.3">
      <c r="C1" s="1"/>
      <c r="D1" s="230" t="s">
        <v>22</v>
      </c>
      <c r="E1" s="230"/>
      <c r="F1" s="230"/>
      <c r="G1" s="2"/>
    </row>
    <row r="2" spans="3:7" x14ac:dyDescent="0.3">
      <c r="C2" s="20"/>
      <c r="D2" s="24"/>
      <c r="E2" s="24"/>
      <c r="F2" s="24"/>
      <c r="G2" s="25"/>
    </row>
    <row r="3" spans="3:7" x14ac:dyDescent="0.3">
      <c r="C3" s="18" t="s">
        <v>9</v>
      </c>
      <c r="D3" s="4" t="s">
        <v>11</v>
      </c>
      <c r="E3" s="26"/>
      <c r="F3" s="6">
        <v>100000</v>
      </c>
      <c r="G3" s="5" t="s">
        <v>14</v>
      </c>
    </row>
    <row r="4" spans="3:7" x14ac:dyDescent="0.3">
      <c r="C4" s="19" t="s">
        <v>10</v>
      </c>
      <c r="D4" s="4" t="s">
        <v>12</v>
      </c>
      <c r="E4" s="27">
        <v>0.2</v>
      </c>
      <c r="F4" s="7">
        <f>E4/4</f>
        <v>0.05</v>
      </c>
      <c r="G4" s="5" t="s">
        <v>15</v>
      </c>
    </row>
    <row r="5" spans="3:7" x14ac:dyDescent="0.3">
      <c r="C5" s="19"/>
      <c r="D5" s="21" t="s">
        <v>13</v>
      </c>
      <c r="E5" s="28"/>
      <c r="F5" s="22">
        <f>6/3</f>
        <v>2</v>
      </c>
      <c r="G5" s="23" t="s">
        <v>15</v>
      </c>
    </row>
    <row r="6" spans="3:7" x14ac:dyDescent="0.3">
      <c r="C6" s="12"/>
      <c r="D6" s="13"/>
      <c r="E6" s="13"/>
      <c r="F6" s="13"/>
      <c r="G6" s="14"/>
    </row>
    <row r="8" spans="3:7" x14ac:dyDescent="0.3">
      <c r="D8" s="15"/>
      <c r="E8" s="16" t="s">
        <v>16</v>
      </c>
      <c r="F8" s="16" t="s">
        <v>17</v>
      </c>
      <c r="G8" s="17" t="s">
        <v>18</v>
      </c>
    </row>
    <row r="9" spans="3:7" x14ac:dyDescent="0.3">
      <c r="D9" s="3">
        <v>1</v>
      </c>
      <c r="E9" s="6">
        <f>F3</f>
        <v>100000</v>
      </c>
      <c r="F9" s="6">
        <f>F3*$F$4</f>
        <v>5000</v>
      </c>
      <c r="G9" s="9">
        <f>E9+F9</f>
        <v>105000</v>
      </c>
    </row>
    <row r="10" spans="3:7" x14ac:dyDescent="0.3">
      <c r="D10" s="8">
        <v>2</v>
      </c>
      <c r="E10" s="10">
        <f>G9</f>
        <v>105000</v>
      </c>
      <c r="F10" s="10">
        <f>E10*$F$4</f>
        <v>5250</v>
      </c>
      <c r="G10" s="11">
        <f>E10+F10</f>
        <v>110250</v>
      </c>
    </row>
    <row r="11" spans="3:7" x14ac:dyDescent="0.3">
      <c r="D11" s="29" t="s">
        <v>19</v>
      </c>
      <c r="E11" s="30"/>
      <c r="F11" s="31">
        <f>SUM(F9:F10)</f>
        <v>10250</v>
      </c>
      <c r="G11" s="32"/>
    </row>
    <row r="14" spans="3:7" x14ac:dyDescent="0.3">
      <c r="C14" s="231" t="s">
        <v>20</v>
      </c>
      <c r="D14" s="232"/>
      <c r="E14" s="233"/>
      <c r="F14" s="33"/>
    </row>
    <row r="15" spans="3:7" x14ac:dyDescent="0.3">
      <c r="C15" s="42"/>
      <c r="D15" s="43"/>
      <c r="E15" s="44"/>
    </row>
    <row r="16" spans="3:7" x14ac:dyDescent="0.3">
      <c r="C16" s="39" t="s">
        <v>9</v>
      </c>
      <c r="D16" s="34" t="s">
        <v>11</v>
      </c>
      <c r="E16" s="35">
        <f>F3</f>
        <v>100000</v>
      </c>
    </row>
    <row r="17" spans="2:5" x14ac:dyDescent="0.3">
      <c r="C17" s="39" t="s">
        <v>10</v>
      </c>
      <c r="D17" s="21" t="s">
        <v>12</v>
      </c>
      <c r="E17" s="36">
        <f>F4</f>
        <v>0.05</v>
      </c>
    </row>
    <row r="18" spans="2:5" x14ac:dyDescent="0.3">
      <c r="B18" s="4"/>
      <c r="C18" s="45"/>
      <c r="D18" s="34" t="s">
        <v>13</v>
      </c>
      <c r="E18" s="37">
        <f>6/3</f>
        <v>2</v>
      </c>
    </row>
    <row r="19" spans="2:5" x14ac:dyDescent="0.3">
      <c r="B19" s="4"/>
      <c r="C19" s="46"/>
      <c r="D19" s="40"/>
      <c r="E19" s="41"/>
    </row>
    <row r="20" spans="2:5" x14ac:dyDescent="0.3">
      <c r="C20" s="47"/>
      <c r="D20" s="38" t="s">
        <v>21</v>
      </c>
      <c r="E20" s="35">
        <f>E16*((1+E17)^E18-1)</f>
        <v>10250.000000000004</v>
      </c>
    </row>
  </sheetData>
  <mergeCells count="2">
    <mergeCell ref="D1:F1"/>
    <mergeCell ref="C14:E1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E3EF-1593-4483-9997-BC98EBA1946D}">
  <dimension ref="C2:G19"/>
  <sheetViews>
    <sheetView workbookViewId="0">
      <selection activeCell="C2" sqref="C2:E9"/>
    </sheetView>
  </sheetViews>
  <sheetFormatPr baseColWidth="10" defaultRowHeight="14.4" x14ac:dyDescent="0.3"/>
  <cols>
    <col min="5" max="5" width="26.44140625" customWidth="1"/>
  </cols>
  <sheetData>
    <row r="2" spans="3:7" x14ac:dyDescent="0.3">
      <c r="C2" s="235" t="s">
        <v>90</v>
      </c>
      <c r="D2" s="230"/>
      <c r="E2" s="236"/>
    </row>
    <row r="3" spans="3:7" x14ac:dyDescent="0.3">
      <c r="C3" s="82"/>
      <c r="D3" s="83"/>
      <c r="E3" s="84"/>
    </row>
    <row r="4" spans="3:7" x14ac:dyDescent="0.3">
      <c r="C4" s="211" t="s">
        <v>33</v>
      </c>
      <c r="D4" s="207" t="s">
        <v>70</v>
      </c>
      <c r="E4" s="206">
        <v>2000</v>
      </c>
    </row>
    <row r="5" spans="3:7" x14ac:dyDescent="0.3">
      <c r="C5" s="212" t="s">
        <v>9</v>
      </c>
      <c r="D5" s="4" t="s">
        <v>11</v>
      </c>
      <c r="E5" s="208">
        <v>1000</v>
      </c>
    </row>
    <row r="6" spans="3:7" x14ac:dyDescent="0.3">
      <c r="C6" s="212" t="s">
        <v>10</v>
      </c>
      <c r="D6" s="4" t="s">
        <v>12</v>
      </c>
      <c r="E6" s="209">
        <f>0.36/12</f>
        <v>0.03</v>
      </c>
    </row>
    <row r="7" spans="3:7" x14ac:dyDescent="0.3">
      <c r="C7" s="215"/>
      <c r="D7" s="22" t="s">
        <v>13</v>
      </c>
      <c r="E7" s="210" t="s">
        <v>104</v>
      </c>
    </row>
    <row r="8" spans="3:7" x14ac:dyDescent="0.3">
      <c r="C8" s="215"/>
      <c r="D8" s="213" t="s">
        <v>102</v>
      </c>
      <c r="E8" s="217">
        <f>(LOG(E4/E5))/(LOG(1+E6))</f>
        <v>23.449772250437736</v>
      </c>
      <c r="F8">
        <v>23</v>
      </c>
      <c r="G8" t="s">
        <v>105</v>
      </c>
    </row>
    <row r="9" spans="3:7" x14ac:dyDescent="0.3">
      <c r="C9" s="216"/>
      <c r="D9" s="83"/>
      <c r="E9" s="84"/>
    </row>
    <row r="12" spans="3:7" x14ac:dyDescent="0.3">
      <c r="C12" s="235" t="s">
        <v>106</v>
      </c>
      <c r="D12" s="230"/>
      <c r="E12" s="236"/>
    </row>
    <row r="13" spans="3:7" x14ac:dyDescent="0.3">
      <c r="C13" s="79"/>
      <c r="D13" s="220"/>
      <c r="E13" s="221"/>
    </row>
    <row r="14" spans="3:7" x14ac:dyDescent="0.3">
      <c r="C14" s="211" t="s">
        <v>33</v>
      </c>
      <c r="D14" s="207" t="s">
        <v>70</v>
      </c>
      <c r="E14" s="206">
        <v>2000</v>
      </c>
    </row>
    <row r="15" spans="3:7" x14ac:dyDescent="0.3">
      <c r="C15" s="212" t="s">
        <v>9</v>
      </c>
      <c r="D15" s="4" t="s">
        <v>11</v>
      </c>
      <c r="E15" s="208">
        <v>1000</v>
      </c>
    </row>
    <row r="16" spans="3:7" x14ac:dyDescent="0.3">
      <c r="C16" s="212" t="s">
        <v>10</v>
      </c>
      <c r="D16" s="4" t="s">
        <v>12</v>
      </c>
      <c r="E16" s="209">
        <f>0.24/12</f>
        <v>0.02</v>
      </c>
    </row>
    <row r="17" spans="3:5" x14ac:dyDescent="0.3">
      <c r="C17" s="218"/>
      <c r="D17" s="22" t="s">
        <v>13</v>
      </c>
      <c r="E17" s="210" t="s">
        <v>104</v>
      </c>
    </row>
    <row r="18" spans="3:5" x14ac:dyDescent="0.3">
      <c r="C18" s="218"/>
      <c r="D18" s="213" t="s">
        <v>102</v>
      </c>
      <c r="E18" s="217">
        <f>(LOG(E14/E15))/(LOG(1+E16))</f>
        <v>35.002788781146499</v>
      </c>
    </row>
    <row r="19" spans="3:5" x14ac:dyDescent="0.3">
      <c r="C19" s="219"/>
      <c r="D19" s="220"/>
      <c r="E19" s="221"/>
    </row>
  </sheetData>
  <mergeCells count="2">
    <mergeCell ref="C2:E2"/>
    <mergeCell ref="C12:E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D833-BF0D-4134-AC4F-8E83465D523A}">
  <dimension ref="C2:E29"/>
  <sheetViews>
    <sheetView topLeftCell="B7" workbookViewId="0">
      <selection activeCell="E26" sqref="E26"/>
    </sheetView>
  </sheetViews>
  <sheetFormatPr baseColWidth="10" defaultRowHeight="14.4" x14ac:dyDescent="0.3"/>
  <cols>
    <col min="5" max="5" width="34.109375" customWidth="1"/>
  </cols>
  <sheetData>
    <row r="2" spans="3:5" x14ac:dyDescent="0.3">
      <c r="C2" s="235" t="s">
        <v>90</v>
      </c>
      <c r="D2" s="230"/>
      <c r="E2" s="236"/>
    </row>
    <row r="3" spans="3:5" x14ac:dyDescent="0.3">
      <c r="C3" s="82"/>
      <c r="D3" s="83"/>
      <c r="E3" s="84"/>
    </row>
    <row r="4" spans="3:5" x14ac:dyDescent="0.3">
      <c r="C4" s="211" t="s">
        <v>33</v>
      </c>
      <c r="D4" s="207" t="s">
        <v>70</v>
      </c>
      <c r="E4" s="206">
        <v>1</v>
      </c>
    </row>
    <row r="5" spans="3:5" x14ac:dyDescent="0.3">
      <c r="C5" s="212" t="s">
        <v>9</v>
      </c>
      <c r="D5" s="4" t="s">
        <v>11</v>
      </c>
      <c r="E5" s="222">
        <f>E4*0.5</f>
        <v>0.5</v>
      </c>
    </row>
    <row r="6" spans="3:5" x14ac:dyDescent="0.3">
      <c r="C6" s="212" t="s">
        <v>10</v>
      </c>
      <c r="D6" s="4" t="s">
        <v>12</v>
      </c>
      <c r="E6" s="209">
        <f>E5</f>
        <v>0.5</v>
      </c>
    </row>
    <row r="7" spans="3:5" x14ac:dyDescent="0.3">
      <c r="C7" s="215"/>
      <c r="D7" s="22" t="s">
        <v>13</v>
      </c>
      <c r="E7" s="210" t="s">
        <v>104</v>
      </c>
    </row>
    <row r="8" spans="3:5" x14ac:dyDescent="0.3">
      <c r="C8" s="215"/>
      <c r="D8" s="213" t="s">
        <v>102</v>
      </c>
      <c r="E8" s="214">
        <f>(LOG(E4/E5))/(LOG(1+E6))</f>
        <v>1.7095112913514547</v>
      </c>
    </row>
    <row r="9" spans="3:5" x14ac:dyDescent="0.3">
      <c r="C9" s="216"/>
      <c r="D9" s="83"/>
      <c r="E9" s="84"/>
    </row>
    <row r="12" spans="3:5" x14ac:dyDescent="0.3">
      <c r="C12" s="235" t="s">
        <v>107</v>
      </c>
      <c r="D12" s="230"/>
      <c r="E12" s="236"/>
    </row>
    <row r="13" spans="3:5" x14ac:dyDescent="0.3">
      <c r="C13" s="224"/>
      <c r="D13" s="195"/>
      <c r="E13" s="225"/>
    </row>
    <row r="14" spans="3:5" x14ac:dyDescent="0.3">
      <c r="C14" s="211" t="s">
        <v>33</v>
      </c>
      <c r="D14" s="207" t="s">
        <v>70</v>
      </c>
      <c r="E14" s="206">
        <v>1</v>
      </c>
    </row>
    <row r="15" spans="3:5" x14ac:dyDescent="0.3">
      <c r="C15" s="212" t="s">
        <v>9</v>
      </c>
      <c r="D15" s="4" t="s">
        <v>11</v>
      </c>
      <c r="E15" s="222">
        <f>E14*0.5</f>
        <v>0.5</v>
      </c>
    </row>
    <row r="16" spans="3:5" x14ac:dyDescent="0.3">
      <c r="C16" s="212" t="s">
        <v>10</v>
      </c>
      <c r="D16" s="4" t="s">
        <v>12</v>
      </c>
      <c r="E16" s="223">
        <f>0.3</f>
        <v>0.3</v>
      </c>
    </row>
    <row r="17" spans="3:5" x14ac:dyDescent="0.3">
      <c r="C17" s="226"/>
      <c r="D17" s="22" t="s">
        <v>13</v>
      </c>
      <c r="E17" s="210" t="s">
        <v>104</v>
      </c>
    </row>
    <row r="18" spans="3:5" x14ac:dyDescent="0.3">
      <c r="C18" s="226"/>
      <c r="D18" s="213" t="s">
        <v>102</v>
      </c>
      <c r="E18" s="214">
        <f>(LOG(E14/E15))/(LOG(1+E16))</f>
        <v>2.6419267958111399</v>
      </c>
    </row>
    <row r="19" spans="3:5" x14ac:dyDescent="0.3">
      <c r="C19" s="227"/>
      <c r="D19" s="195"/>
      <c r="E19" s="225"/>
    </row>
    <row r="22" spans="3:5" x14ac:dyDescent="0.3">
      <c r="C22" s="235" t="s">
        <v>108</v>
      </c>
      <c r="D22" s="230"/>
      <c r="E22" s="236"/>
    </row>
    <row r="23" spans="3:5" x14ac:dyDescent="0.3">
      <c r="C23" s="79"/>
      <c r="D23" s="220"/>
      <c r="E23" s="221"/>
    </row>
    <row r="24" spans="3:5" x14ac:dyDescent="0.3">
      <c r="C24" s="211" t="s">
        <v>33</v>
      </c>
      <c r="D24" s="207" t="s">
        <v>70</v>
      </c>
      <c r="E24" s="206">
        <v>1</v>
      </c>
    </row>
    <row r="25" spans="3:5" x14ac:dyDescent="0.3">
      <c r="C25" s="212" t="s">
        <v>9</v>
      </c>
      <c r="D25" s="4" t="s">
        <v>11</v>
      </c>
      <c r="E25" s="222">
        <f>E24*0.5</f>
        <v>0.5</v>
      </c>
    </row>
    <row r="26" spans="3:5" x14ac:dyDescent="0.3">
      <c r="C26" s="212" t="s">
        <v>10</v>
      </c>
      <c r="D26" s="4" t="s">
        <v>12</v>
      </c>
      <c r="E26" s="209">
        <v>1</v>
      </c>
    </row>
    <row r="27" spans="3:5" x14ac:dyDescent="0.3">
      <c r="C27" s="218"/>
      <c r="D27" s="22" t="s">
        <v>13</v>
      </c>
      <c r="E27" s="210" t="s">
        <v>104</v>
      </c>
    </row>
    <row r="28" spans="3:5" x14ac:dyDescent="0.3">
      <c r="C28" s="218"/>
      <c r="D28" s="213" t="s">
        <v>102</v>
      </c>
      <c r="E28" s="214">
        <f>(LOG(E24/E25))/(LOG(1+E26))</f>
        <v>1</v>
      </c>
    </row>
    <row r="29" spans="3:5" x14ac:dyDescent="0.3">
      <c r="C29" s="219"/>
      <c r="D29" s="220"/>
      <c r="E29" s="221"/>
    </row>
  </sheetData>
  <mergeCells count="3">
    <mergeCell ref="C2:E2"/>
    <mergeCell ref="C12:E12"/>
    <mergeCell ref="C22:E2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0662-5A60-464F-BC85-7B2374E70255}">
  <dimension ref="C1:G79"/>
  <sheetViews>
    <sheetView tabSelected="1" workbookViewId="0">
      <selection activeCell="G7" sqref="G7"/>
    </sheetView>
  </sheetViews>
  <sheetFormatPr baseColWidth="10" defaultRowHeight="14.4" x14ac:dyDescent="0.3"/>
  <cols>
    <col min="5" max="5" width="14.21875" customWidth="1"/>
  </cols>
  <sheetData>
    <row r="1" spans="3:7" x14ac:dyDescent="0.3">
      <c r="C1" s="234" t="s">
        <v>109</v>
      </c>
      <c r="D1" s="234"/>
      <c r="E1" s="234"/>
    </row>
    <row r="2" spans="3:7" x14ac:dyDescent="0.3">
      <c r="C2" s="235" t="s">
        <v>90</v>
      </c>
      <c r="D2" s="230"/>
      <c r="E2" s="236"/>
    </row>
    <row r="3" spans="3:7" x14ac:dyDescent="0.3">
      <c r="C3" s="224"/>
      <c r="D3" s="195"/>
      <c r="E3" s="225"/>
    </row>
    <row r="4" spans="3:7" x14ac:dyDescent="0.3">
      <c r="C4" s="211" t="s">
        <v>33</v>
      </c>
      <c r="D4" s="207" t="s">
        <v>70</v>
      </c>
      <c r="E4" s="206">
        <v>3000</v>
      </c>
    </row>
    <row r="5" spans="3:7" x14ac:dyDescent="0.3">
      <c r="C5" s="212" t="s">
        <v>9</v>
      </c>
      <c r="D5" s="4" t="s">
        <v>11</v>
      </c>
      <c r="E5" s="208">
        <v>1000</v>
      </c>
    </row>
    <row r="6" spans="3:7" x14ac:dyDescent="0.3">
      <c r="C6" s="212" t="s">
        <v>10</v>
      </c>
      <c r="D6" s="4" t="s">
        <v>12</v>
      </c>
      <c r="E6" s="209">
        <f>0.12/12</f>
        <v>0.01</v>
      </c>
    </row>
    <row r="7" spans="3:7" x14ac:dyDescent="0.3">
      <c r="C7" s="226"/>
      <c r="D7" s="22" t="s">
        <v>13</v>
      </c>
      <c r="E7" s="210" t="s">
        <v>104</v>
      </c>
      <c r="G7" t="s">
        <v>115</v>
      </c>
    </row>
    <row r="8" spans="3:7" x14ac:dyDescent="0.3">
      <c r="C8" s="226"/>
      <c r="D8" s="213" t="s">
        <v>102</v>
      </c>
      <c r="E8" s="217">
        <f>(LOG(E4/E5))/(LOG(1+E6))</f>
        <v>110.40962404966885</v>
      </c>
    </row>
    <row r="9" spans="3:7" x14ac:dyDescent="0.3">
      <c r="C9" s="227"/>
      <c r="D9" s="195"/>
      <c r="E9" s="225"/>
    </row>
    <row r="13" spans="3:7" x14ac:dyDescent="0.3">
      <c r="C13" s="235" t="s">
        <v>107</v>
      </c>
      <c r="D13" s="230"/>
      <c r="E13" s="236"/>
    </row>
    <row r="14" spans="3:7" x14ac:dyDescent="0.3">
      <c r="C14" s="257"/>
      <c r="D14" s="258"/>
      <c r="E14" s="259"/>
    </row>
    <row r="15" spans="3:7" x14ac:dyDescent="0.3">
      <c r="C15" s="211" t="s">
        <v>33</v>
      </c>
      <c r="D15" s="207" t="s">
        <v>70</v>
      </c>
      <c r="E15" s="206">
        <v>3000</v>
      </c>
    </row>
    <row r="16" spans="3:7" x14ac:dyDescent="0.3">
      <c r="C16" s="212" t="s">
        <v>9</v>
      </c>
      <c r="D16" s="4" t="s">
        <v>11</v>
      </c>
      <c r="E16" s="208">
        <v>1000</v>
      </c>
    </row>
    <row r="17" spans="3:5" x14ac:dyDescent="0.3">
      <c r="C17" s="212" t="s">
        <v>10</v>
      </c>
      <c r="D17" s="4" t="s">
        <v>12</v>
      </c>
      <c r="E17" s="209">
        <f>0.8/12</f>
        <v>6.6666666666666666E-2</v>
      </c>
    </row>
    <row r="18" spans="3:5" x14ac:dyDescent="0.3">
      <c r="C18" s="260"/>
      <c r="D18" s="22" t="s">
        <v>13</v>
      </c>
      <c r="E18" s="210" t="s">
        <v>104</v>
      </c>
    </row>
    <row r="19" spans="3:5" x14ac:dyDescent="0.3">
      <c r="C19" s="260"/>
      <c r="D19" s="213" t="s">
        <v>102</v>
      </c>
      <c r="E19" s="217">
        <f>(LOG(E15/E16))/(LOG(1+E17))</f>
        <v>17.022582316788654</v>
      </c>
    </row>
    <row r="20" spans="3:5" x14ac:dyDescent="0.3">
      <c r="C20" s="261"/>
      <c r="D20" s="258"/>
      <c r="E20" s="259"/>
    </row>
    <row r="23" spans="3:5" x14ac:dyDescent="0.3">
      <c r="C23" s="235" t="s">
        <v>108</v>
      </c>
      <c r="D23" s="230"/>
      <c r="E23" s="236"/>
    </row>
    <row r="24" spans="3:5" x14ac:dyDescent="0.3">
      <c r="C24" s="82"/>
      <c r="D24" s="83"/>
      <c r="E24" s="84"/>
    </row>
    <row r="25" spans="3:5" x14ac:dyDescent="0.3">
      <c r="C25" s="211" t="s">
        <v>33</v>
      </c>
      <c r="D25" s="207" t="s">
        <v>70</v>
      </c>
      <c r="E25" s="206">
        <v>1</v>
      </c>
    </row>
    <row r="26" spans="3:5" x14ac:dyDescent="0.3">
      <c r="C26" s="212" t="s">
        <v>9</v>
      </c>
      <c r="D26" s="4" t="s">
        <v>11</v>
      </c>
      <c r="E26" s="222">
        <f>E25*0.6</f>
        <v>0.6</v>
      </c>
    </row>
    <row r="27" spans="3:5" x14ac:dyDescent="0.3">
      <c r="C27" s="212" t="s">
        <v>10</v>
      </c>
      <c r="D27" s="4" t="s">
        <v>12</v>
      </c>
      <c r="E27" s="209">
        <f>E26</f>
        <v>0.6</v>
      </c>
    </row>
    <row r="28" spans="3:5" x14ac:dyDescent="0.3">
      <c r="C28" s="215"/>
      <c r="D28" s="22" t="s">
        <v>13</v>
      </c>
      <c r="E28" s="210" t="s">
        <v>104</v>
      </c>
    </row>
    <row r="29" spans="3:5" x14ac:dyDescent="0.3">
      <c r="C29" s="215"/>
      <c r="D29" s="213" t="s">
        <v>102</v>
      </c>
      <c r="E29" s="214">
        <f>(LOG(E25/E26))/(LOG(1+E27))</f>
        <v>1.086854636815819</v>
      </c>
    </row>
    <row r="30" spans="3:5" x14ac:dyDescent="0.3">
      <c r="C30" s="216"/>
      <c r="D30" s="83"/>
      <c r="E30" s="84"/>
    </row>
    <row r="32" spans="3:5" x14ac:dyDescent="0.3">
      <c r="C32" s="235" t="s">
        <v>110</v>
      </c>
      <c r="D32" s="230"/>
      <c r="E32" s="236"/>
    </row>
    <row r="33" spans="3:5" x14ac:dyDescent="0.3">
      <c r="C33" s="12"/>
      <c r="D33" s="13"/>
      <c r="E33" s="14"/>
    </row>
    <row r="34" spans="3:5" x14ac:dyDescent="0.3">
      <c r="C34" s="211" t="s">
        <v>33</v>
      </c>
      <c r="D34" s="207" t="s">
        <v>70</v>
      </c>
      <c r="E34" s="206">
        <v>1</v>
      </c>
    </row>
    <row r="35" spans="3:5" x14ac:dyDescent="0.3">
      <c r="C35" s="212" t="s">
        <v>9</v>
      </c>
      <c r="D35" s="4" t="s">
        <v>11</v>
      </c>
      <c r="E35" s="222">
        <f>E34*0.6</f>
        <v>0.6</v>
      </c>
    </row>
    <row r="36" spans="3:5" x14ac:dyDescent="0.3">
      <c r="C36" s="212" t="s">
        <v>10</v>
      </c>
      <c r="D36" s="4" t="s">
        <v>12</v>
      </c>
      <c r="E36" s="209">
        <f>30%</f>
        <v>0.3</v>
      </c>
    </row>
    <row r="37" spans="3:5" x14ac:dyDescent="0.3">
      <c r="C37" s="262"/>
      <c r="D37" s="22" t="s">
        <v>13</v>
      </c>
      <c r="E37" s="210" t="s">
        <v>104</v>
      </c>
    </row>
    <row r="38" spans="3:5" x14ac:dyDescent="0.3">
      <c r="C38" s="262"/>
      <c r="D38" s="213" t="s">
        <v>102</v>
      </c>
      <c r="E38" s="214">
        <f>(LOG(E34/E35))/(LOG(1+E36))</f>
        <v>1.9470091508185783</v>
      </c>
    </row>
    <row r="39" spans="3:5" x14ac:dyDescent="0.3">
      <c r="C39" s="263"/>
      <c r="D39" s="13"/>
      <c r="E39" s="14"/>
    </row>
    <row r="42" spans="3:5" x14ac:dyDescent="0.3">
      <c r="C42" s="235" t="s">
        <v>111</v>
      </c>
      <c r="D42" s="230"/>
      <c r="E42" s="236"/>
    </row>
    <row r="43" spans="3:5" x14ac:dyDescent="0.3">
      <c r="C43" s="264"/>
      <c r="D43" s="265"/>
      <c r="E43" s="266"/>
    </row>
    <row r="44" spans="3:5" x14ac:dyDescent="0.3">
      <c r="C44" s="211" t="s">
        <v>33</v>
      </c>
      <c r="D44" s="207" t="s">
        <v>70</v>
      </c>
      <c r="E44" s="206">
        <v>1</v>
      </c>
    </row>
    <row r="45" spans="3:5" x14ac:dyDescent="0.3">
      <c r="C45" s="212" t="s">
        <v>9</v>
      </c>
      <c r="D45" s="4" t="s">
        <v>11</v>
      </c>
      <c r="E45" s="222">
        <f>E44*0.6</f>
        <v>0.6</v>
      </c>
    </row>
    <row r="46" spans="3:5" x14ac:dyDescent="0.3">
      <c r="C46" s="212" t="s">
        <v>10</v>
      </c>
      <c r="D46" s="4" t="s">
        <v>12</v>
      </c>
      <c r="E46" s="209">
        <f>30%</f>
        <v>0.3</v>
      </c>
    </row>
    <row r="47" spans="3:5" x14ac:dyDescent="0.3">
      <c r="C47" s="267"/>
      <c r="D47" s="22" t="s">
        <v>13</v>
      </c>
      <c r="E47" s="210" t="s">
        <v>104</v>
      </c>
    </row>
    <row r="48" spans="3:5" x14ac:dyDescent="0.3">
      <c r="C48" s="267"/>
      <c r="D48" s="213" t="s">
        <v>102</v>
      </c>
      <c r="E48" s="214">
        <f>(LOG(E44/E45))/(LOG(1+E46))</f>
        <v>1.9470091508185783</v>
      </c>
    </row>
    <row r="49" spans="3:5" x14ac:dyDescent="0.3">
      <c r="C49" s="268"/>
      <c r="D49" s="265"/>
      <c r="E49" s="266"/>
    </row>
    <row r="52" spans="3:5" x14ac:dyDescent="0.3">
      <c r="C52" s="235" t="s">
        <v>112</v>
      </c>
      <c r="D52" s="230"/>
      <c r="E52" s="236"/>
    </row>
    <row r="53" spans="3:5" x14ac:dyDescent="0.3">
      <c r="C53" s="271"/>
      <c r="D53" s="272"/>
      <c r="E53" s="273"/>
    </row>
    <row r="54" spans="3:5" x14ac:dyDescent="0.3">
      <c r="C54" s="211" t="s">
        <v>33</v>
      </c>
      <c r="D54" s="207" t="s">
        <v>70</v>
      </c>
      <c r="E54" s="206">
        <v>1</v>
      </c>
    </row>
    <row r="55" spans="3:5" x14ac:dyDescent="0.3">
      <c r="C55" s="212" t="s">
        <v>9</v>
      </c>
      <c r="D55" s="4" t="s">
        <v>11</v>
      </c>
      <c r="E55" s="222">
        <f>E54*0.6</f>
        <v>0.6</v>
      </c>
    </row>
    <row r="56" spans="3:5" x14ac:dyDescent="0.3">
      <c r="C56" s="212" t="s">
        <v>10</v>
      </c>
      <c r="D56" s="4" t="s">
        <v>12</v>
      </c>
      <c r="E56" s="209">
        <f>10%</f>
        <v>0.1</v>
      </c>
    </row>
    <row r="57" spans="3:5" x14ac:dyDescent="0.3">
      <c r="C57" s="269"/>
      <c r="D57" s="22" t="s">
        <v>13</v>
      </c>
      <c r="E57" s="210" t="s">
        <v>104</v>
      </c>
    </row>
    <row r="58" spans="3:5" x14ac:dyDescent="0.3">
      <c r="C58" s="269"/>
      <c r="D58" s="213" t="s">
        <v>102</v>
      </c>
      <c r="E58" s="214">
        <f>(LOG(E54/E55))/(LOG(1+E56))</f>
        <v>5.3596124235074702</v>
      </c>
    </row>
    <row r="59" spans="3:5" x14ac:dyDescent="0.3">
      <c r="C59" s="270"/>
      <c r="D59" s="272"/>
      <c r="E59" s="273"/>
    </row>
    <row r="62" spans="3:5" x14ac:dyDescent="0.3">
      <c r="C62" s="235" t="s">
        <v>113</v>
      </c>
      <c r="D62" s="230"/>
      <c r="E62" s="236"/>
    </row>
    <row r="63" spans="3:5" x14ac:dyDescent="0.3">
      <c r="C63" s="274"/>
      <c r="D63" s="275"/>
      <c r="E63" s="276"/>
    </row>
    <row r="64" spans="3:5" x14ac:dyDescent="0.3">
      <c r="C64" s="211" t="s">
        <v>33</v>
      </c>
      <c r="D64" s="207" t="s">
        <v>70</v>
      </c>
      <c r="E64" s="206">
        <v>1</v>
      </c>
    </row>
    <row r="65" spans="3:5" x14ac:dyDescent="0.3">
      <c r="C65" s="212" t="s">
        <v>9</v>
      </c>
      <c r="D65" s="4" t="s">
        <v>11</v>
      </c>
      <c r="E65" s="222">
        <f>E64*0.6</f>
        <v>0.6</v>
      </c>
    </row>
    <row r="66" spans="3:5" x14ac:dyDescent="0.3">
      <c r="C66" s="212" t="s">
        <v>10</v>
      </c>
      <c r="D66" s="4" t="s">
        <v>12</v>
      </c>
      <c r="E66" s="209">
        <f>12%</f>
        <v>0.12</v>
      </c>
    </row>
    <row r="67" spans="3:5" x14ac:dyDescent="0.3">
      <c r="C67" s="277"/>
      <c r="D67" s="22" t="s">
        <v>13</v>
      </c>
      <c r="E67" s="210" t="s">
        <v>104</v>
      </c>
    </row>
    <row r="68" spans="3:5" x14ac:dyDescent="0.3">
      <c r="C68" s="277"/>
      <c r="D68" s="213" t="s">
        <v>102</v>
      </c>
      <c r="E68" s="214">
        <f>(LOG(E64/E65))/(LOG(1+E66))</f>
        <v>4.5074697759193336</v>
      </c>
    </row>
    <row r="69" spans="3:5" x14ac:dyDescent="0.3">
      <c r="C69" s="278"/>
      <c r="D69" s="275"/>
      <c r="E69" s="276"/>
    </row>
    <row r="72" spans="3:5" x14ac:dyDescent="0.3">
      <c r="C72" s="235" t="s">
        <v>114</v>
      </c>
      <c r="D72" s="230"/>
      <c r="E72" s="236"/>
    </row>
    <row r="73" spans="3:5" x14ac:dyDescent="0.3">
      <c r="C73" s="279"/>
      <c r="D73" s="280"/>
      <c r="E73" s="281"/>
    </row>
    <row r="74" spans="3:5" x14ac:dyDescent="0.3">
      <c r="C74" s="211" t="s">
        <v>33</v>
      </c>
      <c r="D74" s="207" t="s">
        <v>70</v>
      </c>
      <c r="E74" s="206">
        <v>1</v>
      </c>
    </row>
    <row r="75" spans="3:5" x14ac:dyDescent="0.3">
      <c r="C75" s="212" t="s">
        <v>9</v>
      </c>
      <c r="D75" s="4" t="s">
        <v>11</v>
      </c>
      <c r="E75" s="222">
        <f>E74*0.6</f>
        <v>0.6</v>
      </c>
    </row>
    <row r="76" spans="3:5" x14ac:dyDescent="0.3">
      <c r="C76" s="212" t="s">
        <v>10</v>
      </c>
      <c r="D76" s="4" t="s">
        <v>12</v>
      </c>
      <c r="E76" s="209">
        <f>15%</f>
        <v>0.15</v>
      </c>
    </row>
    <row r="77" spans="3:5" x14ac:dyDescent="0.3">
      <c r="C77" s="282"/>
      <c r="D77" s="22" t="s">
        <v>13</v>
      </c>
      <c r="E77" s="210" t="s">
        <v>104</v>
      </c>
    </row>
    <row r="78" spans="3:5" x14ac:dyDescent="0.3">
      <c r="C78" s="282"/>
      <c r="D78" s="213" t="s">
        <v>102</v>
      </c>
      <c r="E78" s="214">
        <f>(LOG(E74/E75))/(LOG(1+E76))</f>
        <v>3.6549694078721191</v>
      </c>
    </row>
    <row r="79" spans="3:5" x14ac:dyDescent="0.3">
      <c r="C79" s="283"/>
      <c r="D79" s="280"/>
      <c r="E79" s="281"/>
    </row>
  </sheetData>
  <mergeCells count="9">
    <mergeCell ref="C52:E52"/>
    <mergeCell ref="C62:E62"/>
    <mergeCell ref="C72:E72"/>
    <mergeCell ref="C1:E1"/>
    <mergeCell ref="C2:E2"/>
    <mergeCell ref="C13:E13"/>
    <mergeCell ref="C23:E23"/>
    <mergeCell ref="C32:E32"/>
    <mergeCell ref="C42:E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D03-B694-49C4-9807-85F3303BFAED}">
  <dimension ref="D2:F2"/>
  <sheetViews>
    <sheetView workbookViewId="0">
      <selection activeCell="E11" sqref="E11"/>
    </sheetView>
  </sheetViews>
  <sheetFormatPr baseColWidth="10" defaultRowHeight="14.4" x14ac:dyDescent="0.3"/>
  <sheetData>
    <row r="2" spans="4:6" x14ac:dyDescent="0.3">
      <c r="D2" s="234" t="s">
        <v>23</v>
      </c>
      <c r="E2" s="234"/>
      <c r="F2" s="234"/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2B24-8136-4232-A698-7631859FD4FE}">
  <dimension ref="A2:J16"/>
  <sheetViews>
    <sheetView workbookViewId="0">
      <selection activeCell="B20" sqref="B20"/>
    </sheetView>
  </sheetViews>
  <sheetFormatPr baseColWidth="10" defaultRowHeight="14.4" x14ac:dyDescent="0.3"/>
  <sheetData>
    <row r="2" spans="1:10" x14ac:dyDescent="0.3">
      <c r="B2" s="234" t="s">
        <v>0</v>
      </c>
      <c r="C2" s="234"/>
      <c r="D2" s="234"/>
      <c r="G2" s="234"/>
      <c r="H2" s="234"/>
      <c r="I2" s="234"/>
      <c r="J2" s="234"/>
    </row>
    <row r="4" spans="1:10" x14ac:dyDescent="0.3">
      <c r="B4" t="s">
        <v>24</v>
      </c>
    </row>
    <row r="6" spans="1:10" x14ac:dyDescent="0.3">
      <c r="B6" t="s">
        <v>25</v>
      </c>
    </row>
    <row r="7" spans="1:10" x14ac:dyDescent="0.3">
      <c r="E7" t="s">
        <v>30</v>
      </c>
    </row>
    <row r="8" spans="1:10" x14ac:dyDescent="0.3">
      <c r="B8" t="s">
        <v>26</v>
      </c>
      <c r="E8" t="s">
        <v>29</v>
      </c>
    </row>
    <row r="10" spans="1:10" x14ac:dyDescent="0.3">
      <c r="B10" t="s">
        <v>27</v>
      </c>
      <c r="E10" t="s">
        <v>28</v>
      </c>
    </row>
    <row r="11" spans="1:10" x14ac:dyDescent="0.3">
      <c r="A11">
        <v>0</v>
      </c>
      <c r="B11">
        <v>100000</v>
      </c>
      <c r="E11">
        <v>100000</v>
      </c>
    </row>
    <row r="12" spans="1:10" x14ac:dyDescent="0.3">
      <c r="A12">
        <v>1</v>
      </c>
      <c r="B12">
        <v>120000</v>
      </c>
      <c r="E12">
        <v>120000</v>
      </c>
    </row>
    <row r="13" spans="1:10" x14ac:dyDescent="0.3">
      <c r="A13">
        <v>2</v>
      </c>
      <c r="B13">
        <v>140000</v>
      </c>
      <c r="E13">
        <v>144000</v>
      </c>
    </row>
    <row r="14" spans="1:10" x14ac:dyDescent="0.3">
      <c r="A14">
        <v>3</v>
      </c>
      <c r="B14">
        <v>160000</v>
      </c>
      <c r="E14">
        <v>172800</v>
      </c>
    </row>
    <row r="15" spans="1:10" x14ac:dyDescent="0.3">
      <c r="A15">
        <v>4</v>
      </c>
      <c r="B15">
        <v>180000</v>
      </c>
      <c r="E15">
        <v>207360</v>
      </c>
    </row>
    <row r="16" spans="1:10" x14ac:dyDescent="0.3">
      <c r="A16">
        <v>5</v>
      </c>
      <c r="B16">
        <v>200000</v>
      </c>
      <c r="E16">
        <v>248000</v>
      </c>
    </row>
  </sheetData>
  <mergeCells count="2">
    <mergeCell ref="G2:J2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4A74-D238-4634-B736-87C130B32365}">
  <dimension ref="B2:F17"/>
  <sheetViews>
    <sheetView workbookViewId="0">
      <selection activeCell="E20" sqref="E20"/>
    </sheetView>
  </sheetViews>
  <sheetFormatPr baseColWidth="10" defaultRowHeight="14.4" x14ac:dyDescent="0.3"/>
  <cols>
    <col min="4" max="4" width="12.77734375" bestFit="1" customWidth="1"/>
    <col min="5" max="5" width="15.88671875" customWidth="1"/>
    <col min="6" max="6" width="12.77734375" bestFit="1" customWidth="1"/>
  </cols>
  <sheetData>
    <row r="2" spans="2:6" x14ac:dyDescent="0.3">
      <c r="C2" s="234" t="s">
        <v>31</v>
      </c>
      <c r="D2" s="234"/>
    </row>
    <row r="4" spans="2:6" x14ac:dyDescent="0.3">
      <c r="B4" s="50" t="s">
        <v>9</v>
      </c>
      <c r="C4" t="s">
        <v>11</v>
      </c>
      <c r="D4" s="48">
        <v>100000</v>
      </c>
    </row>
    <row r="5" spans="2:6" x14ac:dyDescent="0.3">
      <c r="B5" s="51" t="s">
        <v>32</v>
      </c>
      <c r="C5" t="s">
        <v>12</v>
      </c>
      <c r="D5" s="49">
        <v>0.2</v>
      </c>
    </row>
    <row r="6" spans="2:6" x14ac:dyDescent="0.3">
      <c r="C6" s="50" t="s">
        <v>13</v>
      </c>
      <c r="D6" s="50">
        <v>5</v>
      </c>
    </row>
    <row r="7" spans="2:6" x14ac:dyDescent="0.3">
      <c r="F7" t="s">
        <v>34</v>
      </c>
    </row>
    <row r="8" spans="2:6" x14ac:dyDescent="0.3">
      <c r="C8" s="52" t="s">
        <v>33</v>
      </c>
      <c r="D8" s="53">
        <f>FV(D5,D6,,-D4)</f>
        <v>248832</v>
      </c>
      <c r="F8" s="55">
        <f>D4*(1+(D5*D6))</f>
        <v>200000</v>
      </c>
    </row>
    <row r="11" spans="2:6" x14ac:dyDescent="0.3">
      <c r="D11" t="s">
        <v>35</v>
      </c>
      <c r="E11" t="s">
        <v>21</v>
      </c>
      <c r="F11" t="s">
        <v>36</v>
      </c>
    </row>
    <row r="12" spans="2:6" x14ac:dyDescent="0.3">
      <c r="C12">
        <v>1</v>
      </c>
      <c r="D12" s="54">
        <f>D4</f>
        <v>100000</v>
      </c>
      <c r="E12" s="54">
        <f>D12*D5</f>
        <v>20000</v>
      </c>
      <c r="F12" s="54">
        <f>D12+E12</f>
        <v>120000</v>
      </c>
    </row>
    <row r="13" spans="2:6" x14ac:dyDescent="0.3">
      <c r="C13">
        <v>2</v>
      </c>
      <c r="D13" s="54">
        <f>F12</f>
        <v>120000</v>
      </c>
      <c r="E13" s="54">
        <f>D13*D5</f>
        <v>24000</v>
      </c>
      <c r="F13" s="54">
        <f>D13+E13</f>
        <v>144000</v>
      </c>
    </row>
    <row r="14" spans="2:6" x14ac:dyDescent="0.3">
      <c r="C14">
        <v>3</v>
      </c>
      <c r="D14" s="54">
        <f>F13</f>
        <v>144000</v>
      </c>
      <c r="E14" s="54">
        <f>D14*D5</f>
        <v>28800</v>
      </c>
      <c r="F14" s="54">
        <f>D14+E14</f>
        <v>172800</v>
      </c>
    </row>
    <row r="15" spans="2:6" x14ac:dyDescent="0.3">
      <c r="C15">
        <v>4</v>
      </c>
      <c r="D15" s="54">
        <f>F14</f>
        <v>172800</v>
      </c>
      <c r="E15" s="54">
        <f>D15*D5</f>
        <v>34560</v>
      </c>
      <c r="F15" s="54">
        <f>D15+E15</f>
        <v>207360</v>
      </c>
    </row>
    <row r="16" spans="2:6" x14ac:dyDescent="0.3">
      <c r="C16">
        <v>5</v>
      </c>
      <c r="D16" s="54">
        <f>F15</f>
        <v>207360</v>
      </c>
      <c r="E16" s="54">
        <f>D16*D5</f>
        <v>41472</v>
      </c>
      <c r="F16" s="54">
        <f>E16+D16</f>
        <v>248832</v>
      </c>
    </row>
    <row r="17" spans="3:5" x14ac:dyDescent="0.3">
      <c r="C17" s="234" t="s">
        <v>19</v>
      </c>
      <c r="D17" s="234"/>
      <c r="E17" s="54">
        <f>E12+E13+E14+E15+E16</f>
        <v>148832</v>
      </c>
    </row>
  </sheetData>
  <mergeCells count="2">
    <mergeCell ref="C2:D2"/>
    <mergeCell ref="C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F589-5ECC-4BC8-B242-47444006FC9E}">
  <dimension ref="C2:F11"/>
  <sheetViews>
    <sheetView workbookViewId="0">
      <selection activeCell="E20" sqref="E20"/>
    </sheetView>
  </sheetViews>
  <sheetFormatPr baseColWidth="10" defaultRowHeight="14.4" x14ac:dyDescent="0.3"/>
  <sheetData>
    <row r="2" spans="3:6" x14ac:dyDescent="0.3">
      <c r="D2" s="234" t="s">
        <v>37</v>
      </c>
      <c r="E2" s="234"/>
      <c r="F2" s="234"/>
    </row>
    <row r="4" spans="3:6" x14ac:dyDescent="0.3">
      <c r="D4" t="s">
        <v>38</v>
      </c>
    </row>
    <row r="5" spans="3:6" x14ac:dyDescent="0.3">
      <c r="D5" t="s">
        <v>39</v>
      </c>
    </row>
    <row r="6" spans="3:6" x14ac:dyDescent="0.3">
      <c r="D6" t="s">
        <v>40</v>
      </c>
    </row>
    <row r="8" spans="3:6" x14ac:dyDescent="0.3">
      <c r="C8" t="s">
        <v>41</v>
      </c>
      <c r="D8">
        <v>500</v>
      </c>
      <c r="E8" t="s">
        <v>42</v>
      </c>
    </row>
    <row r="9" spans="3:6" x14ac:dyDescent="0.3">
      <c r="D9">
        <v>500</v>
      </c>
      <c r="E9" t="s">
        <v>43</v>
      </c>
    </row>
    <row r="10" spans="3:6" x14ac:dyDescent="0.3">
      <c r="D10">
        <v>500</v>
      </c>
      <c r="E10">
        <v>1.4295020000000001</v>
      </c>
    </row>
    <row r="11" spans="3:6" x14ac:dyDescent="0.3">
      <c r="D11" t="s">
        <v>44</v>
      </c>
      <c r="E11" t="s">
        <v>45</v>
      </c>
    </row>
  </sheetData>
  <mergeCells count="1">
    <mergeCell ref="D2:F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38DC-FB8B-443B-8A3D-18B82E6602B2}">
  <dimension ref="C1:E16"/>
  <sheetViews>
    <sheetView workbookViewId="0">
      <selection activeCell="D16" sqref="D16"/>
    </sheetView>
  </sheetViews>
  <sheetFormatPr baseColWidth="10" defaultRowHeight="14.4" x14ac:dyDescent="0.3"/>
  <cols>
    <col min="4" max="4" width="12.6640625" bestFit="1" customWidth="1"/>
  </cols>
  <sheetData>
    <row r="1" spans="3:5" x14ac:dyDescent="0.3">
      <c r="C1" s="235" t="s">
        <v>46</v>
      </c>
      <c r="D1" s="230"/>
      <c r="E1" s="236"/>
    </row>
    <row r="2" spans="3:5" x14ac:dyDescent="0.3">
      <c r="C2" s="82"/>
      <c r="D2" s="83"/>
      <c r="E2" s="84"/>
    </row>
    <row r="3" spans="3:5" x14ac:dyDescent="0.3">
      <c r="C3" s="64" t="s">
        <v>11</v>
      </c>
      <c r="D3" s="65">
        <v>500</v>
      </c>
      <c r="E3" s="69"/>
    </row>
    <row r="4" spans="3:5" x14ac:dyDescent="0.3">
      <c r="C4" s="67" t="s">
        <v>12</v>
      </c>
      <c r="D4" s="68">
        <f>18%/12</f>
        <v>1.4999999999999999E-2</v>
      </c>
      <c r="E4" s="56">
        <v>0.18</v>
      </c>
    </row>
    <row r="5" spans="3:5" x14ac:dyDescent="0.3">
      <c r="C5" s="8" t="s">
        <v>13</v>
      </c>
      <c r="D5" s="66">
        <f>2*(12)</f>
        <v>24</v>
      </c>
      <c r="E5" s="57"/>
    </row>
    <row r="6" spans="3:5" x14ac:dyDescent="0.3">
      <c r="C6" s="70"/>
      <c r="D6" s="71"/>
      <c r="E6" s="72"/>
    </row>
    <row r="7" spans="3:5" x14ac:dyDescent="0.3">
      <c r="C7" s="73"/>
      <c r="D7" s="74"/>
      <c r="E7" s="75"/>
    </row>
    <row r="8" spans="3:5" x14ac:dyDescent="0.3">
      <c r="C8" s="8" t="s">
        <v>47</v>
      </c>
      <c r="D8" s="10">
        <f>FV(D4,D5,,-D3)</f>
        <v>714.75140596451013</v>
      </c>
      <c r="E8" s="57"/>
    </row>
    <row r="10" spans="3:5" x14ac:dyDescent="0.3">
      <c r="C10" s="235" t="s">
        <v>48</v>
      </c>
      <c r="D10" s="230"/>
      <c r="E10" s="236"/>
    </row>
    <row r="11" spans="3:5" x14ac:dyDescent="0.3">
      <c r="C11" s="79"/>
      <c r="D11" s="80"/>
      <c r="E11" s="81"/>
    </row>
    <row r="12" spans="3:5" x14ac:dyDescent="0.3">
      <c r="C12" s="60" t="s">
        <v>11</v>
      </c>
      <c r="D12" s="61">
        <v>500</v>
      </c>
      <c r="E12" s="5"/>
    </row>
    <row r="13" spans="3:5" x14ac:dyDescent="0.3">
      <c r="C13" s="59" t="s">
        <v>12</v>
      </c>
      <c r="D13" s="62">
        <f>18%/12</f>
        <v>1.4999999999999999E-2</v>
      </c>
      <c r="E13" s="63">
        <v>0.18</v>
      </c>
    </row>
    <row r="14" spans="3:5" x14ac:dyDescent="0.3">
      <c r="C14" s="34" t="s">
        <v>13</v>
      </c>
      <c r="D14" s="37">
        <f>2*(12)</f>
        <v>24</v>
      </c>
      <c r="E14" s="57"/>
    </row>
    <row r="15" spans="3:5" x14ac:dyDescent="0.3">
      <c r="C15" s="76"/>
      <c r="D15" s="77"/>
      <c r="E15" s="78"/>
    </row>
    <row r="16" spans="3:5" x14ac:dyDescent="0.3">
      <c r="C16" s="8" t="s">
        <v>49</v>
      </c>
      <c r="D16" s="58">
        <f>D3*((1+D4)^D5)</f>
        <v>714.75140596451013</v>
      </c>
      <c r="E16" s="57"/>
    </row>
  </sheetData>
  <mergeCells count="2">
    <mergeCell ref="C1:E1"/>
    <mergeCell ref="C10:E10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2F90-8C9C-4ABB-A7E6-0CCEFAEC8F6B}">
  <dimension ref="B2:D17"/>
  <sheetViews>
    <sheetView workbookViewId="0">
      <selection activeCell="C8" sqref="C8"/>
    </sheetView>
  </sheetViews>
  <sheetFormatPr baseColWidth="10" defaultRowHeight="14.4" x14ac:dyDescent="0.3"/>
  <cols>
    <col min="3" max="3" width="19.33203125" customWidth="1"/>
    <col min="4" max="4" width="14.6640625" customWidth="1"/>
  </cols>
  <sheetData>
    <row r="2" spans="2:4" x14ac:dyDescent="0.3">
      <c r="B2" s="231" t="s">
        <v>50</v>
      </c>
      <c r="C2" s="232"/>
      <c r="D2" s="233"/>
    </row>
    <row r="3" spans="2:4" x14ac:dyDescent="0.3">
      <c r="B3" s="97"/>
      <c r="C3" s="98"/>
      <c r="D3" s="99"/>
    </row>
    <row r="4" spans="2:4" x14ac:dyDescent="0.3">
      <c r="B4" s="86" t="s">
        <v>11</v>
      </c>
      <c r="C4" s="89">
        <v>15000</v>
      </c>
      <c r="D4" s="85"/>
    </row>
    <row r="5" spans="2:4" x14ac:dyDescent="0.3">
      <c r="B5" s="34" t="s">
        <v>12</v>
      </c>
      <c r="C5" s="37">
        <f>12%/4</f>
        <v>0.03</v>
      </c>
      <c r="D5" s="88">
        <v>0.12</v>
      </c>
    </row>
    <row r="6" spans="2:4" x14ac:dyDescent="0.3">
      <c r="B6" s="92" t="s">
        <v>13</v>
      </c>
      <c r="C6" s="90">
        <f>1*4</f>
        <v>4</v>
      </c>
      <c r="D6" s="100"/>
    </row>
    <row r="7" spans="2:4" x14ac:dyDescent="0.3">
      <c r="B7" s="101"/>
      <c r="C7" s="99"/>
      <c r="D7" s="100"/>
    </row>
    <row r="8" spans="2:4" x14ac:dyDescent="0.3">
      <c r="B8" s="21" t="s">
        <v>49</v>
      </c>
      <c r="C8" s="91">
        <f>FV(C5,C6,,-C4)</f>
        <v>16882.632149999998</v>
      </c>
      <c r="D8" s="99"/>
    </row>
    <row r="11" spans="2:4" x14ac:dyDescent="0.3">
      <c r="B11" s="231" t="s">
        <v>51</v>
      </c>
      <c r="C11" s="232"/>
      <c r="D11" s="233"/>
    </row>
    <row r="12" spans="2:4" x14ac:dyDescent="0.3">
      <c r="B12" s="95"/>
      <c r="C12" s="96"/>
      <c r="D12" s="94"/>
    </row>
    <row r="13" spans="2:4" x14ac:dyDescent="0.3">
      <c r="B13" s="21" t="s">
        <v>11</v>
      </c>
      <c r="C13" s="89">
        <v>50000</v>
      </c>
      <c r="D13" s="85"/>
    </row>
    <row r="14" spans="2:4" x14ac:dyDescent="0.3">
      <c r="B14" s="34" t="s">
        <v>12</v>
      </c>
      <c r="C14" s="90">
        <f>D14/2</f>
        <v>0.1</v>
      </c>
      <c r="D14" s="88">
        <v>0.2</v>
      </c>
    </row>
    <row r="15" spans="2:4" x14ac:dyDescent="0.3">
      <c r="B15" s="87" t="s">
        <v>13</v>
      </c>
      <c r="C15" s="37">
        <f>2*2</f>
        <v>4</v>
      </c>
      <c r="D15" s="93"/>
    </row>
    <row r="16" spans="2:4" x14ac:dyDescent="0.3">
      <c r="B16" s="95"/>
      <c r="C16" s="94"/>
      <c r="D16" s="93"/>
    </row>
    <row r="17" spans="2:4" x14ac:dyDescent="0.3">
      <c r="B17" s="21" t="s">
        <v>49</v>
      </c>
      <c r="C17" s="91">
        <f>FV(C14,C15,,-C13)</f>
        <v>73205.000000000015</v>
      </c>
      <c r="D17" s="94"/>
    </row>
  </sheetData>
  <mergeCells count="2">
    <mergeCell ref="B2:D2"/>
    <mergeCell ref="B11:D1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7582-443A-4B1E-A2D1-604B635BB32C}">
  <dimension ref="C1:F5"/>
  <sheetViews>
    <sheetView workbookViewId="0">
      <selection activeCell="D9" sqref="D9"/>
    </sheetView>
  </sheetViews>
  <sheetFormatPr baseColWidth="10" defaultRowHeight="14.4" x14ac:dyDescent="0.3"/>
  <sheetData>
    <row r="1" spans="3:6" x14ac:dyDescent="0.3">
      <c r="D1" s="234" t="s">
        <v>52</v>
      </c>
      <c r="E1" s="234"/>
      <c r="F1" s="234"/>
    </row>
    <row r="3" spans="3:6" x14ac:dyDescent="0.3">
      <c r="C3" t="s">
        <v>53</v>
      </c>
      <c r="D3">
        <f xml:space="preserve"> 0.03</f>
        <v>0.03</v>
      </c>
    </row>
    <row r="5" spans="3:6" x14ac:dyDescent="0.3">
      <c r="C5" t="s">
        <v>54</v>
      </c>
      <c r="D5">
        <v>2.5</v>
      </c>
      <c r="E5" t="s">
        <v>55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Interes compuesto</vt:lpstr>
      <vt:lpstr>Ejercicio 1</vt:lpstr>
      <vt:lpstr>Frecuencia</vt:lpstr>
      <vt:lpstr>compuesto</vt:lpstr>
      <vt:lpstr>Ejercicio de interes compuesto</vt:lpstr>
      <vt:lpstr>MONTO COMPUESTO</vt:lpstr>
      <vt:lpstr>EJERCICIO monto compuesto</vt:lpstr>
      <vt:lpstr>Ejercicio 2 (Monto compuesto)</vt:lpstr>
      <vt:lpstr>Monto con periodo de interes FR</vt:lpstr>
      <vt:lpstr>Monto IN fraccionario</vt:lpstr>
      <vt:lpstr>Hoja3</vt:lpstr>
      <vt:lpstr>VALOR ACTUAL PRESENTE</vt:lpstr>
      <vt:lpstr>VAP CASO 1</vt:lpstr>
      <vt:lpstr>VAP CASO 2</vt:lpstr>
      <vt:lpstr>INFLACION</vt:lpstr>
      <vt:lpstr>CASO 1 inflacion</vt:lpstr>
      <vt:lpstr>INFLACION CASO 2</vt:lpstr>
      <vt:lpstr>EJERCICIO INFLACION</vt:lpstr>
      <vt:lpstr>TIEMPO</vt:lpstr>
      <vt:lpstr>Ejercicio 1 tiempo logaritmo</vt:lpstr>
      <vt:lpstr>Tiempo logaritmo Caso 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2022-10-17T17:09:00Z</dcterms:created>
  <dcterms:modified xsi:type="dcterms:W3CDTF">2022-10-31T17:20:49Z</dcterms:modified>
</cp:coreProperties>
</file>